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B73B5FBE-C1C6-4ACF-8EF2-8C343C92AAD9}" xr6:coauthVersionLast="47" xr6:coauthVersionMax="47" xr10:uidLastSave="{00000000-0000-0000-0000-000000000000}"/>
  <bookViews>
    <workbookView xWindow="-120" yWindow="-120" windowWidth="29040" windowHeight="15840" xr2:uid="{629F70B4-A561-4FC3-9174-7443867AC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78" i="1" l="1"/>
  <c r="AS478" i="1"/>
  <c r="AT477" i="1"/>
  <c r="AS477" i="1"/>
  <c r="AT476" i="1"/>
  <c r="AS476" i="1"/>
  <c r="AR476" i="1"/>
  <c r="AT475" i="1"/>
  <c r="AS475" i="1"/>
  <c r="AT474" i="1"/>
  <c r="AS474" i="1"/>
  <c r="AR474" i="1"/>
  <c r="AT473" i="1"/>
  <c r="AS473" i="1"/>
  <c r="AR473" i="1"/>
  <c r="AT472" i="1"/>
  <c r="AS472" i="1"/>
  <c r="AT471" i="1"/>
  <c r="AS471" i="1"/>
  <c r="AT470" i="1"/>
  <c r="AS470" i="1"/>
  <c r="AR470" i="1"/>
  <c r="AT469" i="1"/>
  <c r="AS469" i="1"/>
  <c r="AR469" i="1"/>
  <c r="AT468" i="1"/>
  <c r="AS468" i="1"/>
  <c r="AR468" i="1"/>
  <c r="AT467" i="1"/>
  <c r="AS467" i="1"/>
  <c r="AT466" i="1"/>
  <c r="AS466" i="1"/>
  <c r="AR466" i="1"/>
  <c r="AT465" i="1"/>
  <c r="AS465" i="1"/>
  <c r="AR465" i="1"/>
  <c r="AT464" i="1"/>
  <c r="AS464" i="1"/>
  <c r="AR464" i="1"/>
  <c r="AT463" i="1"/>
  <c r="AS463" i="1"/>
  <c r="AR463" i="1"/>
  <c r="AT462" i="1"/>
  <c r="AS462" i="1"/>
  <c r="AT461" i="1"/>
  <c r="AS461" i="1"/>
  <c r="AT460" i="1"/>
  <c r="AS460" i="1"/>
  <c r="AR460" i="1"/>
  <c r="AT459" i="1"/>
  <c r="AS459" i="1"/>
  <c r="AR459" i="1"/>
  <c r="AT458" i="1"/>
  <c r="AS458" i="1"/>
  <c r="AR458" i="1"/>
  <c r="AT457" i="1"/>
  <c r="AS457" i="1"/>
  <c r="AR457" i="1"/>
  <c r="AT456" i="1"/>
  <c r="AS456" i="1"/>
  <c r="AR456" i="1"/>
  <c r="AT455" i="1"/>
  <c r="AS455" i="1"/>
  <c r="AR455" i="1"/>
  <c r="AT454" i="1"/>
  <c r="AS454" i="1"/>
  <c r="AR454" i="1"/>
  <c r="AT453" i="1"/>
  <c r="AS453" i="1"/>
  <c r="AR453" i="1"/>
  <c r="AT452" i="1"/>
  <c r="AS452" i="1"/>
  <c r="AR452" i="1"/>
  <c r="AT451" i="1"/>
  <c r="AS451" i="1"/>
  <c r="AR451" i="1"/>
  <c r="AT450" i="1"/>
  <c r="AS450" i="1"/>
  <c r="AR450" i="1"/>
  <c r="AT449" i="1"/>
  <c r="AS449" i="1"/>
  <c r="AR449" i="1"/>
  <c r="AT448" i="1"/>
  <c r="AS448" i="1"/>
  <c r="AR448" i="1"/>
  <c r="AT447" i="1"/>
  <c r="AS447" i="1"/>
  <c r="AR447" i="1"/>
  <c r="AT446" i="1"/>
  <c r="AS446" i="1"/>
  <c r="AR446" i="1"/>
  <c r="AT445" i="1"/>
  <c r="AS445" i="1"/>
  <c r="AR445" i="1"/>
  <c r="AT444" i="1"/>
  <c r="AS444" i="1"/>
  <c r="AR444" i="1"/>
  <c r="AT443" i="1"/>
  <c r="AS443" i="1"/>
  <c r="AR443" i="1"/>
  <c r="AT442" i="1"/>
  <c r="AS442" i="1"/>
  <c r="AT441" i="1"/>
  <c r="AS441" i="1"/>
  <c r="AT440" i="1"/>
  <c r="AS440" i="1"/>
  <c r="AT439" i="1"/>
  <c r="AS439" i="1"/>
  <c r="AR439" i="1"/>
  <c r="AT438" i="1"/>
  <c r="AS438" i="1"/>
  <c r="AT437" i="1"/>
  <c r="AS437" i="1"/>
  <c r="AR437" i="1"/>
  <c r="AT436" i="1"/>
  <c r="AS436" i="1"/>
  <c r="AR436" i="1"/>
  <c r="AT435" i="1"/>
  <c r="AS435" i="1"/>
  <c r="AT434" i="1"/>
  <c r="AS434" i="1"/>
  <c r="AT433" i="1"/>
  <c r="AS433" i="1"/>
  <c r="AR433" i="1"/>
  <c r="AT432" i="1"/>
  <c r="AS432" i="1"/>
  <c r="AR432" i="1"/>
  <c r="AT431" i="1"/>
  <c r="AS431" i="1"/>
  <c r="AT430" i="1"/>
  <c r="AS430" i="1"/>
  <c r="AR430" i="1"/>
  <c r="AT429" i="1"/>
  <c r="AS429" i="1"/>
  <c r="AR429" i="1"/>
  <c r="AT428" i="1"/>
  <c r="AS428" i="1"/>
  <c r="AR428" i="1"/>
  <c r="AT427" i="1"/>
  <c r="AS427" i="1"/>
  <c r="AR427" i="1"/>
  <c r="AT426" i="1"/>
  <c r="AS426" i="1"/>
  <c r="AT425" i="1"/>
  <c r="AS425" i="1"/>
  <c r="AR425" i="1"/>
  <c r="AT424" i="1"/>
  <c r="AS424" i="1"/>
  <c r="AT423" i="1"/>
  <c r="AS423" i="1"/>
  <c r="AR423" i="1"/>
  <c r="AT422" i="1"/>
  <c r="AS422" i="1"/>
  <c r="AR422" i="1"/>
  <c r="AT421" i="1"/>
  <c r="AS421" i="1"/>
  <c r="AR421" i="1"/>
  <c r="AT420" i="1"/>
  <c r="AS420" i="1"/>
  <c r="AR420" i="1"/>
  <c r="AT419" i="1"/>
  <c r="AS419" i="1"/>
  <c r="AR419" i="1"/>
  <c r="AT418" i="1"/>
  <c r="AS418" i="1"/>
  <c r="AR418" i="1"/>
  <c r="AT417" i="1"/>
  <c r="AS417" i="1"/>
  <c r="AT416" i="1"/>
  <c r="AS416" i="1"/>
  <c r="AR416" i="1"/>
  <c r="AT415" i="1"/>
  <c r="AS415" i="1"/>
  <c r="AT414" i="1"/>
  <c r="AS414" i="1"/>
  <c r="AT413" i="1"/>
  <c r="AS413" i="1"/>
  <c r="AT412" i="1"/>
  <c r="AS412" i="1"/>
  <c r="AT411" i="1"/>
  <c r="AS411" i="1"/>
  <c r="AR411" i="1"/>
  <c r="AT410" i="1"/>
  <c r="AS410" i="1"/>
  <c r="AR410" i="1"/>
  <c r="AT409" i="1"/>
  <c r="AS409" i="1"/>
  <c r="AR409" i="1"/>
  <c r="AT408" i="1"/>
  <c r="AS408" i="1"/>
  <c r="AR408" i="1"/>
  <c r="AT407" i="1"/>
  <c r="AS407" i="1"/>
  <c r="AT406" i="1"/>
  <c r="AS406" i="1"/>
  <c r="AR406" i="1"/>
  <c r="AT405" i="1"/>
  <c r="AS405" i="1"/>
  <c r="AT404" i="1"/>
  <c r="AS404" i="1"/>
  <c r="AT403" i="1"/>
  <c r="AS403" i="1"/>
  <c r="AT402" i="1"/>
  <c r="AS402" i="1"/>
  <c r="AT401" i="1"/>
  <c r="AS401" i="1"/>
  <c r="AR401" i="1"/>
  <c r="AT400" i="1"/>
  <c r="AS400" i="1"/>
  <c r="AR400" i="1"/>
  <c r="AT399" i="1"/>
  <c r="AS399" i="1"/>
  <c r="AT398" i="1"/>
  <c r="AS398" i="1"/>
  <c r="AT397" i="1"/>
  <c r="AS397" i="1"/>
  <c r="AR397" i="1"/>
  <c r="AT396" i="1"/>
  <c r="AS396" i="1"/>
  <c r="AT395" i="1"/>
  <c r="AS395" i="1"/>
  <c r="AR395" i="1"/>
  <c r="AT394" i="1"/>
  <c r="AS394" i="1"/>
  <c r="AR394" i="1"/>
  <c r="AT393" i="1"/>
  <c r="AS393" i="1"/>
  <c r="AR393" i="1"/>
  <c r="AT392" i="1"/>
  <c r="AS392" i="1"/>
  <c r="AR392" i="1"/>
  <c r="AT391" i="1"/>
  <c r="AS391" i="1"/>
  <c r="AT390" i="1"/>
  <c r="AS390" i="1"/>
  <c r="AR390" i="1"/>
  <c r="AT389" i="1"/>
  <c r="AS389" i="1"/>
  <c r="AR389" i="1"/>
  <c r="AT388" i="1"/>
  <c r="AS388" i="1"/>
  <c r="AR388" i="1"/>
  <c r="AT387" i="1"/>
  <c r="AS387" i="1"/>
  <c r="AT386" i="1"/>
  <c r="AS386" i="1"/>
  <c r="AR386" i="1"/>
  <c r="AT385" i="1"/>
  <c r="AS385" i="1"/>
  <c r="AR385" i="1"/>
  <c r="AT384" i="1"/>
  <c r="AS384" i="1"/>
  <c r="AT383" i="1"/>
  <c r="AS383" i="1"/>
  <c r="AT382" i="1"/>
  <c r="AS382" i="1"/>
  <c r="AR382" i="1"/>
  <c r="AT381" i="1"/>
  <c r="AS381" i="1"/>
  <c r="AR381" i="1"/>
  <c r="AT380" i="1"/>
  <c r="AS380" i="1"/>
  <c r="AT379" i="1"/>
  <c r="AS379" i="1"/>
  <c r="AR379" i="1"/>
  <c r="AT378" i="1"/>
  <c r="AS378" i="1"/>
  <c r="AR378" i="1"/>
  <c r="AT377" i="1"/>
  <c r="AS377" i="1"/>
  <c r="AT376" i="1"/>
  <c r="AS376" i="1"/>
  <c r="AR376" i="1"/>
  <c r="AT375" i="1"/>
  <c r="AS375" i="1"/>
  <c r="AT374" i="1"/>
  <c r="AS374" i="1"/>
  <c r="AT373" i="1"/>
  <c r="AS373" i="1"/>
  <c r="AR373" i="1"/>
  <c r="AT372" i="1"/>
  <c r="AS372" i="1"/>
  <c r="AR372" i="1"/>
  <c r="AT371" i="1"/>
  <c r="AS371" i="1"/>
  <c r="AR371" i="1"/>
  <c r="AT370" i="1"/>
  <c r="AS370" i="1"/>
  <c r="AT369" i="1"/>
  <c r="AS369" i="1"/>
  <c r="AR369" i="1"/>
  <c r="AT368" i="1"/>
  <c r="AS368" i="1"/>
  <c r="AR368" i="1"/>
  <c r="AT367" i="1"/>
  <c r="AS367" i="1"/>
  <c r="AT366" i="1"/>
  <c r="AS366" i="1"/>
  <c r="AT365" i="1"/>
  <c r="AS365" i="1"/>
  <c r="AR365" i="1"/>
  <c r="AT364" i="1"/>
  <c r="AS364" i="1"/>
  <c r="AT363" i="1"/>
  <c r="AS363" i="1"/>
  <c r="AR363" i="1"/>
  <c r="AT362" i="1"/>
  <c r="AS362" i="1"/>
  <c r="AR362" i="1"/>
  <c r="AT361" i="1"/>
  <c r="AS361" i="1"/>
  <c r="AR361" i="1"/>
  <c r="AT360" i="1"/>
  <c r="AS360" i="1"/>
  <c r="AR360" i="1"/>
  <c r="AT359" i="1"/>
  <c r="AS359" i="1"/>
  <c r="AT358" i="1"/>
  <c r="AS358" i="1"/>
  <c r="AT357" i="1"/>
  <c r="AS357" i="1"/>
  <c r="AR357" i="1"/>
  <c r="AT356" i="1"/>
  <c r="AS356" i="1"/>
  <c r="AR356" i="1"/>
  <c r="AT355" i="1"/>
  <c r="AS355" i="1"/>
  <c r="AT354" i="1"/>
  <c r="AS354" i="1"/>
  <c r="AR354" i="1"/>
  <c r="AT353" i="1"/>
  <c r="AS353" i="1"/>
  <c r="AR353" i="1"/>
  <c r="AT352" i="1"/>
  <c r="AS352" i="1"/>
  <c r="AR352" i="1"/>
  <c r="AT351" i="1"/>
  <c r="AS351" i="1"/>
  <c r="AR351" i="1"/>
  <c r="AT350" i="1"/>
  <c r="AS350" i="1"/>
  <c r="AR350" i="1"/>
  <c r="AT349" i="1"/>
  <c r="AS349" i="1"/>
  <c r="AR349" i="1"/>
  <c r="AT348" i="1"/>
  <c r="AS348" i="1"/>
  <c r="AR348" i="1"/>
  <c r="AT347" i="1"/>
  <c r="AS347" i="1"/>
  <c r="AR347" i="1"/>
  <c r="AT346" i="1"/>
  <c r="AS346" i="1"/>
  <c r="AR346" i="1"/>
  <c r="AT345" i="1"/>
  <c r="AS345" i="1"/>
  <c r="AR345" i="1"/>
  <c r="AT344" i="1"/>
  <c r="AS344" i="1"/>
  <c r="AR344" i="1"/>
  <c r="AT343" i="1"/>
  <c r="AS343" i="1"/>
  <c r="AR343" i="1"/>
  <c r="AT342" i="1"/>
  <c r="AS342" i="1"/>
  <c r="AR342" i="1"/>
  <c r="AT341" i="1"/>
  <c r="AS341" i="1"/>
  <c r="AR341" i="1"/>
  <c r="AT340" i="1"/>
  <c r="AS340" i="1"/>
  <c r="AT339" i="1"/>
  <c r="AS339" i="1"/>
  <c r="AR339" i="1"/>
  <c r="AT338" i="1"/>
  <c r="AS338" i="1"/>
  <c r="AR338" i="1"/>
  <c r="AT337" i="1"/>
  <c r="AS337" i="1"/>
  <c r="AR337" i="1"/>
  <c r="AT336" i="1"/>
  <c r="AS336" i="1"/>
  <c r="AR336" i="1"/>
  <c r="AT335" i="1"/>
  <c r="AS335" i="1"/>
  <c r="AR335" i="1"/>
  <c r="AT334" i="1"/>
  <c r="AS334" i="1"/>
  <c r="AR334" i="1"/>
  <c r="AT333" i="1"/>
  <c r="AS333" i="1"/>
  <c r="AR333" i="1"/>
  <c r="AT332" i="1"/>
  <c r="AS332" i="1"/>
  <c r="AT331" i="1"/>
  <c r="AS331" i="1"/>
  <c r="AT330" i="1"/>
  <c r="AS330" i="1"/>
  <c r="AR330" i="1"/>
  <c r="AT329" i="1"/>
  <c r="AS329" i="1"/>
  <c r="AT328" i="1"/>
  <c r="AS328" i="1"/>
  <c r="AR328" i="1"/>
  <c r="AT327" i="1"/>
  <c r="AS327" i="1"/>
  <c r="AR327" i="1"/>
  <c r="AT326" i="1"/>
  <c r="AS326" i="1"/>
  <c r="AR326" i="1"/>
  <c r="AT325" i="1"/>
  <c r="AS325" i="1"/>
  <c r="AR325" i="1"/>
  <c r="AT324" i="1"/>
  <c r="AS324" i="1"/>
  <c r="AT323" i="1"/>
  <c r="AS323" i="1"/>
  <c r="AR323" i="1"/>
  <c r="AT322" i="1"/>
  <c r="AS322" i="1"/>
  <c r="AR322" i="1"/>
  <c r="AT321" i="1"/>
  <c r="AS321" i="1"/>
  <c r="AR321" i="1"/>
  <c r="AT320" i="1"/>
  <c r="AS320" i="1"/>
  <c r="AR320" i="1"/>
  <c r="AT319" i="1"/>
  <c r="AS319" i="1"/>
  <c r="AR319" i="1"/>
  <c r="AT318" i="1"/>
  <c r="AS318" i="1"/>
  <c r="AR318" i="1"/>
  <c r="AT317" i="1"/>
  <c r="AS317" i="1"/>
  <c r="AT316" i="1"/>
  <c r="AS316" i="1"/>
  <c r="AR316" i="1"/>
  <c r="AT315" i="1"/>
  <c r="AS315" i="1"/>
  <c r="AT314" i="1"/>
  <c r="AS314" i="1"/>
  <c r="AR314" i="1"/>
  <c r="AT313" i="1"/>
  <c r="AS313" i="1"/>
  <c r="AR313" i="1"/>
  <c r="AT312" i="1"/>
  <c r="AS312" i="1"/>
  <c r="AT311" i="1"/>
  <c r="AS311" i="1"/>
  <c r="AT310" i="1"/>
  <c r="AS310" i="1"/>
  <c r="AT309" i="1"/>
  <c r="AS309" i="1"/>
  <c r="AT308" i="1"/>
  <c r="AS308" i="1"/>
  <c r="AR308" i="1"/>
  <c r="AT307" i="1"/>
  <c r="AS307" i="1"/>
  <c r="AT306" i="1"/>
  <c r="AS306" i="1"/>
  <c r="AT305" i="1"/>
  <c r="AS305" i="1"/>
  <c r="AR305" i="1"/>
  <c r="AT304" i="1"/>
  <c r="AS304" i="1"/>
  <c r="AR304" i="1"/>
  <c r="AT303" i="1"/>
  <c r="AS303" i="1"/>
  <c r="AR303" i="1"/>
  <c r="AT302" i="1"/>
  <c r="AS302" i="1"/>
  <c r="AT301" i="1"/>
  <c r="AS301" i="1"/>
  <c r="AR301" i="1"/>
  <c r="AT300" i="1"/>
  <c r="AS300" i="1"/>
  <c r="AT299" i="1"/>
  <c r="AS299" i="1"/>
  <c r="AR299" i="1"/>
  <c r="AT298" i="1"/>
  <c r="AS298" i="1"/>
  <c r="AR298" i="1"/>
  <c r="AT297" i="1"/>
  <c r="AS297" i="1"/>
  <c r="AR297" i="1"/>
  <c r="AT296" i="1"/>
  <c r="AS296" i="1"/>
  <c r="AT295" i="1"/>
  <c r="AS295" i="1"/>
  <c r="AR295" i="1"/>
  <c r="AT294" i="1"/>
  <c r="AS294" i="1"/>
  <c r="AT293" i="1"/>
  <c r="AS293" i="1"/>
  <c r="AT292" i="1"/>
  <c r="AS292" i="1"/>
  <c r="AT291" i="1"/>
  <c r="AS291" i="1"/>
  <c r="AT290" i="1"/>
  <c r="AS290" i="1"/>
  <c r="AR290" i="1"/>
  <c r="AT289" i="1"/>
  <c r="AS289" i="1"/>
  <c r="AT288" i="1"/>
  <c r="AS288" i="1"/>
  <c r="AT287" i="1"/>
  <c r="AS287" i="1"/>
  <c r="AR287" i="1"/>
  <c r="AT286" i="1"/>
  <c r="AS286" i="1"/>
  <c r="AT285" i="1"/>
  <c r="AS285" i="1"/>
  <c r="AR285" i="1"/>
  <c r="AT284" i="1"/>
  <c r="AS284" i="1"/>
  <c r="AT283" i="1"/>
  <c r="AS283" i="1"/>
  <c r="AR283" i="1"/>
  <c r="AT282" i="1"/>
  <c r="AS282" i="1"/>
  <c r="AT281" i="1"/>
  <c r="AS281" i="1"/>
  <c r="AT280" i="1"/>
  <c r="AS280" i="1"/>
  <c r="AT279" i="1"/>
  <c r="AS279" i="1"/>
  <c r="AR279" i="1"/>
  <c r="AT278" i="1"/>
  <c r="AS278" i="1"/>
  <c r="AR278" i="1"/>
  <c r="AT277" i="1"/>
  <c r="AS277" i="1"/>
  <c r="AT276" i="1"/>
  <c r="AS276" i="1"/>
  <c r="AT275" i="1"/>
  <c r="AS275" i="1"/>
  <c r="AR275" i="1"/>
  <c r="AT274" i="1"/>
  <c r="AS274" i="1"/>
  <c r="AR274" i="1"/>
  <c r="AT273" i="1"/>
  <c r="AS273" i="1"/>
  <c r="AR273" i="1"/>
  <c r="AT272" i="1"/>
  <c r="AS272" i="1"/>
  <c r="AR272" i="1"/>
  <c r="AT271" i="1"/>
  <c r="AS271" i="1"/>
  <c r="AR271" i="1"/>
  <c r="AT270" i="1"/>
  <c r="AS270" i="1"/>
  <c r="AR270" i="1"/>
  <c r="AT269" i="1"/>
  <c r="AS269" i="1"/>
  <c r="AT268" i="1"/>
  <c r="AS268" i="1"/>
  <c r="AT267" i="1"/>
  <c r="AS267" i="1"/>
  <c r="AT266" i="1"/>
  <c r="AS266" i="1"/>
  <c r="AR266" i="1"/>
  <c r="AT265" i="1"/>
  <c r="AS265" i="1"/>
  <c r="AR265" i="1"/>
  <c r="AT264" i="1"/>
  <c r="AS264" i="1"/>
  <c r="AR264" i="1"/>
  <c r="AT263" i="1"/>
  <c r="AS263" i="1"/>
  <c r="AR263" i="1"/>
  <c r="AT262" i="1"/>
  <c r="AS262" i="1"/>
  <c r="AR262" i="1"/>
  <c r="AT261" i="1"/>
  <c r="AS261" i="1"/>
  <c r="AR261" i="1"/>
  <c r="AT260" i="1"/>
  <c r="AS260" i="1"/>
  <c r="AR260" i="1"/>
  <c r="AT259" i="1"/>
  <c r="AS259" i="1"/>
  <c r="AT258" i="1"/>
  <c r="AS258" i="1"/>
  <c r="AR258" i="1"/>
  <c r="AT257" i="1"/>
  <c r="AS257" i="1"/>
  <c r="AT256" i="1"/>
  <c r="AS256" i="1"/>
  <c r="AR256" i="1"/>
  <c r="AT255" i="1"/>
  <c r="AS255" i="1"/>
  <c r="AR255" i="1"/>
  <c r="AT254" i="1"/>
  <c r="AS254" i="1"/>
  <c r="AR254" i="1"/>
  <c r="AT253" i="1"/>
  <c r="AS253" i="1"/>
  <c r="AR253" i="1"/>
  <c r="AT252" i="1"/>
  <c r="AS252" i="1"/>
  <c r="AR252" i="1"/>
  <c r="AT251" i="1"/>
  <c r="AS251" i="1"/>
  <c r="AR251" i="1"/>
  <c r="AT250" i="1"/>
  <c r="AS250" i="1"/>
  <c r="AT249" i="1"/>
  <c r="AS249" i="1"/>
  <c r="AT248" i="1"/>
  <c r="AS248" i="1"/>
  <c r="AR248" i="1"/>
  <c r="AT247" i="1"/>
  <c r="AS247" i="1"/>
  <c r="AR247" i="1"/>
  <c r="AT246" i="1"/>
  <c r="AS246" i="1"/>
  <c r="AR246" i="1"/>
  <c r="AT245" i="1"/>
  <c r="AS245" i="1"/>
  <c r="AT244" i="1"/>
  <c r="AS244" i="1"/>
  <c r="AR244" i="1"/>
  <c r="AT243" i="1"/>
  <c r="AS243" i="1"/>
  <c r="AR243" i="1"/>
  <c r="AT242" i="1"/>
  <c r="AS242" i="1"/>
  <c r="AR242" i="1"/>
  <c r="AT241" i="1"/>
  <c r="AS241" i="1"/>
  <c r="AR241" i="1"/>
  <c r="AT240" i="1"/>
  <c r="AS240" i="1"/>
  <c r="AR240" i="1"/>
  <c r="AT239" i="1"/>
  <c r="AS239" i="1"/>
  <c r="AR239" i="1"/>
  <c r="AT238" i="1"/>
  <c r="AS238" i="1"/>
  <c r="AR238" i="1"/>
  <c r="AT237" i="1"/>
  <c r="AS237" i="1"/>
  <c r="AR237" i="1"/>
  <c r="AT236" i="1"/>
  <c r="AS236" i="1"/>
  <c r="AT235" i="1"/>
  <c r="AS235" i="1"/>
  <c r="AR235" i="1"/>
  <c r="AT234" i="1"/>
  <c r="AS234" i="1"/>
  <c r="AR234" i="1"/>
  <c r="AT233" i="1"/>
  <c r="AS233" i="1"/>
  <c r="AT232" i="1"/>
  <c r="AS232" i="1"/>
  <c r="AR232" i="1"/>
  <c r="AT231" i="1"/>
  <c r="AS231" i="1"/>
  <c r="AR231" i="1"/>
  <c r="AT230" i="1"/>
  <c r="AS230" i="1"/>
  <c r="AT229" i="1"/>
  <c r="AS229" i="1"/>
  <c r="AR229" i="1"/>
  <c r="AT228" i="1"/>
  <c r="AS228" i="1"/>
  <c r="AR228" i="1"/>
  <c r="AT227" i="1"/>
  <c r="AS227" i="1"/>
  <c r="AR227" i="1"/>
  <c r="AT226" i="1"/>
  <c r="AS226" i="1"/>
  <c r="AR226" i="1"/>
  <c r="AT225" i="1"/>
  <c r="AS225" i="1"/>
  <c r="AR225" i="1"/>
  <c r="AT224" i="1"/>
  <c r="AS224" i="1"/>
  <c r="AR224" i="1"/>
  <c r="AT223" i="1"/>
  <c r="AS223" i="1"/>
  <c r="AR223" i="1"/>
  <c r="AT222" i="1"/>
  <c r="AS222" i="1"/>
  <c r="AR222" i="1"/>
  <c r="AT221" i="1"/>
  <c r="AS221" i="1"/>
  <c r="AR221" i="1"/>
  <c r="AT220" i="1"/>
  <c r="AS220" i="1"/>
  <c r="AR220" i="1"/>
  <c r="AT219" i="1"/>
  <c r="AS219" i="1"/>
  <c r="AR219" i="1"/>
  <c r="AT218" i="1"/>
  <c r="AS218" i="1"/>
  <c r="AR218" i="1"/>
  <c r="AT217" i="1"/>
  <c r="AS217" i="1"/>
  <c r="AR217" i="1"/>
  <c r="AT216" i="1"/>
  <c r="AS216" i="1"/>
  <c r="AR216" i="1"/>
  <c r="AT215" i="1"/>
  <c r="AS215" i="1"/>
  <c r="AT214" i="1"/>
  <c r="AS214" i="1"/>
  <c r="AT213" i="1"/>
  <c r="AS213" i="1"/>
  <c r="AT212" i="1"/>
  <c r="AS212" i="1"/>
  <c r="AT211" i="1"/>
  <c r="AS211" i="1"/>
  <c r="AT210" i="1"/>
  <c r="AS210" i="1"/>
  <c r="AT209" i="1"/>
  <c r="AS209" i="1"/>
  <c r="AT208" i="1"/>
  <c r="AS208" i="1"/>
  <c r="AR208" i="1"/>
  <c r="AT207" i="1"/>
  <c r="AS207" i="1"/>
  <c r="AT206" i="1"/>
  <c r="AS206" i="1"/>
  <c r="AR206" i="1"/>
  <c r="AT205" i="1"/>
  <c r="AS205" i="1"/>
  <c r="AT204" i="1"/>
  <c r="AS204" i="1"/>
  <c r="AT203" i="1"/>
  <c r="AS203" i="1"/>
  <c r="AT202" i="1"/>
  <c r="AS202" i="1"/>
  <c r="AT201" i="1"/>
  <c r="AS201" i="1"/>
  <c r="AT200" i="1"/>
  <c r="AS200" i="1"/>
  <c r="AR200" i="1"/>
  <c r="AT199" i="1"/>
  <c r="AS199" i="1"/>
  <c r="AT198" i="1"/>
  <c r="AS198" i="1"/>
  <c r="AR198" i="1"/>
  <c r="AT197" i="1"/>
  <c r="AS197" i="1"/>
  <c r="AR197" i="1"/>
  <c r="AT196" i="1"/>
  <c r="AS196" i="1"/>
  <c r="AR196" i="1"/>
  <c r="AT195" i="1"/>
  <c r="AS195" i="1"/>
  <c r="AR195" i="1"/>
  <c r="AT194" i="1"/>
  <c r="AS194" i="1"/>
  <c r="AR194" i="1"/>
  <c r="AT193" i="1"/>
  <c r="AS193" i="1"/>
  <c r="AR193" i="1"/>
  <c r="AT192" i="1"/>
  <c r="AS192" i="1"/>
  <c r="AR192" i="1"/>
  <c r="AT191" i="1"/>
  <c r="AS191" i="1"/>
  <c r="AR191" i="1"/>
  <c r="AT190" i="1"/>
  <c r="AS190" i="1"/>
  <c r="AT189" i="1"/>
  <c r="AS189" i="1"/>
  <c r="AR189" i="1"/>
  <c r="AT188" i="1"/>
  <c r="AS188" i="1"/>
  <c r="AT187" i="1"/>
  <c r="AS187" i="1"/>
  <c r="AT186" i="1"/>
  <c r="AS186" i="1"/>
  <c r="AT185" i="1"/>
  <c r="AS185" i="1"/>
  <c r="AT184" i="1"/>
  <c r="AS184" i="1"/>
  <c r="AT183" i="1"/>
  <c r="AS183" i="1"/>
  <c r="AR183" i="1"/>
  <c r="AT182" i="1"/>
  <c r="AS182" i="1"/>
  <c r="AR182" i="1"/>
  <c r="AT181" i="1"/>
  <c r="AS181" i="1"/>
  <c r="AR181" i="1"/>
  <c r="AT180" i="1"/>
  <c r="AS180" i="1"/>
  <c r="AR180" i="1"/>
  <c r="AT179" i="1"/>
  <c r="AS179" i="1"/>
  <c r="AR179" i="1"/>
  <c r="AT178" i="1"/>
  <c r="AS178" i="1"/>
  <c r="AR178" i="1"/>
  <c r="AT177" i="1"/>
  <c r="AS177" i="1"/>
  <c r="AR177" i="1"/>
  <c r="AT176" i="1"/>
  <c r="AS176" i="1"/>
  <c r="AR176" i="1"/>
  <c r="AT175" i="1"/>
  <c r="AS175" i="1"/>
  <c r="AR175" i="1"/>
  <c r="AT174" i="1"/>
  <c r="AS174" i="1"/>
  <c r="AR174" i="1"/>
  <c r="AT173" i="1"/>
  <c r="AS173" i="1"/>
  <c r="AR173" i="1"/>
  <c r="AT172" i="1"/>
  <c r="AS172" i="1"/>
  <c r="AT171" i="1"/>
  <c r="AS171" i="1"/>
  <c r="AT170" i="1"/>
  <c r="AS170" i="1"/>
  <c r="AR170" i="1"/>
  <c r="AT169" i="1"/>
  <c r="AS169" i="1"/>
  <c r="AR169" i="1"/>
  <c r="AT168" i="1"/>
  <c r="AS168" i="1"/>
  <c r="AT167" i="1"/>
  <c r="AS167" i="1"/>
  <c r="AT166" i="1"/>
  <c r="AS166" i="1"/>
  <c r="AT165" i="1"/>
  <c r="AS165" i="1"/>
  <c r="AR165" i="1"/>
  <c r="AT164" i="1"/>
  <c r="AS164" i="1"/>
  <c r="AR164" i="1"/>
  <c r="AT163" i="1"/>
  <c r="AS163" i="1"/>
  <c r="AR163" i="1"/>
  <c r="AT162" i="1"/>
  <c r="AS162" i="1"/>
  <c r="AT161" i="1"/>
  <c r="AS161" i="1"/>
  <c r="AR161" i="1"/>
  <c r="AT160" i="1"/>
  <c r="AS160" i="1"/>
  <c r="AT159" i="1"/>
  <c r="AS159" i="1"/>
  <c r="AT158" i="1"/>
  <c r="AS158" i="1"/>
  <c r="AR158" i="1"/>
  <c r="AT157" i="1"/>
  <c r="AS157" i="1"/>
  <c r="AR157" i="1"/>
  <c r="AT156" i="1"/>
  <c r="AS156" i="1"/>
  <c r="AT155" i="1"/>
  <c r="AS155" i="1"/>
  <c r="AR155" i="1"/>
  <c r="AT154" i="1"/>
  <c r="AS154" i="1"/>
  <c r="AR154" i="1"/>
  <c r="AT153" i="1"/>
  <c r="AS153" i="1"/>
  <c r="AR153" i="1"/>
  <c r="AT152" i="1"/>
  <c r="AS152" i="1"/>
  <c r="AR152" i="1"/>
  <c r="AT151" i="1"/>
  <c r="AS151" i="1"/>
  <c r="AR151" i="1"/>
  <c r="AT150" i="1"/>
  <c r="AS150" i="1"/>
  <c r="AR150" i="1"/>
  <c r="AT149" i="1"/>
  <c r="AS149" i="1"/>
  <c r="AR149" i="1"/>
  <c r="AT148" i="1"/>
  <c r="AS148" i="1"/>
  <c r="AR148" i="1"/>
  <c r="AT147" i="1"/>
  <c r="AS147" i="1"/>
  <c r="AR147" i="1"/>
  <c r="AT146" i="1"/>
  <c r="AS146" i="1"/>
  <c r="AT145" i="1"/>
  <c r="AS145" i="1"/>
  <c r="AT144" i="1"/>
  <c r="AS144" i="1"/>
  <c r="AR144" i="1"/>
  <c r="AT143" i="1"/>
  <c r="AS143" i="1"/>
  <c r="AR143" i="1"/>
  <c r="AT142" i="1"/>
  <c r="AS142" i="1"/>
  <c r="AR142" i="1"/>
  <c r="AT141" i="1"/>
  <c r="AS141" i="1"/>
  <c r="AR141" i="1"/>
  <c r="AT140" i="1"/>
  <c r="AS140" i="1"/>
  <c r="AR140" i="1"/>
  <c r="AT139" i="1"/>
  <c r="AS139" i="1"/>
  <c r="AR139" i="1"/>
  <c r="AT138" i="1"/>
  <c r="AS138" i="1"/>
  <c r="AR138" i="1"/>
  <c r="AT137" i="1"/>
  <c r="AS137" i="1"/>
  <c r="AR137" i="1"/>
  <c r="AT136" i="1"/>
  <c r="AS136" i="1"/>
  <c r="AT135" i="1"/>
  <c r="AS135" i="1"/>
  <c r="AR135" i="1"/>
  <c r="AT134" i="1"/>
  <c r="AS134" i="1"/>
  <c r="AR134" i="1"/>
  <c r="AT133" i="1"/>
  <c r="AS133" i="1"/>
  <c r="AR133" i="1"/>
  <c r="AT132" i="1"/>
  <c r="AS132" i="1"/>
  <c r="AR132" i="1"/>
  <c r="AT131" i="1"/>
  <c r="AS131" i="1"/>
  <c r="AT130" i="1"/>
  <c r="AS130" i="1"/>
  <c r="AR130" i="1"/>
  <c r="AT129" i="1"/>
  <c r="AS129" i="1"/>
  <c r="AT128" i="1"/>
  <c r="AS128" i="1"/>
  <c r="AT127" i="1"/>
  <c r="AS127" i="1"/>
  <c r="AT126" i="1"/>
  <c r="AS126" i="1"/>
  <c r="AT125" i="1"/>
  <c r="AS125" i="1"/>
  <c r="AT124" i="1"/>
  <c r="AS124" i="1"/>
  <c r="AR124" i="1"/>
  <c r="AT123" i="1"/>
  <c r="AS123" i="1"/>
  <c r="AR123" i="1"/>
  <c r="AT122" i="1"/>
  <c r="AS122" i="1"/>
  <c r="AR122" i="1"/>
  <c r="AT121" i="1"/>
  <c r="AS121" i="1"/>
  <c r="AT120" i="1"/>
  <c r="AS120" i="1"/>
  <c r="AR120" i="1"/>
  <c r="AT119" i="1"/>
  <c r="AS119" i="1"/>
  <c r="AR119" i="1"/>
  <c r="AT118" i="1"/>
  <c r="AS118" i="1"/>
  <c r="AR118" i="1"/>
  <c r="AT117" i="1"/>
  <c r="AS117" i="1"/>
  <c r="AT116" i="1"/>
  <c r="AS116" i="1"/>
  <c r="AR116" i="1"/>
  <c r="AT115" i="1"/>
  <c r="AS115" i="1"/>
  <c r="AT114" i="1"/>
  <c r="AS114" i="1"/>
  <c r="AR114" i="1"/>
  <c r="AT113" i="1"/>
  <c r="AS113" i="1"/>
  <c r="AT112" i="1"/>
  <c r="AS112" i="1"/>
  <c r="AR112" i="1"/>
  <c r="AT111" i="1"/>
  <c r="AS111" i="1"/>
  <c r="AT110" i="1"/>
  <c r="AS110" i="1"/>
  <c r="AR110" i="1"/>
  <c r="AT109" i="1"/>
  <c r="AS109" i="1"/>
  <c r="AR109" i="1"/>
  <c r="AT108" i="1"/>
  <c r="AS108" i="1"/>
  <c r="AR108" i="1"/>
  <c r="AT107" i="1"/>
  <c r="AS107" i="1"/>
  <c r="AT106" i="1"/>
  <c r="AS106" i="1"/>
  <c r="AR106" i="1"/>
  <c r="AT105" i="1"/>
  <c r="AS105" i="1"/>
  <c r="AT104" i="1"/>
  <c r="AS104" i="1"/>
  <c r="AT103" i="1"/>
  <c r="AS103" i="1"/>
  <c r="AR103" i="1"/>
  <c r="AT102" i="1"/>
  <c r="AS102" i="1"/>
  <c r="AT101" i="1"/>
  <c r="AS101" i="1"/>
  <c r="AR101" i="1"/>
  <c r="AT100" i="1"/>
  <c r="AS100" i="1"/>
  <c r="AR100" i="1"/>
  <c r="AT99" i="1"/>
  <c r="AS99" i="1"/>
  <c r="AR99" i="1"/>
  <c r="AT98" i="1"/>
  <c r="AS98" i="1"/>
  <c r="AR98" i="1"/>
  <c r="AT97" i="1"/>
  <c r="AS97" i="1"/>
  <c r="AR97" i="1"/>
  <c r="AT96" i="1"/>
  <c r="AS96" i="1"/>
  <c r="AR96" i="1"/>
  <c r="AT95" i="1"/>
  <c r="AS95" i="1"/>
  <c r="AR95" i="1"/>
  <c r="AT94" i="1"/>
  <c r="AS94" i="1"/>
  <c r="AR94" i="1"/>
  <c r="AT93" i="1"/>
  <c r="AS93" i="1"/>
  <c r="AT92" i="1"/>
  <c r="AS92" i="1"/>
  <c r="AR92" i="1"/>
  <c r="AT91" i="1"/>
  <c r="AS91" i="1"/>
  <c r="AR91" i="1"/>
  <c r="AT90" i="1"/>
  <c r="AS90" i="1"/>
  <c r="AR90" i="1"/>
  <c r="AT89" i="1"/>
  <c r="AS89" i="1"/>
  <c r="AT88" i="1"/>
  <c r="AS88" i="1"/>
  <c r="AR88" i="1"/>
  <c r="AT87" i="1"/>
  <c r="AS87" i="1"/>
  <c r="AR87" i="1"/>
  <c r="AT86" i="1"/>
  <c r="AS86" i="1"/>
  <c r="AT85" i="1"/>
  <c r="AS85" i="1"/>
  <c r="AR85" i="1"/>
  <c r="AT84" i="1"/>
  <c r="AS84" i="1"/>
  <c r="AR84" i="1"/>
  <c r="AT83" i="1"/>
  <c r="AS83" i="1"/>
  <c r="AR83" i="1"/>
  <c r="AT82" i="1"/>
  <c r="AS82" i="1"/>
  <c r="AR82" i="1"/>
  <c r="AT81" i="1"/>
  <c r="AS81" i="1"/>
  <c r="AR81" i="1"/>
  <c r="AT80" i="1"/>
  <c r="AS80" i="1"/>
  <c r="AR80" i="1"/>
  <c r="AT79" i="1"/>
  <c r="AS79" i="1"/>
  <c r="AR79" i="1"/>
  <c r="AT78" i="1"/>
  <c r="AS78" i="1"/>
  <c r="AR78" i="1"/>
  <c r="AT77" i="1"/>
  <c r="AS77" i="1"/>
  <c r="AR77" i="1"/>
  <c r="AT76" i="1"/>
  <c r="AS76" i="1"/>
  <c r="AR76" i="1"/>
  <c r="AT75" i="1"/>
  <c r="AS75" i="1"/>
  <c r="AT74" i="1"/>
  <c r="AS74" i="1"/>
  <c r="AR74" i="1"/>
  <c r="AT73" i="1"/>
  <c r="AS73" i="1"/>
  <c r="AT72" i="1"/>
  <c r="AS72" i="1"/>
  <c r="AR72" i="1"/>
  <c r="AT71" i="1"/>
  <c r="AS71" i="1"/>
  <c r="AR71" i="1"/>
  <c r="AT70" i="1"/>
  <c r="AS70" i="1"/>
  <c r="AR70" i="1"/>
  <c r="AT69" i="1"/>
  <c r="AS69" i="1"/>
  <c r="AT68" i="1"/>
  <c r="AS68" i="1"/>
  <c r="AR68" i="1"/>
  <c r="AT67" i="1"/>
  <c r="AS67" i="1"/>
  <c r="AR67" i="1"/>
  <c r="AT66" i="1"/>
  <c r="AS66" i="1"/>
  <c r="AR66" i="1"/>
  <c r="AT65" i="1"/>
  <c r="AS65" i="1"/>
  <c r="AT64" i="1"/>
  <c r="AS64" i="1"/>
  <c r="AT63" i="1"/>
  <c r="AS63" i="1"/>
  <c r="AT62" i="1"/>
  <c r="AS62" i="1"/>
  <c r="AR62" i="1"/>
  <c r="AT61" i="1"/>
  <c r="AS61" i="1"/>
  <c r="AT60" i="1"/>
  <c r="AS60" i="1"/>
  <c r="AR60" i="1"/>
  <c r="AT59" i="1"/>
  <c r="AS59" i="1"/>
  <c r="AR59" i="1"/>
  <c r="AT58" i="1"/>
  <c r="AS58" i="1"/>
  <c r="AR58" i="1"/>
  <c r="AT57" i="1"/>
  <c r="AS57" i="1"/>
  <c r="AT56" i="1"/>
  <c r="AS56" i="1"/>
  <c r="AT55" i="1"/>
  <c r="AS55" i="1"/>
  <c r="AT54" i="1"/>
  <c r="AS54" i="1"/>
  <c r="AR54" i="1"/>
  <c r="AT53" i="1"/>
  <c r="AS53" i="1"/>
  <c r="AR53" i="1"/>
  <c r="AT52" i="1"/>
  <c r="AS52" i="1"/>
  <c r="AT51" i="1"/>
  <c r="AS51" i="1"/>
  <c r="AT50" i="1"/>
  <c r="AS50" i="1"/>
  <c r="AR50" i="1"/>
  <c r="AT49" i="1"/>
  <c r="AS49" i="1"/>
  <c r="AR49" i="1"/>
  <c r="AT48" i="1"/>
  <c r="AS48" i="1"/>
  <c r="AT47" i="1"/>
  <c r="AS47" i="1"/>
  <c r="AR47" i="1"/>
  <c r="AT46" i="1"/>
  <c r="AS46" i="1"/>
  <c r="AT45" i="1"/>
  <c r="AS45" i="1"/>
  <c r="AT44" i="1"/>
  <c r="AS44" i="1"/>
  <c r="AT43" i="1"/>
  <c r="AS43" i="1"/>
  <c r="AR43" i="1"/>
  <c r="AT42" i="1"/>
  <c r="AS42" i="1"/>
  <c r="AR42" i="1"/>
  <c r="AT41" i="1"/>
  <c r="AS41" i="1"/>
  <c r="AT40" i="1"/>
  <c r="AS40" i="1"/>
  <c r="AT39" i="1"/>
  <c r="AS39" i="1"/>
  <c r="AR39" i="1"/>
  <c r="AT38" i="1"/>
  <c r="AS38" i="1"/>
  <c r="AR38" i="1"/>
  <c r="AT37" i="1"/>
  <c r="AS37" i="1"/>
  <c r="AR37" i="1"/>
  <c r="AT36" i="1"/>
  <c r="AS36" i="1"/>
  <c r="AT35" i="1"/>
  <c r="AS35" i="1"/>
  <c r="AT34" i="1"/>
  <c r="AS34" i="1"/>
  <c r="AT33" i="1"/>
  <c r="AS33" i="1"/>
  <c r="AR33" i="1"/>
  <c r="AT32" i="1"/>
  <c r="AS32" i="1"/>
  <c r="AT31" i="1"/>
  <c r="AS31" i="1"/>
  <c r="AT30" i="1"/>
  <c r="AS30" i="1"/>
  <c r="AR30" i="1"/>
  <c r="AT29" i="1"/>
  <c r="AS29" i="1"/>
  <c r="AT28" i="1"/>
  <c r="AS28" i="1"/>
  <c r="AR28" i="1"/>
  <c r="AT27" i="1"/>
  <c r="AS27" i="1"/>
  <c r="AT26" i="1"/>
  <c r="AS26" i="1"/>
  <c r="AR26" i="1"/>
  <c r="AT25" i="1"/>
  <c r="AS25" i="1"/>
  <c r="AR25" i="1"/>
  <c r="AT24" i="1"/>
  <c r="AS24" i="1"/>
  <c r="AR24" i="1"/>
  <c r="AT23" i="1"/>
  <c r="AS23" i="1"/>
  <c r="AT22" i="1"/>
  <c r="AS22" i="1"/>
  <c r="AR22" i="1"/>
  <c r="AT21" i="1"/>
  <c r="AS21" i="1"/>
  <c r="AR21" i="1"/>
  <c r="AT20" i="1"/>
  <c r="AS20" i="1"/>
  <c r="AT19" i="1"/>
  <c r="AS19" i="1"/>
  <c r="AR19" i="1"/>
  <c r="AT18" i="1"/>
  <c r="AS18" i="1"/>
  <c r="AR18" i="1"/>
  <c r="AT17" i="1"/>
  <c r="AS17" i="1"/>
  <c r="AR17" i="1"/>
  <c r="AT16" i="1"/>
  <c r="AS16" i="1"/>
  <c r="AT15" i="1"/>
  <c r="AS15" i="1"/>
  <c r="AR15" i="1"/>
  <c r="AT14" i="1"/>
  <c r="AS14" i="1"/>
  <c r="AR14" i="1"/>
  <c r="AT13" i="1"/>
  <c r="AS13" i="1"/>
  <c r="AR13" i="1"/>
  <c r="AT12" i="1"/>
  <c r="AS12" i="1"/>
  <c r="AR12" i="1"/>
  <c r="AT11" i="1"/>
  <c r="AS11" i="1"/>
  <c r="AR11" i="1"/>
  <c r="AT10" i="1"/>
  <c r="AS10" i="1"/>
  <c r="AT9" i="1"/>
  <c r="AS9" i="1"/>
  <c r="AT8" i="1"/>
  <c r="AS8" i="1"/>
  <c r="AR8" i="1"/>
  <c r="AT7" i="1"/>
  <c r="AS7" i="1"/>
  <c r="AR7" i="1"/>
  <c r="AT6" i="1"/>
  <c r="AS6" i="1"/>
  <c r="AT5" i="1"/>
  <c r="AS5" i="1"/>
  <c r="AR5" i="1"/>
  <c r="AT4" i="1"/>
  <c r="AS4" i="1"/>
  <c r="AR4" i="1"/>
  <c r="AT3" i="1"/>
  <c r="AS3" i="1"/>
  <c r="AR3" i="1"/>
  <c r="AT2" i="1"/>
  <c r="AS2" i="1"/>
  <c r="AR2" i="1"/>
</calcChain>
</file>

<file path=xl/sharedStrings.xml><?xml version="1.0" encoding="utf-8"?>
<sst xmlns="http://schemas.openxmlformats.org/spreadsheetml/2006/main" count="11403" uniqueCount="3658">
  <si>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</si>
  <si>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</si>
  <si>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</si>
  <si>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</si>
  <si>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</si>
  <si>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</si>
  <si>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</si>
  <si>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</si>
  <si>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</si>
  <si>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</si>
  <si>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</si>
  <si>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</si>
  <si>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</si>
  <si>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</si>
  <si>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</si>
  <si>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</si>
  <si>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</si>
  <si>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</si>
  <si>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</si>
  <si>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</si>
  <si>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</si>
  <si>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</si>
  <si>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</si>
  <si>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</si>
  <si>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</si>
  <si>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</si>
  <si>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</si>
  <si>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</si>
  <si>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</si>
  <si>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</si>
  <si>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</si>
  <si>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</si>
  <si>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</si>
  <si>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</si>
  <si>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</si>
  <si>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</si>
  <si>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</si>
  <si>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</si>
  <si>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</si>
  <si>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</si>
  <si>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</si>
  <si>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</si>
  <si>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</si>
  <si>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</si>
  <si>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</si>
  <si>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</si>
  <si>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</si>
  <si>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</si>
  <si>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</si>
  <si>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</si>
  <si>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</si>
  <si>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</si>
  <si>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</si>
  <si>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</si>
  <si>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</si>
  <si>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QR100 .I57 1983</t>
  </si>
  <si>
    <t>0                      QR 0100000I  57          1983</t>
  </si>
  <si>
    <t>Current perspectives in microbial ecology : proceedings of the Third International Symposium on Microbial Ecology, Michigan State University, 7-12 August 1983 / edited by M.J. Klug, C.A. Reddy.</t>
  </si>
  <si>
    <t>No</t>
  </si>
  <si>
    <t>1</t>
  </si>
  <si>
    <t>0</t>
  </si>
  <si>
    <t>International Symposium on Microbial Ecology (3rd : 1983 : Michigan State University)</t>
  </si>
  <si>
    <t>Washington, D.C. : American Society for Microbiology, 1984.</t>
  </si>
  <si>
    <t>1984</t>
  </si>
  <si>
    <t>eng</t>
  </si>
  <si>
    <t>dcu</t>
  </si>
  <si>
    <t xml:space="preserve">QR </t>
  </si>
  <si>
    <t>2004-03-20</t>
  </si>
  <si>
    <t>1993-03-04</t>
  </si>
  <si>
    <t>Yes</t>
  </si>
  <si>
    <t>993507544:eng</t>
  </si>
  <si>
    <t>10404466</t>
  </si>
  <si>
    <t>991000367829702656</t>
  </si>
  <si>
    <t>2270111270002656</t>
  </si>
  <si>
    <t>BOOK</t>
  </si>
  <si>
    <t>9780914826606</t>
  </si>
  <si>
    <t>32285001563864</t>
  </si>
  <si>
    <t>893784158</t>
  </si>
  <si>
    <t>QR100 .M515</t>
  </si>
  <si>
    <t>0                      QR 0100000M  515</t>
  </si>
  <si>
    <t>Microbial ecology : a conceptual approach / edited by J. M. Lynch and N. J. Poole.</t>
  </si>
  <si>
    <t>New York : Wiley, 1979.</t>
  </si>
  <si>
    <t>1979</t>
  </si>
  <si>
    <t>nyu</t>
  </si>
  <si>
    <t>2004-02-24</t>
  </si>
  <si>
    <t>797309291:eng</t>
  </si>
  <si>
    <t>4194124</t>
  </si>
  <si>
    <t>991004605149702656</t>
  </si>
  <si>
    <t>2262347080002656</t>
  </si>
  <si>
    <t>9780470265321</t>
  </si>
  <si>
    <t>32285001563872</t>
  </si>
  <si>
    <t>893263341</t>
  </si>
  <si>
    <t>QR100 .M52</t>
  </si>
  <si>
    <t>0                      QR 0100000M  52</t>
  </si>
  <si>
    <t>Microbial interaction with the physical environment / edited by D. W. Thayer.</t>
  </si>
  <si>
    <t>Stroudsburg, Pa. : Dowden, Hutchinson &amp; Ross ; New York : distributed by Halsted Press, [1975]</t>
  </si>
  <si>
    <t>1975</t>
  </si>
  <si>
    <t>pau</t>
  </si>
  <si>
    <t>Benchmark papers in microbiology ; 9</t>
  </si>
  <si>
    <t>2006-04-10</t>
  </si>
  <si>
    <t>1997-08-07</t>
  </si>
  <si>
    <t>2392563:eng</t>
  </si>
  <si>
    <t>1529428</t>
  </si>
  <si>
    <t>991003803999702656</t>
  </si>
  <si>
    <t>2256779860002656</t>
  </si>
  <si>
    <t>9780470858424</t>
  </si>
  <si>
    <t>32285003081907</t>
  </si>
  <si>
    <t>893875212</t>
  </si>
  <si>
    <t>QR100 .M54</t>
  </si>
  <si>
    <t>0                      QR 0100000M  54</t>
  </si>
  <si>
    <t>Microbial life in extreme environments / edited by D. J. Kushner. --</t>
  </si>
  <si>
    <t>London ; New York : Academic Press, 1978.</t>
  </si>
  <si>
    <t>1978</t>
  </si>
  <si>
    <t>enk</t>
  </si>
  <si>
    <t>14613311:eng</t>
  </si>
  <si>
    <t>4295286</t>
  </si>
  <si>
    <t>991004621029702656</t>
  </si>
  <si>
    <t>2271861090002656</t>
  </si>
  <si>
    <t>9780124302501</t>
  </si>
  <si>
    <t>32285001563880</t>
  </si>
  <si>
    <t>893325571</t>
  </si>
  <si>
    <t>QR100.9 .P67 1994</t>
  </si>
  <si>
    <t>0                      QR 0100900P  67          1994</t>
  </si>
  <si>
    <t>The outer reaches of life / John Postgate.</t>
  </si>
  <si>
    <t>Postgate, J. R. (John Raymond)</t>
  </si>
  <si>
    <t>Cambridge [England] ; New York, NY, USA : Cambridge University Press, 1994.</t>
  </si>
  <si>
    <t>1994</t>
  </si>
  <si>
    <t>1st ed.</t>
  </si>
  <si>
    <t>2003-02-27</t>
  </si>
  <si>
    <t>1995-01-23</t>
  </si>
  <si>
    <t>9950388:eng</t>
  </si>
  <si>
    <t>28424370</t>
  </si>
  <si>
    <t>991002211389702656</t>
  </si>
  <si>
    <t>2268176260002656</t>
  </si>
  <si>
    <t>9780521440103</t>
  </si>
  <si>
    <t>32285001994622</t>
  </si>
  <si>
    <t>893804355</t>
  </si>
  <si>
    <t>QR101 .A37</t>
  </si>
  <si>
    <t>0                      QR 0101000A  37</t>
  </si>
  <si>
    <t>Aerobiology : the ecological systems approach / edited by Robert L. Edmonds.</t>
  </si>
  <si>
    <t>Stroudsburg, Pa. : Dowden, Hutchinson &amp; Ross ; [New York] : distributed world wide by Academic Press, c1979.</t>
  </si>
  <si>
    <t>US/IBP synthesis series ; v. 10</t>
  </si>
  <si>
    <t>2001-01-05</t>
  </si>
  <si>
    <t>14764255:eng</t>
  </si>
  <si>
    <t>4493278</t>
  </si>
  <si>
    <t>991004649399702656</t>
  </si>
  <si>
    <t>2260853230002656</t>
  </si>
  <si>
    <t>9780879333461</t>
  </si>
  <si>
    <t>32285001563898</t>
  </si>
  <si>
    <t>893889004</t>
  </si>
  <si>
    <t>QR101 .G7 1973</t>
  </si>
  <si>
    <t>0                      QR 0101000G  7           1973</t>
  </si>
  <si>
    <t>The microbiology of the atmosphere [by] P. H. Gregory.</t>
  </si>
  <si>
    <t>Gregory, Philip Herries.</t>
  </si>
  <si>
    <t>New York, Wiley [1973]</t>
  </si>
  <si>
    <t>1973</t>
  </si>
  <si>
    <t>2d ed.</t>
  </si>
  <si>
    <t>A Plant science monograph</t>
  </si>
  <si>
    <t>1997-09-28</t>
  </si>
  <si>
    <t>1601540:eng</t>
  </si>
  <si>
    <t>631880</t>
  </si>
  <si>
    <t>991003078909702656</t>
  </si>
  <si>
    <t>2263102890002656</t>
  </si>
  <si>
    <t>9780471326717</t>
  </si>
  <si>
    <t>32285003081915</t>
  </si>
  <si>
    <t>893252007</t>
  </si>
  <si>
    <t>QR103 .F46 1998</t>
  </si>
  <si>
    <t>0                      QR 0103000F  46          1998</t>
  </si>
  <si>
    <t>Bacterial biogeochemistry : the ecophysiology of mineral cycling / T. Fenchel, G.M. King, and T.H. Blackburn.</t>
  </si>
  <si>
    <t>Fenchel, Tom.</t>
  </si>
  <si>
    <t>San Diego : Academic Press, c1998.</t>
  </si>
  <si>
    <t>1998</t>
  </si>
  <si>
    <t>cau</t>
  </si>
  <si>
    <t>2002-12-03</t>
  </si>
  <si>
    <t>792821495:eng</t>
  </si>
  <si>
    <t>37843846</t>
  </si>
  <si>
    <t>991003930359702656</t>
  </si>
  <si>
    <t>2263709890002656</t>
  </si>
  <si>
    <t>9780121034559</t>
  </si>
  <si>
    <t>32285004666342</t>
  </si>
  <si>
    <t>893894371</t>
  </si>
  <si>
    <t>QR105 .A73 1993</t>
  </si>
  <si>
    <t>0                      QR 0105000A  73          1993</t>
  </si>
  <si>
    <t>Aquatic microbiology : an ecological approach / edited by Timothy Edgcumbe Ford.</t>
  </si>
  <si>
    <t>Boston : Blackwell Scientific Publications, 1993.</t>
  </si>
  <si>
    <t>1993</t>
  </si>
  <si>
    <t>mau</t>
  </si>
  <si>
    <t>2006-02-07</t>
  </si>
  <si>
    <t>1994-05-26</t>
  </si>
  <si>
    <t>794193924:eng</t>
  </si>
  <si>
    <t>25915881</t>
  </si>
  <si>
    <t>991002035189702656</t>
  </si>
  <si>
    <t>2271684900002656</t>
  </si>
  <si>
    <t>9780086542250</t>
  </si>
  <si>
    <t>32285001899128</t>
  </si>
  <si>
    <t>893497647</t>
  </si>
  <si>
    <t>QR105 .S676 1999</t>
  </si>
  <si>
    <t>0                      QR 0105000S  676         1999</t>
  </si>
  <si>
    <t>Aquatic microbial ecology : a textbook for students in environmental sciences / Yuri I. Sorokin.</t>
  </si>
  <si>
    <t>Sorokin, I͡U. I.</t>
  </si>
  <si>
    <t>Leiden : Backhuys, 1999.</t>
  </si>
  <si>
    <t>1999</t>
  </si>
  <si>
    <t xml:space="preserve">ne </t>
  </si>
  <si>
    <t>2000-01-13</t>
  </si>
  <si>
    <t>365739920:eng</t>
  </si>
  <si>
    <t>41652213</t>
  </si>
  <si>
    <t>991003035579702656</t>
  </si>
  <si>
    <t>2259589790002656</t>
  </si>
  <si>
    <t>9789057820274</t>
  </si>
  <si>
    <t>32285003642047</t>
  </si>
  <si>
    <t>893799318</t>
  </si>
  <si>
    <t>QR106 .M53 2000</t>
  </si>
  <si>
    <t>0                      QR 0106000M  53          2000</t>
  </si>
  <si>
    <t>Microbial ecology of the oceans / edited by David L. Kirchman.</t>
  </si>
  <si>
    <t>New York : Wiley, c2000.</t>
  </si>
  <si>
    <t>2000</t>
  </si>
  <si>
    <t>Wiley series in ecological and applied microbiology</t>
  </si>
  <si>
    <t>2004-03-17</t>
  </si>
  <si>
    <t>1044576242:eng</t>
  </si>
  <si>
    <t>42397355</t>
  </si>
  <si>
    <t>991003930419702656</t>
  </si>
  <si>
    <t>2268032700002656</t>
  </si>
  <si>
    <t>9780471299929</t>
  </si>
  <si>
    <t>32285004667035</t>
  </si>
  <si>
    <t>893429455</t>
  </si>
  <si>
    <t>QR106 .S94 1978</t>
  </si>
  <si>
    <t>0                      QR 0106000S  94          1978</t>
  </si>
  <si>
    <t>Methodology for biomass determinations and microbial activities in sediments : a symposium / sponsored by ASTM Committee D19 on Water, American Society for Testing and Materials, Ft. Lauderdale, Fla., 30-31 Jan. 1978 ; C. D. Litchfield and P. L. Seyfried, editors.</t>
  </si>
  <si>
    <t>Symposium on Methodology for Biomass Determinations and Microbial Activities in Sediments (1978 : Fort Lauderdale, Fla.)</t>
  </si>
  <si>
    <t>Philadelphia : ASTM, c1979.</t>
  </si>
  <si>
    <t>ASTM special technical publication ; 673</t>
  </si>
  <si>
    <t>2002-10-12</t>
  </si>
  <si>
    <t>308073656:eng</t>
  </si>
  <si>
    <t>5989550</t>
  </si>
  <si>
    <t>991004909989702656</t>
  </si>
  <si>
    <t>2268329300002656</t>
  </si>
  <si>
    <t>32285001563914</t>
  </si>
  <si>
    <t>893532914</t>
  </si>
  <si>
    <t>QR111 .R49 1987</t>
  </si>
  <si>
    <t>0                      QR 0111000R  49          1987</t>
  </si>
  <si>
    <t>The microbiology of terrestrial ecosystems / B.N. Richards.</t>
  </si>
  <si>
    <t>Richards, B. N., 1928-</t>
  </si>
  <si>
    <t>Essex, England : Longman Scientific &amp; Technical ; New York : Wiley, 1987.</t>
  </si>
  <si>
    <t>1987</t>
  </si>
  <si>
    <t>2004-10-09</t>
  </si>
  <si>
    <t>1993-03-05</t>
  </si>
  <si>
    <t>6876668:eng</t>
  </si>
  <si>
    <t>13358617</t>
  </si>
  <si>
    <t>991000816519702656</t>
  </si>
  <si>
    <t>2267803840002656</t>
  </si>
  <si>
    <t>9780582450226</t>
  </si>
  <si>
    <t>32285001563930</t>
  </si>
  <si>
    <t>893595914</t>
  </si>
  <si>
    <t>QR111 .S672 1989</t>
  </si>
  <si>
    <t>0                      QR 0111000S  672         1989</t>
  </si>
  <si>
    <t>Soil microbiology and biochemistry / E.A. Paul, F.E. Clark.</t>
  </si>
  <si>
    <t>Paul, Eldor Alvin.</t>
  </si>
  <si>
    <t>San Diego : Academic Press, c1989.</t>
  </si>
  <si>
    <t>1989</t>
  </si>
  <si>
    <t>766941887:eng</t>
  </si>
  <si>
    <t>18589466</t>
  </si>
  <si>
    <t>991001373599702656</t>
  </si>
  <si>
    <t>2264311630002656</t>
  </si>
  <si>
    <t>9780125468053</t>
  </si>
  <si>
    <t>32285001563922</t>
  </si>
  <si>
    <t>893522526</t>
  </si>
  <si>
    <t>QR111 .S672 1996</t>
  </si>
  <si>
    <t>0                      QR 0111000S  672         1996</t>
  </si>
  <si>
    <t>Soil microbiology and biochemistry / [edited by] E.A. Paul, F.E. Clark.</t>
  </si>
  <si>
    <t>San Diego : Academic Press, c1996.</t>
  </si>
  <si>
    <t>1996</t>
  </si>
  <si>
    <t>2nd ed.</t>
  </si>
  <si>
    <t>2004-10-15</t>
  </si>
  <si>
    <t>1997-09-09</t>
  </si>
  <si>
    <t>34473520</t>
  </si>
  <si>
    <t>991002629009702656</t>
  </si>
  <si>
    <t>2263036150002656</t>
  </si>
  <si>
    <t>9780125468060</t>
  </si>
  <si>
    <t>32285003004610</t>
  </si>
  <si>
    <t>893409342</t>
  </si>
  <si>
    <t>QR111 .T28 1995</t>
  </si>
  <si>
    <t>0                      QR 0111000T  28          1995</t>
  </si>
  <si>
    <t>Soil microbiology / Robert L. Tate III.</t>
  </si>
  <si>
    <t>Tate, Robert L., 1944-</t>
  </si>
  <si>
    <t>New York : Wiley, c1995.</t>
  </si>
  <si>
    <t>1995</t>
  </si>
  <si>
    <t>2008-04-18</t>
  </si>
  <si>
    <t>1996-05-22</t>
  </si>
  <si>
    <t>3943719439:eng</t>
  </si>
  <si>
    <t>30701100</t>
  </si>
  <si>
    <t>991002360559702656</t>
  </si>
  <si>
    <t>2264075640002656</t>
  </si>
  <si>
    <t>9780471578680</t>
  </si>
  <si>
    <t>32285002177011</t>
  </si>
  <si>
    <t>893886167</t>
  </si>
  <si>
    <t>QR121 .H19 1948</t>
  </si>
  <si>
    <t>0                      QR 0121000H  19          1948</t>
  </si>
  <si>
    <t>Dairy bacteriology.</t>
  </si>
  <si>
    <t>Hammer, Bernard W. (Bernard Wernick), 1886-1966.</t>
  </si>
  <si>
    <t>New York, J. Wiley, 1948.</t>
  </si>
  <si>
    <t>1948</t>
  </si>
  <si>
    <t>3d ed.</t>
  </si>
  <si>
    <t>2002-05-04</t>
  </si>
  <si>
    <t>3943385879:eng</t>
  </si>
  <si>
    <t>1561297</t>
  </si>
  <si>
    <t>991003822029702656</t>
  </si>
  <si>
    <t>2261863500002656</t>
  </si>
  <si>
    <t>32285003081931</t>
  </si>
  <si>
    <t>893875234</t>
  </si>
  <si>
    <t>QR180 .D48 1968</t>
  </si>
  <si>
    <t>0                      QR 0180000D  48          1968</t>
  </si>
  <si>
    <t>Cellular recognition / editors: Richard T. Smith [and] Robert A. Good.</t>
  </si>
  <si>
    <t>Developmental Immunology Workshop (4th : 1968 : Sanibel Island, Fla.)</t>
  </si>
  <si>
    <t>New York : Appleton-Century-Crofts, [1969]</t>
  </si>
  <si>
    <t>1969</t>
  </si>
  <si>
    <t>2007-02-19</t>
  </si>
  <si>
    <t>1994-06-10</t>
  </si>
  <si>
    <t>364602532:eng</t>
  </si>
  <si>
    <t>28360</t>
  </si>
  <si>
    <t>991005264509702656</t>
  </si>
  <si>
    <t>2264918330002656</t>
  </si>
  <si>
    <t>9780390818607</t>
  </si>
  <si>
    <t>32285001928646</t>
  </si>
  <si>
    <t>893889941</t>
  </si>
  <si>
    <t>QR181 .A35</t>
  </si>
  <si>
    <t>0                      QR 0181000A  35</t>
  </si>
  <si>
    <t>Immunology and development, edited by Matteo Adinolfi. Pref. by John Humphrey.</t>
  </si>
  <si>
    <t>Adinolfi, Matteo.</t>
  </si>
  <si>
    <t>London, Spastics International Medical Publications in association with W. Heinemann Medical Books [1969]</t>
  </si>
  <si>
    <t>Clinics in development medicine no. 34</t>
  </si>
  <si>
    <t>2000-10-06</t>
  </si>
  <si>
    <t>346945228:eng</t>
  </si>
  <si>
    <t>204389</t>
  </si>
  <si>
    <t>991001785789702656</t>
  </si>
  <si>
    <t>2255461960002656</t>
  </si>
  <si>
    <t>9780433001102</t>
  </si>
  <si>
    <t>32285003081972</t>
  </si>
  <si>
    <t>893250508</t>
  </si>
  <si>
    <t>QR181 .B95</t>
  </si>
  <si>
    <t>0                      QR 0181000B  95</t>
  </si>
  <si>
    <t>The integrity of the body; a discussion of modern immunological ideas.</t>
  </si>
  <si>
    <t>Burnet, F. M. (Frank Macfarlane), Sir, 1899-1985.</t>
  </si>
  <si>
    <t>Cambridge, Harvard University Press, 1962.</t>
  </si>
  <si>
    <t>1962</t>
  </si>
  <si>
    <t>Harvard books in biology, v. 3</t>
  </si>
  <si>
    <t>2007-02-23</t>
  </si>
  <si>
    <t>1102107246:eng</t>
  </si>
  <si>
    <t>326252</t>
  </si>
  <si>
    <t>991001779929702656</t>
  </si>
  <si>
    <t>2272198670002656</t>
  </si>
  <si>
    <t>32285003081980</t>
  </si>
  <si>
    <t>893703319</t>
  </si>
  <si>
    <t>QR181 .C8</t>
  </si>
  <si>
    <t>0                      QR 0181000C  8</t>
  </si>
  <si>
    <t>Principles of immunology / John E. Cushing [and] Dan H. Campbell.</t>
  </si>
  <si>
    <t>Cushing, John Eldridge, 1916-</t>
  </si>
  <si>
    <t>New York : McGraw-Hill, 1957.</t>
  </si>
  <si>
    <t>1957</t>
  </si>
  <si>
    <t>1995-11-22</t>
  </si>
  <si>
    <t>1993-11-16</t>
  </si>
  <si>
    <t>1633007:eng</t>
  </si>
  <si>
    <t>560310</t>
  </si>
  <si>
    <t>991002990409702656</t>
  </si>
  <si>
    <t>2256706610002656</t>
  </si>
  <si>
    <t>32285001798676</t>
  </si>
  <si>
    <t>893440794</t>
  </si>
  <si>
    <t>QR181 .D38 1989</t>
  </si>
  <si>
    <t>0                      QR 0181000D  38          1989</t>
  </si>
  <si>
    <t>Immunology : a foundation text / Basiro Davey.</t>
  </si>
  <si>
    <t>Davey, Basiro.</t>
  </si>
  <si>
    <t>Milton Keynes ; Philadelphia : Open University Press, 1989.</t>
  </si>
  <si>
    <t>2008-05-12</t>
  </si>
  <si>
    <t>1990-01-25</t>
  </si>
  <si>
    <t>4241285641:eng</t>
  </si>
  <si>
    <t>20416680</t>
  </si>
  <si>
    <t>991001573009702656</t>
  </si>
  <si>
    <t>2260295840002656</t>
  </si>
  <si>
    <t>9780335092581</t>
  </si>
  <si>
    <t>32285000035435</t>
  </si>
  <si>
    <t>893244215</t>
  </si>
  <si>
    <t>QR181 .G7</t>
  </si>
  <si>
    <t>0                      QR 0181000G  7</t>
  </si>
  <si>
    <t>Immunology : an outline of basic principles, problems, and theories concerning the immunological behaviour of man and animals / [by] David F. Gray.</t>
  </si>
  <si>
    <t>Gray, David F.</t>
  </si>
  <si>
    <t>New York : American Elsevier Pub. Co., [1964]</t>
  </si>
  <si>
    <t>1964</t>
  </si>
  <si>
    <t>2008-08-13</t>
  </si>
  <si>
    <t>1187297:eng</t>
  </si>
  <si>
    <t>3190507</t>
  </si>
  <si>
    <t>991004371059702656</t>
  </si>
  <si>
    <t>2258144150002656</t>
  </si>
  <si>
    <t>32285001798668</t>
  </si>
  <si>
    <t>893319133</t>
  </si>
  <si>
    <t>QR181 .H47</t>
  </si>
  <si>
    <t>0                      QR 0181000H  47</t>
  </si>
  <si>
    <t>Immunity in natural infectious disease, by F. d'Herelle.</t>
  </si>
  <si>
    <t>D'Herelle, Félix.</t>
  </si>
  <si>
    <t>Baltimore, Williams &amp; Wilkins Company, 1924.</t>
  </si>
  <si>
    <t>1924</t>
  </si>
  <si>
    <t>Authorized English ed. by George H. Smith.</t>
  </si>
  <si>
    <t>mdu</t>
  </si>
  <si>
    <t>2006-04-15</t>
  </si>
  <si>
    <t>146231381:eng</t>
  </si>
  <si>
    <t>586303</t>
  </si>
  <si>
    <t>991003021479702656</t>
  </si>
  <si>
    <t>2269046500002656</t>
  </si>
  <si>
    <t>32285003082004</t>
  </si>
  <si>
    <t>893530774</t>
  </si>
  <si>
    <t>QR181 .J37 1996</t>
  </si>
  <si>
    <t>0                      QR 0181000J  37          1996</t>
  </si>
  <si>
    <t>Immunobiology : the immune system in health and disease / Charles A. Janeway, Jr., Paul Travers.</t>
  </si>
  <si>
    <t>Janeway, Charles.</t>
  </si>
  <si>
    <t>London ; San Francisco : Current Biology ; New York : Garland Pub., c1996.</t>
  </si>
  <si>
    <t>2007-02-25</t>
  </si>
  <si>
    <t>1997-01-30</t>
  </si>
  <si>
    <t>836987839:eng</t>
  </si>
  <si>
    <t>33819665</t>
  </si>
  <si>
    <t>991005254889702656</t>
  </si>
  <si>
    <t>2272707760002656</t>
  </si>
  <si>
    <t>9780443056581</t>
  </si>
  <si>
    <t>32285002412863</t>
  </si>
  <si>
    <t>893877206</t>
  </si>
  <si>
    <t>QR181 .T36 1994</t>
  </si>
  <si>
    <t>0                      QR 0181000T  36          1994</t>
  </si>
  <si>
    <t>The immune self : theory or metaphor? / Alfred I. Tauber.</t>
  </si>
  <si>
    <t>Tauber, Alfred I.</t>
  </si>
  <si>
    <t>Cambridge ; New York : Cambridge University Press, 1994.</t>
  </si>
  <si>
    <t>Cambridge studies in philosophy and biology</t>
  </si>
  <si>
    <t>1996-02-22</t>
  </si>
  <si>
    <t>1995-06-20</t>
  </si>
  <si>
    <t>556829:eng</t>
  </si>
  <si>
    <t>29846160</t>
  </si>
  <si>
    <t>991002300609702656</t>
  </si>
  <si>
    <t>2265976260002656</t>
  </si>
  <si>
    <t>9780521461887</t>
  </si>
  <si>
    <t>32285002051992</t>
  </si>
  <si>
    <t>893335141</t>
  </si>
  <si>
    <t>QR181 .V27 1958</t>
  </si>
  <si>
    <t>0                      QR 0181000V  27          1958</t>
  </si>
  <si>
    <t>Immunity and virus infection; symposium held at Vanderbilt University School of Medicine, May 1-2, 1958 [and] sponsored by National Foundation for Infantile Paralysis, inc. Edited by Victor A. Najjar.</t>
  </si>
  <si>
    <t>Vanderbilt University. School of Medicine.</t>
  </si>
  <si>
    <t>New York, Wiley [1959]</t>
  </si>
  <si>
    <t>1959</t>
  </si>
  <si>
    <t>1997-10-06</t>
  </si>
  <si>
    <t>8343609:eng</t>
  </si>
  <si>
    <t>563440</t>
  </si>
  <si>
    <t>991005264519702656</t>
  </si>
  <si>
    <t>2255732550002656</t>
  </si>
  <si>
    <t>32285003082046</t>
  </si>
  <si>
    <t>893594745</t>
  </si>
  <si>
    <t>QR181.7 .K46 1998</t>
  </si>
  <si>
    <t>0                      QR 0181700K  46          1998</t>
  </si>
  <si>
    <t>Dying to live : how our bodies fight disease / Marion Kendall.</t>
  </si>
  <si>
    <t>Kendall, Marion D.</t>
  </si>
  <si>
    <t>Cambridge, U.K. ; New York : Cambridge University Press, 1998.</t>
  </si>
  <si>
    <t>1998-10-28</t>
  </si>
  <si>
    <t>375233316:eng</t>
  </si>
  <si>
    <t>38841997</t>
  </si>
  <si>
    <t>991002922409702656</t>
  </si>
  <si>
    <t>2256040880002656</t>
  </si>
  <si>
    <t>9780521584791</t>
  </si>
  <si>
    <t>32285003478434</t>
  </si>
  <si>
    <t>893323533</t>
  </si>
  <si>
    <t>QR184 .I44334 1984</t>
  </si>
  <si>
    <t>0                      QR 0184000I  44334       1984</t>
  </si>
  <si>
    <t>Immunogenetics / editor, William E. Paul.</t>
  </si>
  <si>
    <t>New York : Raven Press, c1984.</t>
  </si>
  <si>
    <t>1993-10-19</t>
  </si>
  <si>
    <t>54645200:eng</t>
  </si>
  <si>
    <t>10778678</t>
  </si>
  <si>
    <t>991000430869702656</t>
  </si>
  <si>
    <t>2267947070002656</t>
  </si>
  <si>
    <t>9780881670134</t>
  </si>
  <si>
    <t>32285001564029</t>
  </si>
  <si>
    <t>893865341</t>
  </si>
  <si>
    <t>QR185.2 .A36 1988</t>
  </si>
  <si>
    <t>0                      QR 0185200A  36          1988</t>
  </si>
  <si>
    <t>Antioxidant nutrients and immune functions / edited by Adrianne Bendich, Marshall Phillips, and Robert P. Tengerdy.</t>
  </si>
  <si>
    <t>Agricultural and Food Chemistry Division of the American Chemical Society Symposium on Antioxidant Nutrients and the Immune Response (1988 : Los Angeles, Calif.)</t>
  </si>
  <si>
    <t>New York : Plenum Press, c1990.</t>
  </si>
  <si>
    <t>1990</t>
  </si>
  <si>
    <t>Advances in experimental medicine and biology ; v. 262</t>
  </si>
  <si>
    <t>2007-04-16</t>
  </si>
  <si>
    <t>1990-09-06</t>
  </si>
  <si>
    <t>155026244:eng</t>
  </si>
  <si>
    <t>20690340</t>
  </si>
  <si>
    <t>991001604059702656</t>
  </si>
  <si>
    <t>2258026670002656</t>
  </si>
  <si>
    <t>9780306433962</t>
  </si>
  <si>
    <t>32285000276708</t>
  </si>
  <si>
    <t>893703118</t>
  </si>
  <si>
    <t>QR185.5 .K48 1998</t>
  </si>
  <si>
    <t>0                      QR 0185500K  48          1998</t>
  </si>
  <si>
    <t>The Baltimore case : a trial of politics, science, and character / Daniel J. Kevles.</t>
  </si>
  <si>
    <t>Kevles, Daniel J.</t>
  </si>
  <si>
    <t>New York : Norton, c1998.</t>
  </si>
  <si>
    <t>2001-04-03</t>
  </si>
  <si>
    <t>1999-04-27</t>
  </si>
  <si>
    <t>836962282:eng</t>
  </si>
  <si>
    <t>38130670</t>
  </si>
  <si>
    <t>991002894549702656</t>
  </si>
  <si>
    <t>2262292180002656</t>
  </si>
  <si>
    <t>9780393041033</t>
  </si>
  <si>
    <t>32285003556320</t>
  </si>
  <si>
    <t>893428181</t>
  </si>
  <si>
    <t>QR185.8.A59 A97 1989</t>
  </si>
  <si>
    <t>0                      QR 0185800A  59                 A  97          1989</t>
  </si>
  <si>
    <t>Antigen-presenting cells / Jonathan M. Austyn.</t>
  </si>
  <si>
    <t>Austyn, Jonathan M.</t>
  </si>
  <si>
    <t>Oxford ; New York : IRL Press, 1989.</t>
  </si>
  <si>
    <t>In focus</t>
  </si>
  <si>
    <t>1993-06-02</t>
  </si>
  <si>
    <t>1989-12-29</t>
  </si>
  <si>
    <t>21150956:eng</t>
  </si>
  <si>
    <t>19354039</t>
  </si>
  <si>
    <t>991001455019702656</t>
  </si>
  <si>
    <t>2270248570002656</t>
  </si>
  <si>
    <t>9780199630059</t>
  </si>
  <si>
    <t>32285000026038</t>
  </si>
  <si>
    <t>893509632</t>
  </si>
  <si>
    <t>QR185.8.C95 C54 1991</t>
  </si>
  <si>
    <t>0                      QR 0185800C  95                 C  54          1991</t>
  </si>
  <si>
    <t>Cytokines / M.J. Clemens.</t>
  </si>
  <si>
    <t>Clemens, Michael J.</t>
  </si>
  <si>
    <t>Oxford : BIOS Scientific Publishers, 1991.</t>
  </si>
  <si>
    <t>1991</t>
  </si>
  <si>
    <t>Medical perspectives series</t>
  </si>
  <si>
    <t>2010-04-18</t>
  </si>
  <si>
    <t>1992-12-10</t>
  </si>
  <si>
    <t>144011062:eng</t>
  </si>
  <si>
    <t>26636406</t>
  </si>
  <si>
    <t>991002078459702656</t>
  </si>
  <si>
    <t>2263205720002656</t>
  </si>
  <si>
    <t>9781872748702</t>
  </si>
  <si>
    <t>32285001401974</t>
  </si>
  <si>
    <t>893244738</t>
  </si>
  <si>
    <t>QR185.8.I56 I58 1992</t>
  </si>
  <si>
    <t>0                      QR 0185800I  56                 I  58          1992</t>
  </si>
  <si>
    <t>Interleukin-2 / edited by Jonathan Waxman, Frances Balkwill.</t>
  </si>
  <si>
    <t>Oxford ; Boston : Blackwell Scientific Publications, 1992.</t>
  </si>
  <si>
    <t>1992</t>
  </si>
  <si>
    <t>Frontiers in pharmacology &amp; therapeutics</t>
  </si>
  <si>
    <t>1996-03-08</t>
  </si>
  <si>
    <t>1994-01-13</t>
  </si>
  <si>
    <t>353647675:eng</t>
  </si>
  <si>
    <t>27978373</t>
  </si>
  <si>
    <t>991001804419702656</t>
  </si>
  <si>
    <t>2259738220002656</t>
  </si>
  <si>
    <t>9780632030422</t>
  </si>
  <si>
    <t>32285001831303</t>
  </si>
  <si>
    <t>893621639</t>
  </si>
  <si>
    <t>QR185.8.I56 T35 1995</t>
  </si>
  <si>
    <t>0                      QR 0185800I  56                 T  35          1995</t>
  </si>
  <si>
    <t>Interleukin-5 and its receptor system : from genes to disease / Kiyoshi Takatsu.</t>
  </si>
  <si>
    <t>Takatsu, Kiyoshi, 1944-</t>
  </si>
  <si>
    <t>New York : Springer-Verlag ; Austin : R.G. Landes, 1995.</t>
  </si>
  <si>
    <t>Molecular biology intelligence unit</t>
  </si>
  <si>
    <t>2001-09-28</t>
  </si>
  <si>
    <t>1996-11-22</t>
  </si>
  <si>
    <t>46049962:eng</t>
  </si>
  <si>
    <t>32094125</t>
  </si>
  <si>
    <t>991002463649702656</t>
  </si>
  <si>
    <t>2262821370002656</t>
  </si>
  <si>
    <t>9781570592331</t>
  </si>
  <si>
    <t>32285002385531</t>
  </si>
  <si>
    <t>893226868</t>
  </si>
  <si>
    <t>QR185.8.K54 N365 1992</t>
  </si>
  <si>
    <t>0                      QR 0185800K  54                 N  365         1992</t>
  </si>
  <si>
    <t>The Natural killer cell / edited by Claire E. Lewis and James O'D. McGee.</t>
  </si>
  <si>
    <t>Oxford ; New York : IRL Press at Oxford University Press, c1992.</t>
  </si>
  <si>
    <t>The Natural immune system</t>
  </si>
  <si>
    <t>350455344:eng</t>
  </si>
  <si>
    <t>24467919</t>
  </si>
  <si>
    <t>991001936569702656</t>
  </si>
  <si>
    <t>2269978810002656</t>
  </si>
  <si>
    <t>9780199632329</t>
  </si>
  <si>
    <t>32285001497030</t>
  </si>
  <si>
    <t>893516707</t>
  </si>
  <si>
    <t>QR185.8.L9 A66 1995</t>
  </si>
  <si>
    <t>0                      QR 0185800L  9                  A  66          1995</t>
  </si>
  <si>
    <t>Apoptosis and the immune response / editor, Christopher D. Gregory.</t>
  </si>
  <si>
    <t>New York : Wiley-Liss, c1995.</t>
  </si>
  <si>
    <t>1996-05-06</t>
  </si>
  <si>
    <t>33265821:eng</t>
  </si>
  <si>
    <t>31604665</t>
  </si>
  <si>
    <t>991002422519702656</t>
  </si>
  <si>
    <t>2270958200002656</t>
  </si>
  <si>
    <t>9780471012511</t>
  </si>
  <si>
    <t>32285002159522</t>
  </si>
  <si>
    <t>893529961</t>
  </si>
  <si>
    <t>QR185.B4 C65 1966</t>
  </si>
  <si>
    <t>0                      QR 0185000B  4                  C  65          1966</t>
  </si>
  <si>
    <t>Phage and the origins of molecular biology : [essays] / Edited by John Cairns, Gunther S. Stent [and] James D. Watson.</t>
  </si>
  <si>
    <t>Cold Spring Harbor Laboratory of Quantitative Biology.</t>
  </si>
  <si>
    <t>1966</t>
  </si>
  <si>
    <t>2002-02-24</t>
  </si>
  <si>
    <t>2000-11-21</t>
  </si>
  <si>
    <t>364458376:eng</t>
  </si>
  <si>
    <t>712215</t>
  </si>
  <si>
    <t>991003341089702656</t>
  </si>
  <si>
    <t>2256681050002656</t>
  </si>
  <si>
    <t>32285004267166</t>
  </si>
  <si>
    <t>893342479</t>
  </si>
  <si>
    <t>QR186.7 .S57 1991</t>
  </si>
  <si>
    <t>0                      QR 0186700S  57          1991</t>
  </si>
  <si>
    <t>Somatic hypermutation in V-regions / editor, Edward J. Steele.</t>
  </si>
  <si>
    <t>Boca Raton : CRC Press, c1991.</t>
  </si>
  <si>
    <t>flu</t>
  </si>
  <si>
    <t>1992-10-30</t>
  </si>
  <si>
    <t>1991-05-22</t>
  </si>
  <si>
    <t>24300676:eng</t>
  </si>
  <si>
    <t>22276332</t>
  </si>
  <si>
    <t>991001761989702656</t>
  </si>
  <si>
    <t>2263193870002656</t>
  </si>
  <si>
    <t>9780849353482</t>
  </si>
  <si>
    <t>32285000574342</t>
  </si>
  <si>
    <t>893261935</t>
  </si>
  <si>
    <t>QR186.85 .M6623 1995</t>
  </si>
  <si>
    <t>0                      QR 0186850M  6623        1995</t>
  </si>
  <si>
    <t>Monoclonal antibodies : production, engineering, and clinical application / edited by Mary A. Ritter and Heather M. Ladyman.</t>
  </si>
  <si>
    <t>Cambridge [Egland] ; New York, NY : Published in association with the Royal Postgraduate Medical School, University of London by Cambridge University Press, 1995.</t>
  </si>
  <si>
    <t>Postgraduate medical science</t>
  </si>
  <si>
    <t>2000-04-03</t>
  </si>
  <si>
    <t>1995-07-21</t>
  </si>
  <si>
    <t>795780720:eng</t>
  </si>
  <si>
    <t>30036676</t>
  </si>
  <si>
    <t>991002315389702656</t>
  </si>
  <si>
    <t>2271013630002656</t>
  </si>
  <si>
    <t>9780521425032</t>
  </si>
  <si>
    <t>32285002054871</t>
  </si>
  <si>
    <t>893504276</t>
  </si>
  <si>
    <t>QR186.87 .R43 1999</t>
  </si>
  <si>
    <t>0                      QR 0186870R  43          1999</t>
  </si>
  <si>
    <t>Recombinant antibodies / [edited by] Frank Breitling, Stefan Dübel.</t>
  </si>
  <si>
    <t>New York : John Wiley, c1999.</t>
  </si>
  <si>
    <t>English ed.</t>
  </si>
  <si>
    <t>2000-10-24</t>
  </si>
  <si>
    <t>364160590:eng</t>
  </si>
  <si>
    <t>40964704</t>
  </si>
  <si>
    <t>991003292879702656</t>
  </si>
  <si>
    <t>2268208560002656</t>
  </si>
  <si>
    <t>9780471178477</t>
  </si>
  <si>
    <t>32285003769998</t>
  </si>
  <si>
    <t>893874624</t>
  </si>
  <si>
    <t>QR187.5 .P36 1984</t>
  </si>
  <si>
    <t>0                      QR 0187500P  36          1984</t>
  </si>
  <si>
    <t>The interferon crusade / Sandra Panem.</t>
  </si>
  <si>
    <t>Panem, Sandra, 1946-</t>
  </si>
  <si>
    <t>Washington, D.C. : Brookings Institution, c1984.</t>
  </si>
  <si>
    <t>2004-04-07</t>
  </si>
  <si>
    <t>4046780:eng</t>
  </si>
  <si>
    <t>11089751</t>
  </si>
  <si>
    <t>991000487439702656</t>
  </si>
  <si>
    <t>2265293830002656</t>
  </si>
  <si>
    <t>9780815768999</t>
  </si>
  <si>
    <t>32285001564136</t>
  </si>
  <si>
    <t>893351543</t>
  </si>
  <si>
    <t>QR188.4 .C45 1995</t>
  </si>
  <si>
    <t>0                      QR 0188400C  45          1995</t>
  </si>
  <si>
    <t>Chimerism and tolerance / [edited by] Suzanne T. Ildstad.</t>
  </si>
  <si>
    <t>New York : Springer-Verlag ; Austin : R.G. Landes, c1995.</t>
  </si>
  <si>
    <t>Medical intelligence unit</t>
  </si>
  <si>
    <t>1997-11-02</t>
  </si>
  <si>
    <t>1996-06-06</t>
  </si>
  <si>
    <t>34493163:eng</t>
  </si>
  <si>
    <t>31940361</t>
  </si>
  <si>
    <t>991002449999702656</t>
  </si>
  <si>
    <t>2258460940002656</t>
  </si>
  <si>
    <t>9781879702936</t>
  </si>
  <si>
    <t>32285002188943</t>
  </si>
  <si>
    <t>893804625</t>
  </si>
  <si>
    <t>QR189.5.A33 C64 2001</t>
  </si>
  <si>
    <t>0                      QR 0189500A  33                 C  64          2001</t>
  </si>
  <si>
    <t>Shots in the dark : the wayward search for an AIDS vaccine / Jon Cohen.</t>
  </si>
  <si>
    <t>Cohen, Jon, 1958-</t>
  </si>
  <si>
    <t>New York : Norton, c2001.</t>
  </si>
  <si>
    <t>2001</t>
  </si>
  <si>
    <t>2002-03-22</t>
  </si>
  <si>
    <t>2001-09-25</t>
  </si>
  <si>
    <t>838268090:eng</t>
  </si>
  <si>
    <t>44803079</t>
  </si>
  <si>
    <t>991003604899702656</t>
  </si>
  <si>
    <t>2272761610002656</t>
  </si>
  <si>
    <t>9780393050271</t>
  </si>
  <si>
    <t>32285004392865</t>
  </si>
  <si>
    <t>893342744</t>
  </si>
  <si>
    <t>QR201.A37 M6613 2000</t>
  </si>
  <si>
    <t>0                      QR 0201000A  37                 M  6613        2000</t>
  </si>
  <si>
    <t>Virus : the co-discoverer of HIV tracks its rampage and charts the future / Luc Montagnier ; translated from the French by Stephen Sartarelli.</t>
  </si>
  <si>
    <t>Montagnier, Luc.</t>
  </si>
  <si>
    <t>New York : W.W. Norton, c2000.</t>
  </si>
  <si>
    <t>2008-02-25</t>
  </si>
  <si>
    <t>2000-11-01</t>
  </si>
  <si>
    <t>4160319215:eng</t>
  </si>
  <si>
    <t>40762839</t>
  </si>
  <si>
    <t>991003292789702656</t>
  </si>
  <si>
    <t>2267118870002656</t>
  </si>
  <si>
    <t>9780393039238</t>
  </si>
  <si>
    <t>32285004261789</t>
  </si>
  <si>
    <t>893336341</t>
  </si>
  <si>
    <t>QR201.H48 H86 1993</t>
  </si>
  <si>
    <t>0                      QR 0201000H  48                 H  86          1993</t>
  </si>
  <si>
    <t>The Human herpesviruses / editors, Bernard Roizman, Richard J. Whitley, Carlos Lopez.</t>
  </si>
  <si>
    <t>New York : Raven Press, c1993.</t>
  </si>
  <si>
    <t>2009-02-20</t>
  </si>
  <si>
    <t>1994-06-02</t>
  </si>
  <si>
    <t>509332313:eng</t>
  </si>
  <si>
    <t>27640768</t>
  </si>
  <si>
    <t>991002144969702656</t>
  </si>
  <si>
    <t>2256640240002656</t>
  </si>
  <si>
    <t>9780781700245</t>
  </si>
  <si>
    <t>32285001920601</t>
  </si>
  <si>
    <t>893316445</t>
  </si>
  <si>
    <t>QR201.L88 K37 2000</t>
  </si>
  <si>
    <t>0                      QR 0201000L  88                 K  37          2000</t>
  </si>
  <si>
    <t>Biography of a germ / Arno Karlen.</t>
  </si>
  <si>
    <t>Karlen, Arno.</t>
  </si>
  <si>
    <t>New York : Pantheon Books, c2000.</t>
  </si>
  <si>
    <t>2000-10-05</t>
  </si>
  <si>
    <t>17307338:eng</t>
  </si>
  <si>
    <t>42889718</t>
  </si>
  <si>
    <t>991003292759702656</t>
  </si>
  <si>
    <t>2260776490002656</t>
  </si>
  <si>
    <t>9780375401992</t>
  </si>
  <si>
    <t>32285003766986</t>
  </si>
  <si>
    <t>893893573</t>
  </si>
  <si>
    <t>QR201.P27 M65 1995</t>
  </si>
  <si>
    <t>0                      QR 0201000P  27                 M  65          1995</t>
  </si>
  <si>
    <t>Molecular approaches to parasitology / editors, John C. Boothroyd and Richard Komuniecki.</t>
  </si>
  <si>
    <t>New York : Wiley-Liss, 1995.</t>
  </si>
  <si>
    <t>MBL lectures in biology ; 12</t>
  </si>
  <si>
    <t>2009-02-09</t>
  </si>
  <si>
    <t>1995-04-05</t>
  </si>
  <si>
    <t>355860104:eng</t>
  </si>
  <si>
    <t>31606281</t>
  </si>
  <si>
    <t>991002423909702656</t>
  </si>
  <si>
    <t>2262744610002656</t>
  </si>
  <si>
    <t>9780471103417</t>
  </si>
  <si>
    <t>32285002016433</t>
  </si>
  <si>
    <t>893262276</t>
  </si>
  <si>
    <t>QR251 .A35</t>
  </si>
  <si>
    <t>0                      QR 0251000A  35</t>
  </si>
  <si>
    <t>Intracellular parasitic protozoa [by] Masamichi Aikawa [and] Charles R. Sterling.</t>
  </si>
  <si>
    <t>Aikawa, Masamichi.</t>
  </si>
  <si>
    <t>New York, Academic Press [1974]</t>
  </si>
  <si>
    <t>1974</t>
  </si>
  <si>
    <t>Ultrastructure of cells and organisms</t>
  </si>
  <si>
    <t>1998-02-22</t>
  </si>
  <si>
    <t>1837491:eng</t>
  </si>
  <si>
    <t>902802</t>
  </si>
  <si>
    <t>991003367639702656</t>
  </si>
  <si>
    <t>2262612640002656</t>
  </si>
  <si>
    <t>9780120453504</t>
  </si>
  <si>
    <t>32285003082251</t>
  </si>
  <si>
    <t>893252311</t>
  </si>
  <si>
    <t>QR251 .B56 1991</t>
  </si>
  <si>
    <t>0                      QR 0251000B  56          1991</t>
  </si>
  <si>
    <t>Biochemical protozoology / edited by Graham H. Coombs, Michael J. North.</t>
  </si>
  <si>
    <t>London ; Washington, D.C. : Taylor &amp; Francis, 1991.</t>
  </si>
  <si>
    <t>2003-09-03</t>
  </si>
  <si>
    <t>1992-09-23</t>
  </si>
  <si>
    <t>350238611:eng</t>
  </si>
  <si>
    <t>28159700</t>
  </si>
  <si>
    <t>991002058899702656</t>
  </si>
  <si>
    <t>2265598280002656</t>
  </si>
  <si>
    <t>9780748400003</t>
  </si>
  <si>
    <t>32285001289015</t>
  </si>
  <si>
    <t>893703618</t>
  </si>
  <si>
    <t>QR251 .K74 1987</t>
  </si>
  <si>
    <t>0                      QR 0251000K  74          1987</t>
  </si>
  <si>
    <t>Parasitic protozoa / J.P. Kreier and J.R. Baker.</t>
  </si>
  <si>
    <t>Kreier, Julius P.</t>
  </si>
  <si>
    <t>Boston : Allen &amp; Unwin, 1987.</t>
  </si>
  <si>
    <t>2005-02-27</t>
  </si>
  <si>
    <t>363763657:eng</t>
  </si>
  <si>
    <t>15414965</t>
  </si>
  <si>
    <t>991001022899702656</t>
  </si>
  <si>
    <t>2266649590002656</t>
  </si>
  <si>
    <t>9780045910229</t>
  </si>
  <si>
    <t>32285001564144</t>
  </si>
  <si>
    <t>893778484</t>
  </si>
  <si>
    <t>QR251 .K74 1991</t>
  </si>
  <si>
    <t>0                      QR 0251000K  74          1991</t>
  </si>
  <si>
    <t>Parasitic protozoa / edited by Julius P. Kreier, John R. Baker.</t>
  </si>
  <si>
    <t>V.6</t>
  </si>
  <si>
    <t>San Diego : Academic Press, 1991-</t>
  </si>
  <si>
    <t>5577163551:eng</t>
  </si>
  <si>
    <t>23868964</t>
  </si>
  <si>
    <t>991001890729702656</t>
  </si>
  <si>
    <t>2269699750002656</t>
  </si>
  <si>
    <t>9780124260115</t>
  </si>
  <si>
    <t>32285001913549</t>
  </si>
  <si>
    <t>893522938</t>
  </si>
  <si>
    <t>V.1</t>
  </si>
  <si>
    <t>1992-06-22</t>
  </si>
  <si>
    <t>32285001155083</t>
  </si>
  <si>
    <t>893510039</t>
  </si>
  <si>
    <t>QR251 .M66 1993</t>
  </si>
  <si>
    <t>0                      QR 0251000M  66          1993</t>
  </si>
  <si>
    <t>Modern parasitology : a textbook of parasitology / edited by F.E.G. Cox.</t>
  </si>
  <si>
    <t>Oxford ; Boston ; Blackwell Scientific Publications, 1993.</t>
  </si>
  <si>
    <t>2009-02-12</t>
  </si>
  <si>
    <t>1994-05-11</t>
  </si>
  <si>
    <t>802155631:eng</t>
  </si>
  <si>
    <t>27729119</t>
  </si>
  <si>
    <t>991005416629702656</t>
  </si>
  <si>
    <t>2265828300002656</t>
  </si>
  <si>
    <t>9780632025855</t>
  </si>
  <si>
    <t>32285001895183</t>
  </si>
  <si>
    <t>893242712</t>
  </si>
  <si>
    <t>QR30 .K76 2008</t>
  </si>
  <si>
    <t>0                      QR 0030000K  76          2008</t>
  </si>
  <si>
    <t>20th century microbe hunters : their lives, accomplishments, and legacies Robert I. Krasner.</t>
  </si>
  <si>
    <t>Krasner, Robert I.</t>
  </si>
  <si>
    <t>Sudbury, MA : Jones and Bartlett Publishers, c2008.</t>
  </si>
  <si>
    <t>2008</t>
  </si>
  <si>
    <t>2008-11-25</t>
  </si>
  <si>
    <t>155128692:eng</t>
  </si>
  <si>
    <t>136316476</t>
  </si>
  <si>
    <t>991005278929702656</t>
  </si>
  <si>
    <t>2264392040002656</t>
  </si>
  <si>
    <t>9780763742010</t>
  </si>
  <si>
    <t>32285005468896</t>
  </si>
  <si>
    <t>893883614</t>
  </si>
  <si>
    <t>QR342 .P82 1986</t>
  </si>
  <si>
    <t>0                      QR 0342000P  82          1986</t>
  </si>
  <si>
    <t>A genetic switch : gene control and phage [lambda] / by Mark Ptashne.</t>
  </si>
  <si>
    <t>Ptashne, Mark.</t>
  </si>
  <si>
    <t>Cambridge, Mass. : Cell Press &amp; Blackwell Scientific Publications, c1986.</t>
  </si>
  <si>
    <t>1986</t>
  </si>
  <si>
    <t>2009-02-16</t>
  </si>
  <si>
    <t>365829421:eng</t>
  </si>
  <si>
    <t>14719427</t>
  </si>
  <si>
    <t>991001802049702656</t>
  </si>
  <si>
    <t>2256893870002656</t>
  </si>
  <si>
    <t>9780865423152</t>
  </si>
  <si>
    <t>32285001564151</t>
  </si>
  <si>
    <t>893609158</t>
  </si>
  <si>
    <t>QR342 .R18</t>
  </si>
  <si>
    <t>0                      QR 0342000R  18</t>
  </si>
  <si>
    <t>RNA phages / edited by Norton D. Zinder.</t>
  </si>
  <si>
    <t>[Cold Spring Harbor, N.Y.] : Cold Spring Harbor Laboratory, [1975].</t>
  </si>
  <si>
    <t>Cold Spring Harbor monograph series</t>
  </si>
  <si>
    <t>2002-02-23</t>
  </si>
  <si>
    <t>2462001:eng</t>
  </si>
  <si>
    <t>1582488</t>
  </si>
  <si>
    <t>991003828349702656</t>
  </si>
  <si>
    <t>2270683170002656</t>
  </si>
  <si>
    <t>9780879691097</t>
  </si>
  <si>
    <t>32285003082269</t>
  </si>
  <si>
    <t>893228516</t>
  </si>
  <si>
    <t>QR351 .V5 1990</t>
  </si>
  <si>
    <t>0                      QR 0351000V  5           1990</t>
  </si>
  <si>
    <t>Viral genes and plant pathogenesis / Thomas P. Pirone, John G. Shaw, editors.</t>
  </si>
  <si>
    <t>New York : Springer-Verlag, c1990.</t>
  </si>
  <si>
    <t>1998-02-20</t>
  </si>
  <si>
    <t>1991-06-18</t>
  </si>
  <si>
    <t>355640517:eng</t>
  </si>
  <si>
    <t>21411432</t>
  </si>
  <si>
    <t>991001688769702656</t>
  </si>
  <si>
    <t>2255283860002656</t>
  </si>
  <si>
    <t>9780387973135</t>
  </si>
  <si>
    <t>32285000656636</t>
  </si>
  <si>
    <t>893261910</t>
  </si>
  <si>
    <t>QR357 .F72 v.17</t>
  </si>
  <si>
    <t>0                      QR 0357000F  72                                                      v.17</t>
  </si>
  <si>
    <t>Methods used in the study of viruses / edited by Heinz Fraenkel-Conrat and Robert R. Wagner.</t>
  </si>
  <si>
    <t>V.17</t>
  </si>
  <si>
    <t>Fraenkel-Conrat, Heinz, 1910-1999.</t>
  </si>
  <si>
    <t>New York : Plenum Press, c1981.</t>
  </si>
  <si>
    <t>1981</t>
  </si>
  <si>
    <t>Comprehensive virology ; v. 17</t>
  </si>
  <si>
    <t>2007-03-23</t>
  </si>
  <si>
    <t>3769173413:eng</t>
  </si>
  <si>
    <t>6708497</t>
  </si>
  <si>
    <t>991001779719702656</t>
  </si>
  <si>
    <t>2255094990002656</t>
  </si>
  <si>
    <t>9780306404184</t>
  </si>
  <si>
    <t>32285001564219</t>
  </si>
  <si>
    <t>893238333</t>
  </si>
  <si>
    <t>QR357 .P58 1985, v.1</t>
  </si>
  <si>
    <t>0                      QR 0357000P  58          1985                                        v.1</t>
  </si>
  <si>
    <t>Polyhedral virions with tripartite genomes / edited by R.I.B. Francki.</t>
  </si>
  <si>
    <t>New York : Plenum Press, c1985.</t>
  </si>
  <si>
    <t>1985</t>
  </si>
  <si>
    <t>The Plant viruses ; v. 1</t>
  </si>
  <si>
    <t>8907064929:eng</t>
  </si>
  <si>
    <t>11785696</t>
  </si>
  <si>
    <t>991000592199702656</t>
  </si>
  <si>
    <t>2255773500002656</t>
  </si>
  <si>
    <t>9780306419584</t>
  </si>
  <si>
    <t>32285001564227</t>
  </si>
  <si>
    <t>893432097</t>
  </si>
  <si>
    <t>QR358 .H85 1989</t>
  </si>
  <si>
    <t>0                      QR 0358000H  85          1989</t>
  </si>
  <si>
    <t>Virology : directory &amp; dictionary of animal, bacterial, and plant viruses / Roger Hull, Fred Brown, Chris Payne.</t>
  </si>
  <si>
    <t>Hull, Roger, 1937-</t>
  </si>
  <si>
    <t>London : Macmillan Press, 1989.</t>
  </si>
  <si>
    <t>2000-10-07</t>
  </si>
  <si>
    <t>1992-04-23</t>
  </si>
  <si>
    <t>4926885661:eng</t>
  </si>
  <si>
    <t>18780386</t>
  </si>
  <si>
    <t>991001394369702656</t>
  </si>
  <si>
    <t>2260424370002656</t>
  </si>
  <si>
    <t>9780935859591</t>
  </si>
  <si>
    <t>32285001085975</t>
  </si>
  <si>
    <t>893785083</t>
  </si>
  <si>
    <t>QR359 .R33 1991</t>
  </si>
  <si>
    <t>0                      QR 0359000R  33          1991</t>
  </si>
  <si>
    <t>The invisible invaders : the story of the emerging age of viruses / by Peter Radetsky.</t>
  </si>
  <si>
    <t>Radetsky, Peter.</t>
  </si>
  <si>
    <t>Boston : Little, Brown, c1991.</t>
  </si>
  <si>
    <t>1998-02-26</t>
  </si>
  <si>
    <t>1991-02-14</t>
  </si>
  <si>
    <t>20903162:eng</t>
  </si>
  <si>
    <t>22111009</t>
  </si>
  <si>
    <t>991001744719702656</t>
  </si>
  <si>
    <t>2266135930002656</t>
  </si>
  <si>
    <t>9780316732161</t>
  </si>
  <si>
    <t>32285000464767</t>
  </si>
  <si>
    <t>893328340</t>
  </si>
  <si>
    <t>QR360 .A59 1967b</t>
  </si>
  <si>
    <t>0                      QR 0360000A  59          1967b</t>
  </si>
  <si>
    <t>The natural history of viruses [by] C. H. Andrewes.</t>
  </si>
  <si>
    <t>Andrewes, C. H. (Christopher Howard), Sir.</t>
  </si>
  <si>
    <t>New York, W. W. Norton [1967]</t>
  </si>
  <si>
    <t>1967</t>
  </si>
  <si>
    <t>The World naturalist</t>
  </si>
  <si>
    <t>2002-02-28</t>
  </si>
  <si>
    <t>460221:eng</t>
  </si>
  <si>
    <t>493155</t>
  </si>
  <si>
    <t>991002861259702656</t>
  </si>
  <si>
    <t>2254860090002656</t>
  </si>
  <si>
    <t>32285003082277</t>
  </si>
  <si>
    <t>893786649</t>
  </si>
  <si>
    <t>QR360 .A6 1967</t>
  </si>
  <si>
    <t>0                      QR 0360000A  6           1967</t>
  </si>
  <si>
    <t>Viruses of vertebrates [by] Sir Christopher Andrewes and H. G. Pereira.</t>
  </si>
  <si>
    <t>London, Baillière, Tindall and Cassell [1967]</t>
  </si>
  <si>
    <t xml:space="preserve">xx </t>
  </si>
  <si>
    <t>1541502:eng</t>
  </si>
  <si>
    <t>4019489</t>
  </si>
  <si>
    <t>991004570139702656</t>
  </si>
  <si>
    <t>2265649470002656</t>
  </si>
  <si>
    <t>32285003082285</t>
  </si>
  <si>
    <t>893901380</t>
  </si>
  <si>
    <t>QR360 .B25</t>
  </si>
  <si>
    <t>0                      QR 0360000B  25</t>
  </si>
  <si>
    <t>The Bacteriophage lambda. Edited by A. D. Hershey.</t>
  </si>
  <si>
    <t>[Cold Spring Harbor, N.Y.] Cold Spring Harbor Laboratory, 1971.</t>
  </si>
  <si>
    <t>1971</t>
  </si>
  <si>
    <t>2002-02-10</t>
  </si>
  <si>
    <t>1321371:eng</t>
  </si>
  <si>
    <t>220264</t>
  </si>
  <si>
    <t>991005353819702656</t>
  </si>
  <si>
    <t>2261538080002656</t>
  </si>
  <si>
    <t>32285003082293</t>
  </si>
  <si>
    <t>893424955</t>
  </si>
  <si>
    <t>QR360 .F68</t>
  </si>
  <si>
    <t>0                      QR 0360000F  68</t>
  </si>
  <si>
    <t>The chemistry and biology of viruses.</t>
  </si>
  <si>
    <t>New York, Academic Press, 1969.</t>
  </si>
  <si>
    <t>2005-08-30</t>
  </si>
  <si>
    <t>1186303:eng</t>
  </si>
  <si>
    <t>32481</t>
  </si>
  <si>
    <t>991000083139702656</t>
  </si>
  <si>
    <t>2258366840002656</t>
  </si>
  <si>
    <t>32285003082319</t>
  </si>
  <si>
    <t>893607604</t>
  </si>
  <si>
    <t>QR360 .F715 1985</t>
  </si>
  <si>
    <t>0                      QR 0360000F  715         1985</t>
  </si>
  <si>
    <t>The viruses : catalogue, characterization, and classification / Heinz Fraenkel-Conrat.</t>
  </si>
  <si>
    <t>The Viruses</t>
  </si>
  <si>
    <t>1997-10-02</t>
  </si>
  <si>
    <t>1993-04-20</t>
  </si>
  <si>
    <t>836698276:eng</t>
  </si>
  <si>
    <t>11599265</t>
  </si>
  <si>
    <t>991000562559702656</t>
  </si>
  <si>
    <t>2261540660002656</t>
  </si>
  <si>
    <t>9780306417665</t>
  </si>
  <si>
    <t>32285001621845</t>
  </si>
  <si>
    <t>893315055</t>
  </si>
  <si>
    <t>QR360 .L38 1992</t>
  </si>
  <si>
    <t>0                      QR 0360000L  38          1992</t>
  </si>
  <si>
    <t>Viruses / Arnold J. Levine.</t>
  </si>
  <si>
    <t>Levine, Arnold J. (Arnold Jay), 1939-</t>
  </si>
  <si>
    <t>New York : Scientific American Library : Distributed by W.H. Freeman and Co., c1992.</t>
  </si>
  <si>
    <t>1992-06-18</t>
  </si>
  <si>
    <t>1993-01-06</t>
  </si>
  <si>
    <t>25089989:eng</t>
  </si>
  <si>
    <t>23868127</t>
  </si>
  <si>
    <t>991001796729702656</t>
  </si>
  <si>
    <t>2269111580002656</t>
  </si>
  <si>
    <t>9780716750314</t>
  </si>
  <si>
    <t>32285001129682</t>
  </si>
  <si>
    <t>893328387</t>
  </si>
  <si>
    <t>QR360 .S56</t>
  </si>
  <si>
    <t>0                      QR 0360000S  56</t>
  </si>
  <si>
    <t>An introduction to the study of viruses.</t>
  </si>
  <si>
    <t>Smith, Kenneth M. (Kenneth Manley), 1892-1981.</t>
  </si>
  <si>
    <t>New York, Pitman Pub. Corp. [1950]</t>
  </si>
  <si>
    <t>1950</t>
  </si>
  <si>
    <t>Pitman "microbiology" series</t>
  </si>
  <si>
    <t>2007-03-22</t>
  </si>
  <si>
    <t>477585684:eng</t>
  </si>
  <si>
    <t>14660074</t>
  </si>
  <si>
    <t>991003295099702656</t>
  </si>
  <si>
    <t>2269778580002656</t>
  </si>
  <si>
    <t>32285003082350</t>
  </si>
  <si>
    <t>893686413</t>
  </si>
  <si>
    <t>QR360 .S83 1966</t>
  </si>
  <si>
    <t>0                      QR 0360000S  83          1966</t>
  </si>
  <si>
    <t>The molecular biology of viruses; proceedings. Edited by John S. Colter and William Paranchych.</t>
  </si>
  <si>
    <t>Symposium of the Molecular Biology of Viruses (1966 : University of Alberta)</t>
  </si>
  <si>
    <t>New York, Academic Press, 1967.</t>
  </si>
  <si>
    <t>5619202059:eng</t>
  </si>
  <si>
    <t>772462</t>
  </si>
  <si>
    <t>991003247559702656</t>
  </si>
  <si>
    <t>2264357230002656</t>
  </si>
  <si>
    <t>32285003082368</t>
  </si>
  <si>
    <t>893246173</t>
  </si>
  <si>
    <t>QR360 .W5</t>
  </si>
  <si>
    <t>0                      QR 0360000W  5</t>
  </si>
  <si>
    <t>Virus hunters. --</t>
  </si>
  <si>
    <t>Williams, Greer, 1909-1986.</t>
  </si>
  <si>
    <t>New York: Knopf, 1959.</t>
  </si>
  <si>
    <t>[1st ed.]</t>
  </si>
  <si>
    <t>1998-04-05</t>
  </si>
  <si>
    <t>1990-03-01</t>
  </si>
  <si>
    <t>116489516:eng</t>
  </si>
  <si>
    <t>479276</t>
  </si>
  <si>
    <t>991002834399702656</t>
  </si>
  <si>
    <t>2263714440002656</t>
  </si>
  <si>
    <t>32285000073360</t>
  </si>
  <si>
    <t>893341906</t>
  </si>
  <si>
    <t>QR363 .A25 1995</t>
  </si>
  <si>
    <t>0                      QR 0363000A  25          1995</t>
  </si>
  <si>
    <t>Atlas of virus diagrams / Hans-W. Ackermann and Laurent Berthiaume.</t>
  </si>
  <si>
    <t>Ackermann, Hans-Wolfgang, 1936-</t>
  </si>
  <si>
    <t>Boca Raton : CRC Press, c1995.</t>
  </si>
  <si>
    <t>1995-08-14</t>
  </si>
  <si>
    <t>33988758:eng</t>
  </si>
  <si>
    <t>31819705</t>
  </si>
  <si>
    <t>991002441519702656</t>
  </si>
  <si>
    <t>2259812710002656</t>
  </si>
  <si>
    <t>9780849324574</t>
  </si>
  <si>
    <t>32285002077245</t>
  </si>
  <si>
    <t>893251235</t>
  </si>
  <si>
    <t>QR364 .C73 2000</t>
  </si>
  <si>
    <t>0                      QR 0364000C  73          2000</t>
  </si>
  <si>
    <t>The invisible enemy : a natural history of viruses / Dorothy H. Crawford.</t>
  </si>
  <si>
    <t>Crawford, Dorothy H.</t>
  </si>
  <si>
    <t>Oxford ; New York : Oxford University Press, 2000.</t>
  </si>
  <si>
    <t>2001-12-04</t>
  </si>
  <si>
    <t>43470:eng</t>
  </si>
  <si>
    <t>44185293</t>
  </si>
  <si>
    <t>991003666419702656</t>
  </si>
  <si>
    <t>2257065010002656</t>
  </si>
  <si>
    <t>9780198503323</t>
  </si>
  <si>
    <t>32285004425640</t>
  </si>
  <si>
    <t>893330632</t>
  </si>
  <si>
    <t>QR364 .F48 1990</t>
  </si>
  <si>
    <t>0                      QR 0364000F  48          1990</t>
  </si>
  <si>
    <t>Viruses : agents of change / Ann Giudici Fettner.</t>
  </si>
  <si>
    <t>Fettner, Ann Giudici.</t>
  </si>
  <si>
    <t>New York : McGraw-Hill Pub. Co., c1990.</t>
  </si>
  <si>
    <t>1991-03-28</t>
  </si>
  <si>
    <t>5358546096:eng</t>
  </si>
  <si>
    <t>21119105</t>
  </si>
  <si>
    <t>991001655219702656</t>
  </si>
  <si>
    <t>2258250040002656</t>
  </si>
  <si>
    <t>9780070206649</t>
  </si>
  <si>
    <t>32285000514090</t>
  </si>
  <si>
    <t>893420482</t>
  </si>
  <si>
    <t>QR364 .H46 1993</t>
  </si>
  <si>
    <t>0                      QR 0364000H  46          1993</t>
  </si>
  <si>
    <t>A dancing matrix : voyages along the viral frontier / by Robin Marantz Henig.</t>
  </si>
  <si>
    <t>Henig, Robin Marantz.</t>
  </si>
  <si>
    <t>New York : A.A. Knopf, 1993.</t>
  </si>
  <si>
    <t>1997-10-01</t>
  </si>
  <si>
    <t>1998-02-02</t>
  </si>
  <si>
    <t>1993-09-01</t>
  </si>
  <si>
    <t>28525869:eng</t>
  </si>
  <si>
    <t>25914047</t>
  </si>
  <si>
    <t>991001802569702656</t>
  </si>
  <si>
    <t>2272088640002656</t>
  </si>
  <si>
    <t>9780394588780</t>
  </si>
  <si>
    <t>32285001729358</t>
  </si>
  <si>
    <t>893420640</t>
  </si>
  <si>
    <t>QR372.O6 M64 1981, pt.3</t>
  </si>
  <si>
    <t>0                      QR 0372000O  6                  M  64          1981                  pt.3</t>
  </si>
  <si>
    <t>RNA tumor viruses / edited by Robin Weiss ... [et al.] ; contributors, A. Bernstein ... [et al.].</t>
  </si>
  <si>
    <t>pt.3*</t>
  </si>
  <si>
    <t>Cold Spring Harbor, N.Y. : Cold Spring Harbor Laboratory, 1982.</t>
  </si>
  <si>
    <t>1982</t>
  </si>
  <si>
    <t>Cold Spring Harbor monograph series ; 10C</t>
  </si>
  <si>
    <t>2003-03-15</t>
  </si>
  <si>
    <t>5218941286:eng</t>
  </si>
  <si>
    <t>8431508</t>
  </si>
  <si>
    <t>991001785939702656</t>
  </si>
  <si>
    <t>2261770990002656</t>
  </si>
  <si>
    <t>9780879691325</t>
  </si>
  <si>
    <t>32285001564276</t>
  </si>
  <si>
    <t>893879171</t>
  </si>
  <si>
    <t>QR372.O6 T66</t>
  </si>
  <si>
    <t>0                      QR 0372000O  6                  T  66</t>
  </si>
  <si>
    <t>The molecular biology of tumour viruses, edited by John Tooze.</t>
  </si>
  <si>
    <t>Tooze, John.</t>
  </si>
  <si>
    <t>[Cold Spring Harbor, N.Y.] Cold Spring Harbor Laboratory, 1973.</t>
  </si>
  <si>
    <t>4917840552:eng</t>
  </si>
  <si>
    <t>723865</t>
  </si>
  <si>
    <t>991001778989702656</t>
  </si>
  <si>
    <t>2255621780002656</t>
  </si>
  <si>
    <t>9780879691080</t>
  </si>
  <si>
    <t>32285003082376</t>
  </si>
  <si>
    <t>893414502</t>
  </si>
  <si>
    <t>QR372.O6 V58</t>
  </si>
  <si>
    <t>0                      QR 0372000O  6                  V  58</t>
  </si>
  <si>
    <t>Viruses in naturally occuring cancers / edited by Myron Essex, George Todaro, Harald zur Hausen.</t>
  </si>
  <si>
    <t>V.2</t>
  </si>
  <si>
    <t>[Cold Spring Harbor, N.Y.] : Cold Spring Harbor Laboratory, 1980.</t>
  </si>
  <si>
    <t>1980</t>
  </si>
  <si>
    <t>Cold Spring Harbor conferences on cell proliferation ; v. 7</t>
  </si>
  <si>
    <t>365160121:eng</t>
  </si>
  <si>
    <t>6487905</t>
  </si>
  <si>
    <t>991004993219702656</t>
  </si>
  <si>
    <t>2256318690002656</t>
  </si>
  <si>
    <t>9780879691318</t>
  </si>
  <si>
    <t>32285001564292</t>
  </si>
  <si>
    <t>893883191</t>
  </si>
  <si>
    <t>32285001564284</t>
  </si>
  <si>
    <t>893895719</t>
  </si>
  <si>
    <t>QR395 .B56 1987</t>
  </si>
  <si>
    <t>0                      QR 0395000B  56          1987</t>
  </si>
  <si>
    <t>The Biology of negative strand viruses / edited by Brian Mahy and Dan Kolakofsky.</t>
  </si>
  <si>
    <t>Amsterdam ; New York : Elsevier, 1987.</t>
  </si>
  <si>
    <t>2412316:eng</t>
  </si>
  <si>
    <t>15197002</t>
  </si>
  <si>
    <t>991001000139702656</t>
  </si>
  <si>
    <t>2259907390002656</t>
  </si>
  <si>
    <t>9780444808332</t>
  </si>
  <si>
    <t>32285000073386</t>
  </si>
  <si>
    <t>893407731</t>
  </si>
  <si>
    <t>QR400.2.H47 H47 1991</t>
  </si>
  <si>
    <t>0                      QR 0400200H  47                 H  47          1991</t>
  </si>
  <si>
    <t>Herpesvirus transcription and its regulation / editor, Edward K. Wagner.</t>
  </si>
  <si>
    <t>Boca Raton, Fla. : CRC Press, c1991.</t>
  </si>
  <si>
    <t>1998-02-10</t>
  </si>
  <si>
    <t>24162040:eng</t>
  </si>
  <si>
    <t>22314261</t>
  </si>
  <si>
    <t>991001767319702656</t>
  </si>
  <si>
    <t>2263953580002656</t>
  </si>
  <si>
    <t>9780849360978</t>
  </si>
  <si>
    <t>32285000574334</t>
  </si>
  <si>
    <t>893891816</t>
  </si>
  <si>
    <t>QR41 .C68 1958</t>
  </si>
  <si>
    <t>0                      QR 0041000C  68          1958</t>
  </si>
  <si>
    <t>Introduction to the bacteria.</t>
  </si>
  <si>
    <t>Clifton, C. E. (Charles Egolf), 1904-</t>
  </si>
  <si>
    <t>New York, McGraw-Hill, 1958.</t>
  </si>
  <si>
    <t>1958</t>
  </si>
  <si>
    <t>1502718:eng</t>
  </si>
  <si>
    <t>1436556</t>
  </si>
  <si>
    <t>991003755889702656</t>
  </si>
  <si>
    <t>2267596150002656</t>
  </si>
  <si>
    <t>32285003081535</t>
  </si>
  <si>
    <t>893531554</t>
  </si>
  <si>
    <t>QR41 .G38 1965</t>
  </si>
  <si>
    <t>0                      QR 0041000G  38          1965</t>
  </si>
  <si>
    <t>Microbiology [by] Louis P. Gebhardt [and] Dean A. Anderson.</t>
  </si>
  <si>
    <t>Gebhardt, Louis P. (Louis Philipp), 1905-</t>
  </si>
  <si>
    <t>Saint Louis, C. V. Mosby Co., 1965 [c1964]</t>
  </si>
  <si>
    <t>1965</t>
  </si>
  <si>
    <t>2008-12-09</t>
  </si>
  <si>
    <t>4820371724:eng</t>
  </si>
  <si>
    <t>2338204</t>
  </si>
  <si>
    <t>991004088629702656</t>
  </si>
  <si>
    <t>2258494170002656</t>
  </si>
  <si>
    <t>32285003081543</t>
  </si>
  <si>
    <t>893810351</t>
  </si>
  <si>
    <t>QR41 .L3</t>
  </si>
  <si>
    <t>0                      QR 0041000L  3</t>
  </si>
  <si>
    <t>Basic bacteriology; its biological and chemical background [by] Carl Lamanna [and] M. Frank Mallette.</t>
  </si>
  <si>
    <t>Lamanna, Carl.</t>
  </si>
  <si>
    <t>Baltimore, Williams &amp; Wilkins Co., 1965.</t>
  </si>
  <si>
    <t>2006-03-20</t>
  </si>
  <si>
    <t>2153957:eng</t>
  </si>
  <si>
    <t>13396843</t>
  </si>
  <si>
    <t>991000823179702656</t>
  </si>
  <si>
    <t>2260807960002656</t>
  </si>
  <si>
    <t>32285003081584</t>
  </si>
  <si>
    <t>893589771</t>
  </si>
  <si>
    <t>QR41 .S8 1967</t>
  </si>
  <si>
    <t>0                      QR 0041000S  8           1967</t>
  </si>
  <si>
    <t>Insect microbiology; an account of the microbes associated with insects and ticks, with special reference to the biologic relationships involved, by Edward A. Steinhaus.</t>
  </si>
  <si>
    <t>Steinhaus, Edward A. (Edward Arthur), 1914-1969.</t>
  </si>
  <si>
    <t>New York, Hafner Pub. Co., 1967 [c1946]</t>
  </si>
  <si>
    <t>2005-02-26</t>
  </si>
  <si>
    <t>793018113:eng</t>
  </si>
  <si>
    <t>342790</t>
  </si>
  <si>
    <t>991002421059702656</t>
  </si>
  <si>
    <t>2266287870002656</t>
  </si>
  <si>
    <t>32285003081600</t>
  </si>
  <si>
    <t>893603580</t>
  </si>
  <si>
    <t>QR41.2 .B87 1973</t>
  </si>
  <si>
    <t>0                      QR 0041200B  87          1973</t>
  </si>
  <si>
    <t>Textbook of microbiology.</t>
  </si>
  <si>
    <t>Burrows, William, 1908-1978.</t>
  </si>
  <si>
    <t>Philadelphia, Saunders, 1973.</t>
  </si>
  <si>
    <t>20th ed.</t>
  </si>
  <si>
    <t>142820515:eng</t>
  </si>
  <si>
    <t>706980</t>
  </si>
  <si>
    <t>991003170819702656</t>
  </si>
  <si>
    <t>2270750190002656</t>
  </si>
  <si>
    <t>9780721621951</t>
  </si>
  <si>
    <t>32285003081634</t>
  </si>
  <si>
    <t>893868159</t>
  </si>
  <si>
    <t>QR41.2 .L48</t>
  </si>
  <si>
    <t>0                      QR 0041200L  48</t>
  </si>
  <si>
    <t>Introductory microbiology / [by] Julia Levy, Jack J. R. Campbell [and] T. Henry Blackburn.</t>
  </si>
  <si>
    <t>Levy, Julia, 1935-</t>
  </si>
  <si>
    <t>New York : Wiley, 1973.</t>
  </si>
  <si>
    <t>2006-02-14</t>
  </si>
  <si>
    <t>1581573:eng</t>
  </si>
  <si>
    <t>446154</t>
  </si>
  <si>
    <t>991002799189702656</t>
  </si>
  <si>
    <t>2265595600002656</t>
  </si>
  <si>
    <t>9780471531555</t>
  </si>
  <si>
    <t>32285001563732</t>
  </si>
  <si>
    <t>893347941</t>
  </si>
  <si>
    <t>QR410 .P53 1990</t>
  </si>
  <si>
    <t>0                      QR 0410000P  53          1990</t>
  </si>
  <si>
    <t>Picornaviruses / edited by V.R. Racaniello.</t>
  </si>
  <si>
    <t>Berlin ; New York : Springer-Verlag, c1990.</t>
  </si>
  <si>
    <t xml:space="preserve">gw </t>
  </si>
  <si>
    <t>Current topics in microbiology and immunology ; 161</t>
  </si>
  <si>
    <t>1999-10-08</t>
  </si>
  <si>
    <t>1991-09-20</t>
  </si>
  <si>
    <t>24066418:eng</t>
  </si>
  <si>
    <t>22957656</t>
  </si>
  <si>
    <t>991001767479702656</t>
  </si>
  <si>
    <t>2264758320002656</t>
  </si>
  <si>
    <t>9780387524290</t>
  </si>
  <si>
    <t>32285000704709</t>
  </si>
  <si>
    <t>893791686</t>
  </si>
  <si>
    <t>QR414.5 .R48 1992, v...</t>
  </si>
  <si>
    <t>0                      QR 0414500R  48          1992                                        v...</t>
  </si>
  <si>
    <t>The Retroviridae / edited by Jay A. Levy.</t>
  </si>
  <si>
    <t>New York : Plenum Press, c1992-</t>
  </si>
  <si>
    <t>Viruses</t>
  </si>
  <si>
    <t>2008-04-09</t>
  </si>
  <si>
    <t>10792252240:eng</t>
  </si>
  <si>
    <t>26363792</t>
  </si>
  <si>
    <t>991002060469702656</t>
  </si>
  <si>
    <t>2263432730002656</t>
  </si>
  <si>
    <t>9780306440748</t>
  </si>
  <si>
    <t>32285001920734</t>
  </si>
  <si>
    <t>893684909</t>
  </si>
  <si>
    <t>32285001920742</t>
  </si>
  <si>
    <t>893721257</t>
  </si>
  <si>
    <t>QR450 .A55 1987</t>
  </si>
  <si>
    <t>0                      QR 0450000A  55          1987</t>
  </si>
  <si>
    <t>Animal virus structure / editors, M.V. Nermut and A.C. Steven.</t>
  </si>
  <si>
    <t>Amsterdam ; New York : Elsevier ; New York, NY, USA : Sole distributors for the USA and Canada, Elsevier Science Pub. Co., 1987.</t>
  </si>
  <si>
    <t>Perspectives in medical virology, 0168-7069 ; v. 3</t>
  </si>
  <si>
    <t>2008-02-26</t>
  </si>
  <si>
    <t>766079423:eng</t>
  </si>
  <si>
    <t>16081875</t>
  </si>
  <si>
    <t>991001078459702656</t>
  </si>
  <si>
    <t>2259997410002656</t>
  </si>
  <si>
    <t>9780444808790</t>
  </si>
  <si>
    <t>32285001564300</t>
  </si>
  <si>
    <t>893432582</t>
  </si>
  <si>
    <t>QR456 .M47 1984</t>
  </si>
  <si>
    <t>0                      QR 0456000M  47          1984</t>
  </si>
  <si>
    <t>Methylation of DNA / edited by Thomas A. Trautner.</t>
  </si>
  <si>
    <t>Berlin ; New York : Springer-Verlag, 1984.</t>
  </si>
  <si>
    <t>Current topics in microbiology and immunology, 0070-217X ; 108</t>
  </si>
  <si>
    <t>2008-09-28</t>
  </si>
  <si>
    <t>2914883:eng</t>
  </si>
  <si>
    <t>10708649</t>
  </si>
  <si>
    <t>991000410339702656</t>
  </si>
  <si>
    <t>2268062410002656</t>
  </si>
  <si>
    <t>9780387128498</t>
  </si>
  <si>
    <t>32285001564318</t>
  </si>
  <si>
    <t>893796616</t>
  </si>
  <si>
    <t>QR46 .B28</t>
  </si>
  <si>
    <t>0                      QR 0046000B  28</t>
  </si>
  <si>
    <t>The battle against bacteria; a history of the development of antibacterial drugs, for the general reader, by P. E. Baldry.</t>
  </si>
  <si>
    <t>Baldry, Peter.</t>
  </si>
  <si>
    <t>Cambridge [Eng.] University press, 1965.</t>
  </si>
  <si>
    <t>10141496363:eng</t>
  </si>
  <si>
    <t>965381</t>
  </si>
  <si>
    <t>991003430119702656</t>
  </si>
  <si>
    <t>2258244950002656</t>
  </si>
  <si>
    <t>32285003081642</t>
  </si>
  <si>
    <t>893441282</t>
  </si>
  <si>
    <t>QR46 .F78 1969</t>
  </si>
  <si>
    <t>0                      QR 0046000F  78          1969</t>
  </si>
  <si>
    <t>Microbiology in health and disease [by] Martin Frobisher, Lucille Sommermeyer [and] Robert Fuerst.</t>
  </si>
  <si>
    <t>Frobisher, Martin, 1896-1984.</t>
  </si>
  <si>
    <t>Philadelphia, Saunders, 1969.</t>
  </si>
  <si>
    <t>12th ed.</t>
  </si>
  <si>
    <t>2009-12-07</t>
  </si>
  <si>
    <t>1133515:eng</t>
  </si>
  <si>
    <t>10351</t>
  </si>
  <si>
    <t>991000001379702656</t>
  </si>
  <si>
    <t>2268284170002656</t>
  </si>
  <si>
    <t>32285003081667</t>
  </si>
  <si>
    <t>893802394</t>
  </si>
  <si>
    <t>QR46 .F79 1960</t>
  </si>
  <si>
    <t>0                      QR 0046000F  79          1960</t>
  </si>
  <si>
    <t>Microbiology and pathology for nurses / [by] Martin Frobisher, Jr., Lucille Sommermeyer [and] Raymond H. Goodale.</t>
  </si>
  <si>
    <t>Philadelphia : Saunders, 1960.</t>
  </si>
  <si>
    <t>1960</t>
  </si>
  <si>
    <t>5th ed.</t>
  </si>
  <si>
    <t>2001-08-30</t>
  </si>
  <si>
    <t>1994-09-14</t>
  </si>
  <si>
    <t>2452567058:eng</t>
  </si>
  <si>
    <t>560052</t>
  </si>
  <si>
    <t>991002989909702656</t>
  </si>
  <si>
    <t>2256667440002656</t>
  </si>
  <si>
    <t>32285001939437</t>
  </si>
  <si>
    <t>893440793</t>
  </si>
  <si>
    <t>QR46 .M5383 1999</t>
  </si>
  <si>
    <t>0                      QR 0046000M  5383        1999</t>
  </si>
  <si>
    <t>Microbial ecology and infectious disease / edited by Eugene Rosenberg.</t>
  </si>
  <si>
    <t>Washington, DC : ASM Press, c1999.</t>
  </si>
  <si>
    <t>2002-12-10</t>
  </si>
  <si>
    <t>41359162:eng</t>
  </si>
  <si>
    <t>39700782</t>
  </si>
  <si>
    <t>991003930439702656</t>
  </si>
  <si>
    <t>2256339680002656</t>
  </si>
  <si>
    <t>9781555811488</t>
  </si>
  <si>
    <t>32285004669981</t>
  </si>
  <si>
    <t>893253029</t>
  </si>
  <si>
    <t>QR46 .S6 1929</t>
  </si>
  <si>
    <t>0                      QR 0046000S  6           1929</t>
  </si>
  <si>
    <t>Bacteriology for nurses / by Mary A. Smeeton.</t>
  </si>
  <si>
    <t>Smeeton, Mary A. (Mary Alice)</t>
  </si>
  <si>
    <t>New York : Macmillan, 1929.</t>
  </si>
  <si>
    <t>1929</t>
  </si>
  <si>
    <t>3d ed. rev.</t>
  </si>
  <si>
    <t>2005-12-15</t>
  </si>
  <si>
    <t>1995-02-23</t>
  </si>
  <si>
    <t>1765064:eng</t>
  </si>
  <si>
    <t>684946</t>
  </si>
  <si>
    <t>991003143709702656</t>
  </si>
  <si>
    <t>2266144140002656</t>
  </si>
  <si>
    <t>32285001988574</t>
  </si>
  <si>
    <t>893317685</t>
  </si>
  <si>
    <t>QR46 .S63 1968</t>
  </si>
  <si>
    <t>0                      QR 0046000S  63          1968</t>
  </si>
  <si>
    <t>Microbiology and pathology / Alice Lorraine Smith.</t>
  </si>
  <si>
    <t>Smith, Alice Lorraine, 1920-2014.</t>
  </si>
  <si>
    <t>St. Louis : C. V. Mosby Co., 1968.</t>
  </si>
  <si>
    <t>1968</t>
  </si>
  <si>
    <t>9th ed.</t>
  </si>
  <si>
    <t>mou</t>
  </si>
  <si>
    <t>2009-02-27</t>
  </si>
  <si>
    <t>1994-05-17</t>
  </si>
  <si>
    <t>1860431:eng</t>
  </si>
  <si>
    <t>452163</t>
  </si>
  <si>
    <t>991002810479702656</t>
  </si>
  <si>
    <t>2258351410002656</t>
  </si>
  <si>
    <t>32285001897163</t>
  </si>
  <si>
    <t>893323407</t>
  </si>
  <si>
    <t>QR46 .W5</t>
  </si>
  <si>
    <t>0                      QR 0046000W  5</t>
  </si>
  <si>
    <t>Applied bacteriology for nurses / by Jean Martin White.</t>
  </si>
  <si>
    <t>White, Jean Martin, 1887-</t>
  </si>
  <si>
    <t>New York : The Macmillian company, 1928.</t>
  </si>
  <si>
    <t>1928</t>
  </si>
  <si>
    <t>1995-02-10</t>
  </si>
  <si>
    <t>8938792:eng</t>
  </si>
  <si>
    <t>6496010</t>
  </si>
  <si>
    <t>991004993959702656</t>
  </si>
  <si>
    <t>2272764090002656</t>
  </si>
  <si>
    <t>32285001988566</t>
  </si>
  <si>
    <t>893895721</t>
  </si>
  <si>
    <t>QR470 .N38 1986</t>
  </si>
  <si>
    <t>0                      QR 0470000N  38          1986</t>
  </si>
  <si>
    <t>The molecular basis of viral replication / edited by R. Pérez-Bercoff.</t>
  </si>
  <si>
    <t>NATO Advanced Study Institute Summer School on the Molecular Basis of Viral Replication (1986 : Maratea, Italy)</t>
  </si>
  <si>
    <t>New York : Plenum Press, c1987.</t>
  </si>
  <si>
    <t>NATO advanced study institutes series. Series A, Life sciences ; v. 136</t>
  </si>
  <si>
    <t>479646448:eng</t>
  </si>
  <si>
    <t>16003566</t>
  </si>
  <si>
    <t>991001073219702656</t>
  </si>
  <si>
    <t>2272646580002656</t>
  </si>
  <si>
    <t>9780306426193</t>
  </si>
  <si>
    <t>32285001564326</t>
  </si>
  <si>
    <t>893885016</t>
  </si>
  <si>
    <t>QR48 .L47 1999</t>
  </si>
  <si>
    <t>0                      QR 0048000L  47          1999</t>
  </si>
  <si>
    <t>Microbiology and chemistry for environmental scientists and engineers / J.N. Lester and J.W. Birkett.</t>
  </si>
  <si>
    <t>Lester, J. N. (John Norman), 1949-</t>
  </si>
  <si>
    <t>New York : E &amp; FN Spon, 1999.</t>
  </si>
  <si>
    <t>2008-04-02</t>
  </si>
  <si>
    <t>2001-02-01</t>
  </si>
  <si>
    <t>9731612:eng</t>
  </si>
  <si>
    <t>40555785</t>
  </si>
  <si>
    <t>991003469209702656</t>
  </si>
  <si>
    <t>2265259720002656</t>
  </si>
  <si>
    <t>9780419226802</t>
  </si>
  <si>
    <t>32285004293550</t>
  </si>
  <si>
    <t>893787343</t>
  </si>
  <si>
    <t>QR48 .M58</t>
  </si>
  <si>
    <t>0                      QR 0048000M  58</t>
  </si>
  <si>
    <t>Water pollution microbiology. Edited by Ralph Mitchell.</t>
  </si>
  <si>
    <t>Mitchell, Ralph, 1934-</t>
  </si>
  <si>
    <t>New York, Wiley-Interscience [1971-78, v. 1, c1972]</t>
  </si>
  <si>
    <t>1378983:eng</t>
  </si>
  <si>
    <t>239157</t>
  </si>
  <si>
    <t>991001899889702656</t>
  </si>
  <si>
    <t>2256983950002656</t>
  </si>
  <si>
    <t>9780471019022</t>
  </si>
  <si>
    <t>32285003081709</t>
  </si>
  <si>
    <t>893414589</t>
  </si>
  <si>
    <t>QR500 .V5687 1991</t>
  </si>
  <si>
    <t>0                      QR 0500000V  5687        1991</t>
  </si>
  <si>
    <t>Viroids and satellites : molecular parasites at the frontier of life / editor, Karl Maramorosch.</t>
  </si>
  <si>
    <t>2007-02-03</t>
  </si>
  <si>
    <t>1992-05-08</t>
  </si>
  <si>
    <t>24713615:eng</t>
  </si>
  <si>
    <t>23144957</t>
  </si>
  <si>
    <t>991001843859702656</t>
  </si>
  <si>
    <t>2266250940002656</t>
  </si>
  <si>
    <t>9780849367830</t>
  </si>
  <si>
    <t>32285001039295</t>
  </si>
  <si>
    <t>893791758</t>
  </si>
  <si>
    <t>QR502 .P75 1999</t>
  </si>
  <si>
    <t>0                      QR 0502000P  75          1999</t>
  </si>
  <si>
    <t>Prions : molecular and cellular biology / edited by David A. Harris.</t>
  </si>
  <si>
    <t>Wymondham, Norfolk : Horizon Scientific Press, c1999.</t>
  </si>
  <si>
    <t>2006-11-12</t>
  </si>
  <si>
    <t>1999-04-29</t>
  </si>
  <si>
    <t>131704117:eng</t>
  </si>
  <si>
    <t>40659800</t>
  </si>
  <si>
    <t>991003001029702656</t>
  </si>
  <si>
    <t>2259951590002656</t>
  </si>
  <si>
    <t>9781898486077</t>
  </si>
  <si>
    <t>32285003557773</t>
  </si>
  <si>
    <t>893233714</t>
  </si>
  <si>
    <t>QR53 .G37 1984</t>
  </si>
  <si>
    <t>0                      QR 0053000G  37          1984</t>
  </si>
  <si>
    <t>Genetics and breeding of industrial microorganisms / editor, Christopher Ball.</t>
  </si>
  <si>
    <t>Boca Raton, Fla. : CRC Press, c1984.</t>
  </si>
  <si>
    <t>43573330:eng</t>
  </si>
  <si>
    <t>9785917</t>
  </si>
  <si>
    <t>991000259569702656</t>
  </si>
  <si>
    <t>2259658340002656</t>
  </si>
  <si>
    <t>9780849356728</t>
  </si>
  <si>
    <t>32285001563740</t>
  </si>
  <si>
    <t>893790376</t>
  </si>
  <si>
    <t>QR53 .I533</t>
  </si>
  <si>
    <t>0                      QR 0053000I  533</t>
  </si>
  <si>
    <t>Industrial microbiology and the advent of genetic engineering.</t>
  </si>
  <si>
    <t>San Francisco : W.H. Freeman, c1981.</t>
  </si>
  <si>
    <t>1999-04-19</t>
  </si>
  <si>
    <t>352599835:eng</t>
  </si>
  <si>
    <t>7837678</t>
  </si>
  <si>
    <t>991005168849702656</t>
  </si>
  <si>
    <t>2256914690002656</t>
  </si>
  <si>
    <t>9780716713852</t>
  </si>
  <si>
    <t>32285001563757</t>
  </si>
  <si>
    <t>893326274</t>
  </si>
  <si>
    <t>QR56 .B4 1934</t>
  </si>
  <si>
    <t>0                      QR 0056000B  4           1934</t>
  </si>
  <si>
    <t>The story of microbes; your germs and mine, by Berl ben Meÿr ... with linecut illustrations by J. D. Laudermilk.</t>
  </si>
  <si>
    <t>Ben Meÿr, Berl, 1899-</t>
  </si>
  <si>
    <t>New York, Blue ribbon books, inc. [c1934]</t>
  </si>
  <si>
    <t>1934</t>
  </si>
  <si>
    <t>2004-09-26</t>
  </si>
  <si>
    <t>1992-03-16</t>
  </si>
  <si>
    <t>1781475667:eng</t>
  </si>
  <si>
    <t>3208106</t>
  </si>
  <si>
    <t>991004378739702656</t>
  </si>
  <si>
    <t>2272670080002656</t>
  </si>
  <si>
    <t>32285001021764</t>
  </si>
  <si>
    <t>893869643</t>
  </si>
  <si>
    <t>QR56 .C7 1912</t>
  </si>
  <si>
    <t>0                      QR 0056000C  7           1912</t>
  </si>
  <si>
    <t>Bacteria, yeasts, and molds in the home, by H. W. Conn.</t>
  </si>
  <si>
    <t>Conn, H. W. (Herbert William), 1859-1917.</t>
  </si>
  <si>
    <t>Boston, New York [etc.] Ginn and company [1912, c1903]</t>
  </si>
  <si>
    <t>1912</t>
  </si>
  <si>
    <t>Rev. ed.</t>
  </si>
  <si>
    <t>1998-02-25</t>
  </si>
  <si>
    <t>1895810:eng</t>
  </si>
  <si>
    <t>1663901</t>
  </si>
  <si>
    <t>991003859979702656</t>
  </si>
  <si>
    <t>2267672050002656</t>
  </si>
  <si>
    <t>32285003081717</t>
  </si>
  <si>
    <t>893246806</t>
  </si>
  <si>
    <t>QR58 .B7</t>
  </si>
  <si>
    <t>0                      QR 0058000B  7</t>
  </si>
  <si>
    <t>Milestones in microbiology.</t>
  </si>
  <si>
    <t>Brock, Thomas D. editor, translator.</t>
  </si>
  <si>
    <t>Englewood Cliffs, N.J., Prentice-Hall, 1961.</t>
  </si>
  <si>
    <t>1961</t>
  </si>
  <si>
    <t>nju</t>
  </si>
  <si>
    <t>1300664:eng</t>
  </si>
  <si>
    <t>172447</t>
  </si>
  <si>
    <t>991001005019702656</t>
  </si>
  <si>
    <t>2270387320002656</t>
  </si>
  <si>
    <t>32285003081733</t>
  </si>
  <si>
    <t>893503015</t>
  </si>
  <si>
    <t>QR62 .I56 1999</t>
  </si>
  <si>
    <t>0                      QR 0062000I  56          1999</t>
  </si>
  <si>
    <t>Instant notes in microbiology / J. Nicklin ... [et al.].</t>
  </si>
  <si>
    <t>Oxford, UK : Bios Scientific Publishers ; New York : Springer, 1999.</t>
  </si>
  <si>
    <t>The instant notes series</t>
  </si>
  <si>
    <t>2006-12-03</t>
  </si>
  <si>
    <t>1999-03-25</t>
  </si>
  <si>
    <t>1180381685:eng</t>
  </si>
  <si>
    <t>39912704</t>
  </si>
  <si>
    <t>991002976309702656</t>
  </si>
  <si>
    <t>2266770420002656</t>
  </si>
  <si>
    <t>9780387915593</t>
  </si>
  <si>
    <t>32285003546255</t>
  </si>
  <si>
    <t>893774250</t>
  </si>
  <si>
    <t>QR66.3 .I8 1995</t>
  </si>
  <si>
    <t>0                      QR 0066300I  8           1995</t>
  </si>
  <si>
    <t>Microbial culture / Susan Isaac and David Jennings.</t>
  </si>
  <si>
    <t>Isaac, Susan, 1952-</t>
  </si>
  <si>
    <t>Oxford, UK : Bios Scientific Publishers ; Herndon, VA : Books International [USA/Canada distributor], 1995.</t>
  </si>
  <si>
    <t>Introduction to biotechniques series</t>
  </si>
  <si>
    <t>2001-03-19</t>
  </si>
  <si>
    <t>1996-06-20</t>
  </si>
  <si>
    <t>3114215:eng</t>
  </si>
  <si>
    <t>33163383</t>
  </si>
  <si>
    <t>991002552479702656</t>
  </si>
  <si>
    <t>2255047420002656</t>
  </si>
  <si>
    <t>9781872748924</t>
  </si>
  <si>
    <t>32285002170891</t>
  </si>
  <si>
    <t>893523752</t>
  </si>
  <si>
    <t>QR73 .H3 1968b</t>
  </si>
  <si>
    <t>0                      QR 0073000H  3           1968b</t>
  </si>
  <si>
    <t>The genetics of bacteria and their viruses : studies in basic genetics and molecular biology.</t>
  </si>
  <si>
    <t>Hayes, William, 1913-1994.</t>
  </si>
  <si>
    <t>New York : Wiley [1968]</t>
  </si>
  <si>
    <t>489911:eng</t>
  </si>
  <si>
    <t>5628</t>
  </si>
  <si>
    <t>991005437929702656</t>
  </si>
  <si>
    <t>2264705320002656</t>
  </si>
  <si>
    <t>32285003081790</t>
  </si>
  <si>
    <t>893790030</t>
  </si>
  <si>
    <t>QR73 .H613</t>
  </si>
  <si>
    <t>0                      QR 0073000H  613</t>
  </si>
  <si>
    <t>Fundamental genetics of streptomycetes, by J. Horváth. [Translated by P. Szöke]</t>
  </si>
  <si>
    <t>Horváth, János, 1914-</t>
  </si>
  <si>
    <t>Budapest, Akadémiai Kiadó, 1968.</t>
  </si>
  <si>
    <t xml:space="preserve">hu </t>
  </si>
  <si>
    <t>2002-02-20</t>
  </si>
  <si>
    <t>1546993:eng</t>
  </si>
  <si>
    <t>433737</t>
  </si>
  <si>
    <t>991002765899702656</t>
  </si>
  <si>
    <t>2270272910002656</t>
  </si>
  <si>
    <t>32285003081808</t>
  </si>
  <si>
    <t>893892975</t>
  </si>
  <si>
    <t>QR73.5 .D48</t>
  </si>
  <si>
    <t>0                      QR 0073500D  48</t>
  </si>
  <si>
    <t>Developmental biology of prokaryotes / edited by J. H. Parish.</t>
  </si>
  <si>
    <t>Berkeley : University of California Press, 1979.</t>
  </si>
  <si>
    <t>Studies in microbiology ; v. 1</t>
  </si>
  <si>
    <t>54312990:eng</t>
  </si>
  <si>
    <t>5264764</t>
  </si>
  <si>
    <t>991004809149702656</t>
  </si>
  <si>
    <t>2259102380002656</t>
  </si>
  <si>
    <t>9780520040168</t>
  </si>
  <si>
    <t>32285001563773</t>
  </si>
  <si>
    <t>893443082</t>
  </si>
  <si>
    <t>QR74.5 .H36 1990</t>
  </si>
  <si>
    <t>0                      QR 0074500H  36          1990</t>
  </si>
  <si>
    <t>Handbook of protoctista : the structure, cultivation, habitats, and life histories of the eukaryotic microorganisms and their descendants exclusive of animals, plants, and fungi : a guide to the algae, ciliates, foraminifera, sporozoa, water molds, slime molds, and the other protoctists / editors, Lynn Margulis ... [et al.].</t>
  </si>
  <si>
    <t>Boston : Jones and Bartlett Publishers, c1990.</t>
  </si>
  <si>
    <t>The Jones and Bartlett series in life sciences</t>
  </si>
  <si>
    <t>2006-04-25</t>
  </si>
  <si>
    <t>1991-01-16</t>
  </si>
  <si>
    <t>807121563:eng</t>
  </si>
  <si>
    <t>18715347</t>
  </si>
  <si>
    <t>991001384939702656</t>
  </si>
  <si>
    <t>2265588860002656</t>
  </si>
  <si>
    <t>9780867200522</t>
  </si>
  <si>
    <t>32285000408152</t>
  </si>
  <si>
    <t>893321886</t>
  </si>
  <si>
    <t>QR74.5 .I44 1993</t>
  </si>
  <si>
    <t>0                      QR 0074500I  44          1993</t>
  </si>
  <si>
    <t>Illustrated glossary of protoctista : vocabulary of the algae, apicomplexa, ciliates, foraminifera, microspora, water molds, slime molds, and the other protoctists / editors, Lynn Margulis, Heather I. McKhann, Lorraine Olendzenski ; editorial coordinator, Stephanie Hiebert.</t>
  </si>
  <si>
    <t>Boston : Jones and Bartlett Publishers, c1993.</t>
  </si>
  <si>
    <t>2005-03-03</t>
  </si>
  <si>
    <t>1993-12-10</t>
  </si>
  <si>
    <t>2864717418:eng</t>
  </si>
  <si>
    <t>26974943</t>
  </si>
  <si>
    <t>991002102379702656</t>
  </si>
  <si>
    <t>2255652580002656</t>
  </si>
  <si>
    <t>9780867200812</t>
  </si>
  <si>
    <t>32285001814788</t>
  </si>
  <si>
    <t>893316388</t>
  </si>
  <si>
    <t>QR75 .B5 1970</t>
  </si>
  <si>
    <t>0                      QR 0075000B  5           1970</t>
  </si>
  <si>
    <t>The cytology and life-history of bacteria / [by] K.A. Bisset.</t>
  </si>
  <si>
    <t>Bisset, K. A. (Kenneth Alexander)</t>
  </si>
  <si>
    <t>Edinburgh : Livingstone, 1970.</t>
  </si>
  <si>
    <t>1970</t>
  </si>
  <si>
    <t>3rd ed.</t>
  </si>
  <si>
    <t>stk</t>
  </si>
  <si>
    <t>1991-09-05</t>
  </si>
  <si>
    <t>1181757:eng</t>
  </si>
  <si>
    <t>104256</t>
  </si>
  <si>
    <t>991000625829702656</t>
  </si>
  <si>
    <t>2260636700002656</t>
  </si>
  <si>
    <t>9780443006609</t>
  </si>
  <si>
    <t>32285000736594</t>
  </si>
  <si>
    <t>893871834</t>
  </si>
  <si>
    <t>QR76.6 .I57 1981</t>
  </si>
  <si>
    <t>0                      QR 0076600I  57          1981</t>
  </si>
  <si>
    <t>Molecular biology, pathogenicity, and ecology of bacterial plasmids / edited by Stuart B. Levy, Royston C. Clowes, and Ellen L. Koenig.</t>
  </si>
  <si>
    <t>International Plasmid Conference on Molecular Biology, Pathogenicity, and Ecology of Bacterial Plasmids (1981 : Santo Domingo, Dominican Republic)</t>
  </si>
  <si>
    <t>New York, N.Y. : Plenum Press, c1981.</t>
  </si>
  <si>
    <t>437923:eng</t>
  </si>
  <si>
    <t>7572898</t>
  </si>
  <si>
    <t>991005131549702656</t>
  </si>
  <si>
    <t>2271707750002656</t>
  </si>
  <si>
    <t>9780306407536</t>
  </si>
  <si>
    <t>32285001563781</t>
  </si>
  <si>
    <t>893713492</t>
  </si>
  <si>
    <t>QR76.6 .P53 1988</t>
  </si>
  <si>
    <t>0                      QR 0076600P  53          1988</t>
  </si>
  <si>
    <t>Plasmid technology / edited by J. Grinsted and P.M. Bennett.</t>
  </si>
  <si>
    <t>London ; San Diego, CA : Academic Press, 1988.</t>
  </si>
  <si>
    <t>1988</t>
  </si>
  <si>
    <t>Methods in microbiology ; v. 21</t>
  </si>
  <si>
    <t>365141515:eng</t>
  </si>
  <si>
    <t>18998005</t>
  </si>
  <si>
    <t>991001425289702656</t>
  </si>
  <si>
    <t>2264364070002656</t>
  </si>
  <si>
    <t>32285001563799</t>
  </si>
  <si>
    <t>893885294</t>
  </si>
  <si>
    <t>QR76.6 .S85 1996</t>
  </si>
  <si>
    <t>0                      QR 0076600S  85          1996</t>
  </si>
  <si>
    <t>The biology of plasmids / David K. Summers.</t>
  </si>
  <si>
    <t>Summers, David K.</t>
  </si>
  <si>
    <t>Oxford ; Cambridge, Mass. : Blackwell Science, 1996.</t>
  </si>
  <si>
    <t>2002-11-06</t>
  </si>
  <si>
    <t>38317694:eng</t>
  </si>
  <si>
    <t>33243169</t>
  </si>
  <si>
    <t>991002556329702656</t>
  </si>
  <si>
    <t>2255080050002656</t>
  </si>
  <si>
    <t>9780632034369</t>
  </si>
  <si>
    <t>32285002188935</t>
  </si>
  <si>
    <t>893523756</t>
  </si>
  <si>
    <t>QR81 .B46 2001</t>
  </si>
  <si>
    <t>0                      QR 0081000B  46          2001</t>
  </si>
  <si>
    <t>Bergey's manual of systematic bacteriology / George M. Garrity, editor-in-chief.</t>
  </si>
  <si>
    <t>V. 2 PT. C</t>
  </si>
  <si>
    <t>New York : Springer, 2001-</t>
  </si>
  <si>
    <t>3769192889:eng</t>
  </si>
  <si>
    <t>45951601</t>
  </si>
  <si>
    <t>991005040739702656</t>
  </si>
  <si>
    <t>2255616260002656</t>
  </si>
  <si>
    <t>9780387241432</t>
  </si>
  <si>
    <t>32285005282594</t>
  </si>
  <si>
    <t>893719687</t>
  </si>
  <si>
    <t>V. 2 PT. B</t>
  </si>
  <si>
    <t>32285005282586</t>
  </si>
  <si>
    <t>893688508</t>
  </si>
  <si>
    <t>V. 2 PT. A</t>
  </si>
  <si>
    <t>32285005282578</t>
  </si>
  <si>
    <t>893707159</t>
  </si>
  <si>
    <t>QR82.A69 F75 2007</t>
  </si>
  <si>
    <t>0                      QR 0082000A  69                 F  75          2007</t>
  </si>
  <si>
    <t>The third domain : the untold story of archaea and the future of biotechnology / Tim Friend.</t>
  </si>
  <si>
    <t>Friend, Tim.</t>
  </si>
  <si>
    <t>Washington, D.C. : Joseph Henry Press, c2007.</t>
  </si>
  <si>
    <t>2007</t>
  </si>
  <si>
    <t>2007-11-13</t>
  </si>
  <si>
    <t>802793410:eng</t>
  </si>
  <si>
    <t>84903415</t>
  </si>
  <si>
    <t>991005143529702656</t>
  </si>
  <si>
    <t>2255422560002656</t>
  </si>
  <si>
    <t>9780309102377</t>
  </si>
  <si>
    <t>32285005366793</t>
  </si>
  <si>
    <t>893719863</t>
  </si>
  <si>
    <t>QR82.A69 H69 2000</t>
  </si>
  <si>
    <t>0                      QR 0082000A  69                 H  69          2000</t>
  </si>
  <si>
    <t>The surprising archaea : discovering another domain of life / John L. Howland.</t>
  </si>
  <si>
    <t>Howland, John L.</t>
  </si>
  <si>
    <t>New York : Oxford University, 2000.</t>
  </si>
  <si>
    <t>2002-03-17</t>
  </si>
  <si>
    <t>205204674:eng</t>
  </si>
  <si>
    <t>41185064</t>
  </si>
  <si>
    <t>991003292809702656</t>
  </si>
  <si>
    <t>2266464110002656</t>
  </si>
  <si>
    <t>9780195111835</t>
  </si>
  <si>
    <t>32285004261797</t>
  </si>
  <si>
    <t>893330174</t>
  </si>
  <si>
    <t>QR82.E6 B47 2004</t>
  </si>
  <si>
    <t>0                      QR 0082000E  6                  B  47          2004</t>
  </si>
  <si>
    <t>E. coli in motion / Howard C. Berg.</t>
  </si>
  <si>
    <t>Berg, Howard C., 1934-</t>
  </si>
  <si>
    <t>New York : Springer, c2004.</t>
  </si>
  <si>
    <t>2004</t>
  </si>
  <si>
    <t>Biological and medical physics series</t>
  </si>
  <si>
    <t>2009-12-02</t>
  </si>
  <si>
    <t>2004-08-09</t>
  </si>
  <si>
    <t>9949148:eng</t>
  </si>
  <si>
    <t>51892820</t>
  </si>
  <si>
    <t>991004320039702656</t>
  </si>
  <si>
    <t>2272725580002656</t>
  </si>
  <si>
    <t>9780387008882</t>
  </si>
  <si>
    <t>32285004980636</t>
  </si>
  <si>
    <t>893788557</t>
  </si>
  <si>
    <t>QR82.E6 S55 1989</t>
  </si>
  <si>
    <t>0                      QR 0082000E  6                  S  55          1989</t>
  </si>
  <si>
    <t>Molecular genetics of Escherichia coli / P.F. Smith-Keary.</t>
  </si>
  <si>
    <t>Smith-Keary, P. F.</t>
  </si>
  <si>
    <t>New York, NY : Guilford Press, c1989.</t>
  </si>
  <si>
    <t>Molecular cell biology</t>
  </si>
  <si>
    <t>1989-10-20</t>
  </si>
  <si>
    <t>2260904653:eng</t>
  </si>
  <si>
    <t>18589408</t>
  </si>
  <si>
    <t>991001373319702656</t>
  </si>
  <si>
    <t>2264330360002656</t>
  </si>
  <si>
    <t>9780898624021</t>
  </si>
  <si>
    <t>32285000002872</t>
  </si>
  <si>
    <t>893503363</t>
  </si>
  <si>
    <t>QR82.E6 Z56 2008</t>
  </si>
  <si>
    <t>0                      QR 0082000E  6                  Z  56          2008</t>
  </si>
  <si>
    <t>Microcosm : E. coli and the new science of life / Carl Zimmer.</t>
  </si>
  <si>
    <t>Zimmer, Carl, 1966-</t>
  </si>
  <si>
    <t>New York : Pantheon Books, c2008.</t>
  </si>
  <si>
    <t>2008-06-05</t>
  </si>
  <si>
    <t>198498351:eng</t>
  </si>
  <si>
    <t>171152057</t>
  </si>
  <si>
    <t>991005222509702656</t>
  </si>
  <si>
    <t>2263023360002656</t>
  </si>
  <si>
    <t>9780375424304</t>
  </si>
  <si>
    <t>32285005442610</t>
  </si>
  <si>
    <t>893905317</t>
  </si>
  <si>
    <t>QR84 .D96 1985</t>
  </si>
  <si>
    <t>0                      QR 0084000D  96          1985</t>
  </si>
  <si>
    <t>Developmental biology of the bacteria / Martin Dworkin.</t>
  </si>
  <si>
    <t>Dworkin, Martin.</t>
  </si>
  <si>
    <t>Reading, Mass. : Benjamin/Cummings Pub. Co., c1985.</t>
  </si>
  <si>
    <t>5281330:eng</t>
  </si>
  <si>
    <t>12343464</t>
  </si>
  <si>
    <t>991000674639702656</t>
  </si>
  <si>
    <t>2268001340002656</t>
  </si>
  <si>
    <t>9780805324600</t>
  </si>
  <si>
    <t>32285001563823</t>
  </si>
  <si>
    <t>893696046</t>
  </si>
  <si>
    <t>QR84 .M64 2002</t>
  </si>
  <si>
    <t>0                      QR 0084000M  64          2002</t>
  </si>
  <si>
    <t>Microbial physiology / Albert G. Moat, John W. Foster, Michael P. Spector.</t>
  </si>
  <si>
    <t>Moat, Albert G.</t>
  </si>
  <si>
    <t>New York : Wiley-Liss, c2002.</t>
  </si>
  <si>
    <t>2002</t>
  </si>
  <si>
    <t>4th ed.</t>
  </si>
  <si>
    <t>10810458:eng</t>
  </si>
  <si>
    <t>49760696</t>
  </si>
  <si>
    <t>991003930269702656</t>
  </si>
  <si>
    <t>2256870910002656</t>
  </si>
  <si>
    <t>9780471394839</t>
  </si>
  <si>
    <t>32285004667100</t>
  </si>
  <si>
    <t>893781648</t>
  </si>
  <si>
    <t>QR84 .S326 1984</t>
  </si>
  <si>
    <t>0                      QR 0084000S  326         1984</t>
  </si>
  <si>
    <t>The molecular basis of sex and differentiation : a comparative study of evolution, mechanism, and control in microorganisms / Milton H. Saier, Gary R. Jacobson.</t>
  </si>
  <si>
    <t>Saier, Milton H.</t>
  </si>
  <si>
    <t>New York : Springer-Verlag, c1984.</t>
  </si>
  <si>
    <t>1996-11-24</t>
  </si>
  <si>
    <t>796076980:eng</t>
  </si>
  <si>
    <t>10850826</t>
  </si>
  <si>
    <t>991000446239702656</t>
  </si>
  <si>
    <t>2268863840002656</t>
  </si>
  <si>
    <t>9780387960074</t>
  </si>
  <si>
    <t>32285001563831</t>
  </si>
  <si>
    <t>893321036</t>
  </si>
  <si>
    <t>QR84 .T48 1963</t>
  </si>
  <si>
    <t>0                      QR 0084000T  48          1963</t>
  </si>
  <si>
    <t>The life of bacteria: their growth, metabolism, and relationships.</t>
  </si>
  <si>
    <t>Thimann, Kenneth Vivian, 1904-1997.</t>
  </si>
  <si>
    <t>New York, Macmillan [1963]</t>
  </si>
  <si>
    <t>1963</t>
  </si>
  <si>
    <t>197876548:eng</t>
  </si>
  <si>
    <t>1175449</t>
  </si>
  <si>
    <t>991003593669702656</t>
  </si>
  <si>
    <t>2271825870002656</t>
  </si>
  <si>
    <t>32285003081881</t>
  </si>
  <si>
    <t>893228199</t>
  </si>
  <si>
    <t>QR84 .W613</t>
  </si>
  <si>
    <t>0                      QR 0084000W  613</t>
  </si>
  <si>
    <t>Sexuality and the genetics of bacteria / [by] François Jacob and Élie L. Wollman.</t>
  </si>
  <si>
    <t>Wollman, Élie L., 1917-</t>
  </si>
  <si>
    <t>New York, Academic Press, 1961.</t>
  </si>
  <si>
    <t>2002-02-25</t>
  </si>
  <si>
    <t>1997-08-08</t>
  </si>
  <si>
    <t>111600007:eng</t>
  </si>
  <si>
    <t>556031</t>
  </si>
  <si>
    <t>991001779599702656</t>
  </si>
  <si>
    <t>2259825900002656</t>
  </si>
  <si>
    <t>32285003081899</t>
  </si>
  <si>
    <t>893602889</t>
  </si>
  <si>
    <t>QR86 .M5 1990</t>
  </si>
  <si>
    <t>0                      QR 0086000M  5           1990</t>
  </si>
  <si>
    <t>Microbial growth dynamics / edited by Robert K. Poole, Michael J. Bazin, C. William Keevil.</t>
  </si>
  <si>
    <t>Oxford [England] ; New York : Published for the Society for General Microbiology by IRL Press at Oxford University Press, 1990.</t>
  </si>
  <si>
    <t>Special publications of the Society for General Microbiology ; v. 28</t>
  </si>
  <si>
    <t>1997-02-16</t>
  </si>
  <si>
    <t>1991-06-20</t>
  </si>
  <si>
    <t>353788514:eng</t>
  </si>
  <si>
    <t>20560591</t>
  </si>
  <si>
    <t>991001587739702656</t>
  </si>
  <si>
    <t>2259281590002656</t>
  </si>
  <si>
    <t>9780199631193</t>
  </si>
  <si>
    <t>32285000657519</t>
  </si>
  <si>
    <t>893608965</t>
  </si>
  <si>
    <t>QR88 .G67 1986</t>
  </si>
  <si>
    <t>0                      QR 0088000G  67          1986</t>
  </si>
  <si>
    <t>Bacterial metabolism / Gerhard Gottschalk.</t>
  </si>
  <si>
    <t>Gottschalk, Gerhard.</t>
  </si>
  <si>
    <t>New York : Springer-Verlag, c1986.</t>
  </si>
  <si>
    <t>Springer series in microbiology</t>
  </si>
  <si>
    <t>1999-05-05</t>
  </si>
  <si>
    <t>4824626:eng</t>
  </si>
  <si>
    <t>12104993</t>
  </si>
  <si>
    <t>991000641479702656</t>
  </si>
  <si>
    <t>2260030290002656</t>
  </si>
  <si>
    <t>9780387961538</t>
  </si>
  <si>
    <t>32285003559001</t>
  </si>
  <si>
    <t>893890886</t>
  </si>
  <si>
    <t>QR88 .W48 2007</t>
  </si>
  <si>
    <t>0                      QR 0088000W  48          2007</t>
  </si>
  <si>
    <t>The physiology and biochemistry of prokaryotes / David White.</t>
  </si>
  <si>
    <t>White, David, 1936-</t>
  </si>
  <si>
    <t>New York : Oxford University Press, 2007.</t>
  </si>
  <si>
    <t>2006-10-25</t>
  </si>
  <si>
    <t>20369398:eng</t>
  </si>
  <si>
    <t>60414377</t>
  </si>
  <si>
    <t>991004933159702656</t>
  </si>
  <si>
    <t>2258258200002656</t>
  </si>
  <si>
    <t>9780195301687</t>
  </si>
  <si>
    <t>32285005232706</t>
  </si>
  <si>
    <t>893424355</t>
  </si>
  <si>
    <t>QR89.5 .L48 1990</t>
  </si>
  <si>
    <t>0                      QR 0089500L  48          1990</t>
  </si>
  <si>
    <t>Anaerobic bacteria : a functional biology / Paul N. Levett.</t>
  </si>
  <si>
    <t>Levett, Paul N. (Paul Nigel), 1957-</t>
  </si>
  <si>
    <t>Milton Keynes ; Philadelphia : Open University Press, 1990.</t>
  </si>
  <si>
    <t>2001-02-07</t>
  </si>
  <si>
    <t>1991-11-05</t>
  </si>
  <si>
    <t>329262160:eng</t>
  </si>
  <si>
    <t>22311341</t>
  </si>
  <si>
    <t>991001767129702656</t>
  </si>
  <si>
    <t>2264512220002656</t>
  </si>
  <si>
    <t>9780335092062</t>
  </si>
  <si>
    <t>32285000729516</t>
  </si>
  <si>
    <t>893322228</t>
  </si>
  <si>
    <t>QR89.7 .R4</t>
  </si>
  <si>
    <t>0                      QR 0089700R  4</t>
  </si>
  <si>
    <t>Recent developments in nitrogen fixation / edited by W. Newton, J. R. Postgate, C. Rodriguez-Barrueco.</t>
  </si>
  <si>
    <t>London ; New York : Academic Press, 1977.</t>
  </si>
  <si>
    <t>1977</t>
  </si>
  <si>
    <t>1998-02-06</t>
  </si>
  <si>
    <t>607214463:eng</t>
  </si>
  <si>
    <t>3913258</t>
  </si>
  <si>
    <t>991004545399702656</t>
  </si>
  <si>
    <t>2258198490002656</t>
  </si>
  <si>
    <t>9780125173506</t>
  </si>
  <si>
    <t>32285001563849</t>
  </si>
  <si>
    <t>893712747</t>
  </si>
  <si>
    <t>QR89.7 .S95 1980</t>
  </si>
  <si>
    <t>0                      QR 0089700S  95          1980</t>
  </si>
  <si>
    <t>Genetic engineering of symbiotic nitrogen fixation and conservation of fixed nitrogen / edited by J.M. Lyons ... [et al.].</t>
  </si>
  <si>
    <t>Symposium on Enhancing Biological Production of Ammonia From Atmospheric Nitrogen and Soil Nitrate (1980 : Tahoe City, Calif.)</t>
  </si>
  <si>
    <t>Basic life sciences ; v. 17</t>
  </si>
  <si>
    <t>1998-02-05</t>
  </si>
  <si>
    <t>355394938:eng</t>
  </si>
  <si>
    <t>7279072</t>
  </si>
  <si>
    <t>991005099119702656</t>
  </si>
  <si>
    <t>2262256770002656</t>
  </si>
  <si>
    <t>9780306407307</t>
  </si>
  <si>
    <t>32285001563856</t>
  </si>
  <si>
    <t>893713440</t>
  </si>
  <si>
    <t>QR9 .S56 1987</t>
  </si>
  <si>
    <t>0                      QR 0009000S  56          1987</t>
  </si>
  <si>
    <t>Dictionary of microbiology and molecular biology / Paul Singleton, Diana Sainsbury.</t>
  </si>
  <si>
    <t>Singleton, Paul.</t>
  </si>
  <si>
    <t>Chichester [West Sussex] ; New York : Wiley, c1987.</t>
  </si>
  <si>
    <t>2002-02-27</t>
  </si>
  <si>
    <t>1995-02-14</t>
  </si>
  <si>
    <t>6050794:eng</t>
  </si>
  <si>
    <t>16226156</t>
  </si>
  <si>
    <t>991001092579702656</t>
  </si>
  <si>
    <t>2266380930002656</t>
  </si>
  <si>
    <t>9780471911142</t>
  </si>
  <si>
    <t>32285001998508</t>
  </si>
  <si>
    <t>893420055</t>
  </si>
  <si>
    <t>Keep in Collection? (Yes/No)</t>
  </si>
  <si>
    <t>QW 4 A346f 1994</t>
  </si>
  <si>
    <t>0                      QW 0004000A  346f        1994</t>
  </si>
  <si>
    <t>Fundamentals of microbiology / I. Edward Alcamo.</t>
  </si>
  <si>
    <t>Alcamo, I. Edward.</t>
  </si>
  <si>
    <t>Redwood City, Calif. : Benjamin/Cummings Pub. Co., c1994.</t>
  </si>
  <si>
    <t>Benjamin/Cummings series in the life sciences</t>
  </si>
  <si>
    <t xml:space="preserve">QW </t>
  </si>
  <si>
    <t>2006-07-17</t>
  </si>
  <si>
    <t>1995-01-31</t>
  </si>
  <si>
    <t>QW 4 B789b 1991</t>
  </si>
  <si>
    <t>0                      QW 0004000B  789b        1991</t>
  </si>
  <si>
    <t>Basic medical microbiology / Robert F. Boyd, Bryan G. Hoerl.</t>
  </si>
  <si>
    <t>Boyd, Robert F.</t>
  </si>
  <si>
    <t>4rd ed.</t>
  </si>
  <si>
    <t>2003-03-26</t>
  </si>
  <si>
    <t>1991-04-11</t>
  </si>
  <si>
    <t>QW 4 B789g 1984</t>
  </si>
  <si>
    <t>0                      QW 0004000B  789g        1984</t>
  </si>
  <si>
    <t>General microbiology / Robert F. Boyd.</t>
  </si>
  <si>
    <t>St. Louis : Times Mirror/Mosby College Pub., 1984.</t>
  </si>
  <si>
    <t>xxu</t>
  </si>
  <si>
    <t>1999-07-21</t>
  </si>
  <si>
    <t>1988-02-04</t>
  </si>
  <si>
    <t>QW 4 B789m 1980</t>
  </si>
  <si>
    <t>0                      QW 0004000B  789m        1980</t>
  </si>
  <si>
    <t>Medical microbiology / Robert F. Boyd, J. Joseph Marr ; with 8 contributing authors.</t>
  </si>
  <si>
    <t>Boston : Little, Brown, c1980.</t>
  </si>
  <si>
    <t>2008-04-20</t>
  </si>
  <si>
    <t>QW 4 B824m 1981</t>
  </si>
  <si>
    <t>0                      QW 0004000B  824m        1981</t>
  </si>
  <si>
    <t>Medical microbiology and infectious diseases / Abraham I. Braude.</t>
  </si>
  <si>
    <t>Braude, Abraham I.</t>
  </si>
  <si>
    <t>Philadelphia : Saunders, c1981.</t>
  </si>
  <si>
    <t>International textbook of medicine ; v. 2</t>
  </si>
  <si>
    <t>2003-08-11</t>
  </si>
  <si>
    <t>QW 4 B832m</t>
  </si>
  <si>
    <t>0                      QW 0004000B  832m</t>
  </si>
  <si>
    <t>Bergey's manual of determinative bacteriology / by Robert S. Breed [and others]</t>
  </si>
  <si>
    <t>Breed, Robert S. (Robert Stanley), 1877-1956.</t>
  </si>
  <si>
    <t>Baltimore : Williams &amp; Wilkins, 1957.</t>
  </si>
  <si>
    <t>7th ed.</t>
  </si>
  <si>
    <t>1996-03-19</t>
  </si>
  <si>
    <t>1989-01-26</t>
  </si>
  <si>
    <t>QW 4 B832m 1984-86</t>
  </si>
  <si>
    <t>0                      QW 0004000B  832m        1984                                        -86</t>
  </si>
  <si>
    <t>Bergey's manual of systematic bacteriology / Noel R. Krieg, editor, volume 1 ; John G. Holt, editor-in-chief.</t>
  </si>
  <si>
    <t>V. 2</t>
  </si>
  <si>
    <t>2</t>
  </si>
  <si>
    <t>Baltimore : Williams &amp; Wilkins, c1984-1986.</t>
  </si>
  <si>
    <t>1988-06-27</t>
  </si>
  <si>
    <t>1988-06-09</t>
  </si>
  <si>
    <t>V. 1</t>
  </si>
  <si>
    <t>QW 4 B832m 1989 v.3-4</t>
  </si>
  <si>
    <t>0                      QW 0004000B  832m        1989                                        v.3-4</t>
  </si>
  <si>
    <t>Bergey's Manual of systematic bacteriology : Volume 3, Volume 4 / John G. Holt, editor-in-chief.</t>
  </si>
  <si>
    <t>V. 3</t>
  </si>
  <si>
    <t>Baltimore : Williams &amp; Wilkins, c1989.</t>
  </si>
  <si>
    <t>[1st ed.].</t>
  </si>
  <si>
    <t>1989-06-14</t>
  </si>
  <si>
    <t>V. 4</t>
  </si>
  <si>
    <t>QW 4 B927t 1941</t>
  </si>
  <si>
    <t>0                      QW 0004000B  927t        1941</t>
  </si>
  <si>
    <t>Textbook of bacteriology / Edwin O. Jordan, William Burrows.</t>
  </si>
  <si>
    <t>Philadelphia : London ; Saunders, c1941.</t>
  </si>
  <si>
    <t>1941</t>
  </si>
  <si>
    <t>13th ed., rev.</t>
  </si>
  <si>
    <t>2005-12-30</t>
  </si>
  <si>
    <t>1988-12-30</t>
  </si>
  <si>
    <t>QW 4 B972t 1985</t>
  </si>
  <si>
    <t>0                      QW 0004000B  972t        1985</t>
  </si>
  <si>
    <t>Burrows Textbook of microbiology.</t>
  </si>
  <si>
    <t>Philadelphia : Saunders, c1985.</t>
  </si>
  <si>
    <t>22nd ed. / Bob A. Freeman.</t>
  </si>
  <si>
    <t>1989-07-16</t>
  </si>
  <si>
    <t>QW 4 B974m 1983</t>
  </si>
  <si>
    <t>0                      QW 0004000B  974m        1983</t>
  </si>
  <si>
    <t>Microbiology for the health sciences / Gwendolyn R.W. Burton.</t>
  </si>
  <si>
    <t>Burton, Gwendolyn R. W. (Gwendolyn R. Wilson)</t>
  </si>
  <si>
    <t>Philadelphia : Lippincott, c1983.</t>
  </si>
  <si>
    <t>1983</t>
  </si>
  <si>
    <t>1995-03-28</t>
  </si>
  <si>
    <t>QW 4 D331m 1984</t>
  </si>
  <si>
    <t>0                      QW 0004000D  331m        1984</t>
  </si>
  <si>
    <t>Microbiology for the allied health professions / Adrian N.C. Delaat.</t>
  </si>
  <si>
    <t>Delaat, Adrian N. C.</t>
  </si>
  <si>
    <t>Philadelphia : Lea &amp; Febiger, c1984.</t>
  </si>
  <si>
    <t>2008-11-23</t>
  </si>
  <si>
    <t>QW 4 E35i 1980</t>
  </si>
  <si>
    <t>0                      QW 0004000E  35i         1980</t>
  </si>
  <si>
    <t>Immunology : an introducation to molecular and cellular principles of the immune responses / Herman N. Eisen.</t>
  </si>
  <si>
    <t>Eisen, Herman N., 1918-2014.</t>
  </si>
  <si>
    <t>Hagerstown : Harper &amp; Row, 1981.</t>
  </si>
  <si>
    <t>QW 4 F164t 1937</t>
  </si>
  <si>
    <t>0                      QW 0004000F  164t        1937</t>
  </si>
  <si>
    <t>A text-book of medical bacteriology / ed. by R.W. Fairbrother.</t>
  </si>
  <si>
    <t>Fairbrother, R. W. (Ronald Wilson)</t>
  </si>
  <si>
    <t>St. Louis : Mosby, c1937.</t>
  </si>
  <si>
    <t>1937</t>
  </si>
  <si>
    <t>1996-08-15</t>
  </si>
  <si>
    <t>QW 4 F954f 1983</t>
  </si>
  <si>
    <t>0                      QW 0004000F  954f        1983</t>
  </si>
  <si>
    <t>Frobisher &amp; Fuerst's Microbiology in health &amp; disease / Robert Fuerst.</t>
  </si>
  <si>
    <t>Philadelphia : Saunders, c1983.</t>
  </si>
  <si>
    <t>15th ed. / Robert Fuerst.</t>
  </si>
  <si>
    <t>1995-02-02</t>
  </si>
  <si>
    <t>QW 4 I43 1985</t>
  </si>
  <si>
    <t>0                      QW 0004000I  43          1985</t>
  </si>
  <si>
    <t>Infectious diseases and medical microbiology.</t>
  </si>
  <si>
    <t>2nd ed. / edited by Abraham I. Braude, Charles E. Davis, Joshua Fierer.</t>
  </si>
  <si>
    <t>2000-01-20</t>
  </si>
  <si>
    <t>1987-09-30</t>
  </si>
  <si>
    <t>QW 4 J39 1998</t>
  </si>
  <si>
    <t>0                      QW 0004000J  39          1998</t>
  </si>
  <si>
    <t>Jawetz, Melnick &amp; Adelberg's medical microbiology / Geo. F. Brooks ... [et al.]</t>
  </si>
  <si>
    <t>3</t>
  </si>
  <si>
    <t>Stamford, CT : Appleton &amp; Lange, c1998.</t>
  </si>
  <si>
    <t>21st ed.</t>
  </si>
  <si>
    <t>ctu</t>
  </si>
  <si>
    <t>Lange medical book</t>
  </si>
  <si>
    <t>2003-01-26</t>
  </si>
  <si>
    <t>1998-04-14</t>
  </si>
  <si>
    <t>QW 4 K83m 1930</t>
  </si>
  <si>
    <t>0                      QW 0004000K  83m         1930</t>
  </si>
  <si>
    <t>Man vs. microbes / by Nicholas Kopeloff.</t>
  </si>
  <si>
    <t>Kopeloff, Nicholas, 1890-</t>
  </si>
  <si>
    <t>New York : A.A. Knopf, c1930.</t>
  </si>
  <si>
    <t>1930</t>
  </si>
  <si>
    <t>|||</t>
  </si>
  <si>
    <t>2010-03-08</t>
  </si>
  <si>
    <t>QW 4 L334c 1984</t>
  </si>
  <si>
    <t>0                      QW 0004000L  334c        1984</t>
  </si>
  <si>
    <t>Clinical microbiology and infection control / Elaine Larson.</t>
  </si>
  <si>
    <t>Larson, Elaine.</t>
  </si>
  <si>
    <t>Boston : Blackwell Scientific Publications ; St. Louis, Mo. : Distributors, USA, Blackwell Mosby, c1984.</t>
  </si>
  <si>
    <t>2001-07-02</t>
  </si>
  <si>
    <t>QW 4 M294 1999</t>
  </si>
  <si>
    <t>0                      QW 0004000M  294         1999</t>
  </si>
  <si>
    <t>Manual of clinical microbiology / editor in chief, Patrick R. Murray ; editors, Ellen Jo Baron ... [et al.].</t>
  </si>
  <si>
    <t>4</t>
  </si>
  <si>
    <t>Washington, D.C. : ASM Press, c1999.</t>
  </si>
  <si>
    <t>2003-04-22</t>
  </si>
  <si>
    <t>2000-01-21</t>
  </si>
  <si>
    <t>QW4 M294 2003 V.1</t>
  </si>
  <si>
    <t>0                      QW 0004000M  294         2003                                        V.1</t>
  </si>
  <si>
    <t>Washington, D.C. : ASM Press, c2003.</t>
  </si>
  <si>
    <t>2003</t>
  </si>
  <si>
    <t>8th ed.</t>
  </si>
  <si>
    <t>2003-06-30</t>
  </si>
  <si>
    <t>2003-07-09</t>
  </si>
  <si>
    <t>QW 4 M294 2007</t>
  </si>
  <si>
    <t>0                      QW 0004000M  294         2007</t>
  </si>
  <si>
    <t>Washington, D.C. : ASM Press, c2007.</t>
  </si>
  <si>
    <t>2010-08-10</t>
  </si>
  <si>
    <t>2007-09-17</t>
  </si>
  <si>
    <t>QW 4 M4857 1999</t>
  </si>
  <si>
    <t>0                      QW 0004000M  4857        1999</t>
  </si>
  <si>
    <t>Medical importance of the normal microflora / edited by Gerald W. Tannock.</t>
  </si>
  <si>
    <t>Dordrecht ; Boston : Kluwer, c1999.</t>
  </si>
  <si>
    <t>2008-04-19</t>
  </si>
  <si>
    <t>2000-07-20</t>
  </si>
  <si>
    <t>QW 4 M486 1991</t>
  </si>
  <si>
    <t>0                      QW 0004000M  486         1991</t>
  </si>
  <si>
    <t>Medical microbiology / edited by Samuel Baron ; associate editor, Paula M. Jennings.</t>
  </si>
  <si>
    <t>New York : Churchill Livingstone, c1991.</t>
  </si>
  <si>
    <t>1991-04-23</t>
  </si>
  <si>
    <t>QW 4 M626 1990</t>
  </si>
  <si>
    <t>0                      QW 0004000M  626         1990</t>
  </si>
  <si>
    <t>Microbiology / Bernard D. Davis ... [et al.].</t>
  </si>
  <si>
    <t>Philadelphia : Lippincott, c1990.</t>
  </si>
  <si>
    <t>1990-01-23</t>
  </si>
  <si>
    <t>QW 4 M6265 1986</t>
  </si>
  <si>
    <t>0                      QW 0004000M  6265        1986</t>
  </si>
  <si>
    <t>Microbiology - 1986 / edited by Loretta Leive, et. al.</t>
  </si>
  <si>
    <t>Washington : American Society for Microbiology, c1986</t>
  </si>
  <si>
    <t>1993-09-09</t>
  </si>
  <si>
    <t>QW 4 M695c 1980</t>
  </si>
  <si>
    <t>0                      QW 0004000M  695c        1980</t>
  </si>
  <si>
    <t>Clinical microbiology / Hugh L. Moffet.</t>
  </si>
  <si>
    <t>Moffet, Hugh L., 1932-</t>
  </si>
  <si>
    <t>Philadelphia : Lippincott, c1980.</t>
  </si>
  <si>
    <t>1990-06-18</t>
  </si>
  <si>
    <t>QW4 M7178 2002 V.1</t>
  </si>
  <si>
    <t>0                      QW 0004000M  7178        2002                                        V.1</t>
  </si>
  <si>
    <t>Molecular medical microbiology / edited by Max Sussman.</t>
  </si>
  <si>
    <t>V.3</t>
  </si>
  <si>
    <t>San Diego : Academic Press, c2002.</t>
  </si>
  <si>
    <t>2002-06-20</t>
  </si>
  <si>
    <t>2002-07-31</t>
  </si>
  <si>
    <t>2002-10-17</t>
  </si>
  <si>
    <t>QW4 M755 2004</t>
  </si>
  <si>
    <t>0                      QW 0004000M  755         2004</t>
  </si>
  <si>
    <t>Molecular microbiology : diagnostic principles and practice / editor-in-chief, David H. Persing ; editors, Fred C. Tenover ... [et al.].</t>
  </si>
  <si>
    <t>Washington, D.C. : ASM Press, c2004.</t>
  </si>
  <si>
    <t>2005-07-12</t>
  </si>
  <si>
    <t>2004-02-27</t>
  </si>
  <si>
    <t>QW 4 N842 1973</t>
  </si>
  <si>
    <t>0                      QW 0004000N  842         1973</t>
  </si>
  <si>
    <t>The Normal microbial flora of man : [a symposium held during the summer conference of the Society for Applied Bacteriology at the University College of Wales, Aberystwyth, in July 1973] / edited by F. A. Skinner, and J. G. Carr.</t>
  </si>
  <si>
    <t>London ; New York : Academic Press, 1974.</t>
  </si>
  <si>
    <t>Symposium series (Society for Applied Bacteriology) ; no. 3</t>
  </si>
  <si>
    <t>1990-10-18</t>
  </si>
  <si>
    <t>1988-03-17</t>
  </si>
  <si>
    <t>QW 4 P236b 1899</t>
  </si>
  <si>
    <t>0                      QW 0004000P  236b        1899</t>
  </si>
  <si>
    <t>Bacteriology in medicine and surgery : a practical manual for physicians, health officers, and students / by Wm. Hallock Park.</t>
  </si>
  <si>
    <t>Park, William Hallock, 1863-1939.</t>
  </si>
  <si>
    <t>New York : Lea Brothers &amp; Co., 1899.</t>
  </si>
  <si>
    <t>1899</t>
  </si>
  <si>
    <t>1993-02-23</t>
  </si>
  <si>
    <t>QW 4 P236p 1933</t>
  </si>
  <si>
    <t>0                      QW 0004000P  236p        1933</t>
  </si>
  <si>
    <t>Pathogenic microörganisms : a practical manual for students, physicians and health officers / by William Hallock Park &amp; Anna Wessels Williams.</t>
  </si>
  <si>
    <t>Philadelphia : Lea &amp; Febiger, c1933.</t>
  </si>
  <si>
    <t>1933</t>
  </si>
  <si>
    <t>10th ed.</t>
  </si>
  <si>
    <t>QW 4 P751m 1971</t>
  </si>
  <si>
    <t>0                      QW 0004000P  751m        1971</t>
  </si>
  <si>
    <t>Microbiology : an introduction to protists, J. S. Poindexter.</t>
  </si>
  <si>
    <t>Poindexter, Jeanne S. (Jeanne Stove)</t>
  </si>
  <si>
    <t>New York : Macmillan, [1971]</t>
  </si>
  <si>
    <t>1997-02-24</t>
  </si>
  <si>
    <t>QW 4 S186m 2001</t>
  </si>
  <si>
    <t>0                      QW 0004000S  186m        2001</t>
  </si>
  <si>
    <t>Microbiology : diversity, disease, and the environment / Abigail A. Salyers/Dixie D. Whitt.</t>
  </si>
  <si>
    <t>Salyers, Abigail A.</t>
  </si>
  <si>
    <t>Bethesda, Md. : Fitzgerald Science Press, c2001.</t>
  </si>
  <si>
    <t>2004-02-26</t>
  </si>
  <si>
    <t>2001-11-14</t>
  </si>
  <si>
    <t>QW 4 S642m 1980</t>
  </si>
  <si>
    <t>0                      QW 0004000S  642m        1980</t>
  </si>
  <si>
    <t>St. Louis : Mosby, 1980.</t>
  </si>
  <si>
    <t>1992-04-17</t>
  </si>
  <si>
    <t>QW 4 S642p 1973</t>
  </si>
  <si>
    <t>0                      QW 0004000S  642p        1973</t>
  </si>
  <si>
    <t>Principles of microbiology / Alice Lorraine Smith.</t>
  </si>
  <si>
    <t>Saint Louis : Mosby, 1973.</t>
  </si>
  <si>
    <t>-- 7th ed. --</t>
  </si>
  <si>
    <t>1995-10-11</t>
  </si>
  <si>
    <t>QW 4 T675202 1998</t>
  </si>
  <si>
    <t>0                      QW 0004000T  675202      1998</t>
  </si>
  <si>
    <t>Topley &amp; Wilson's microbiology and microbial infections.</t>
  </si>
  <si>
    <t>Topley, W. W. C. (William Whiteman Carlton), 1886-1944.</t>
  </si>
  <si>
    <t>London : Arnold ; New York : Oxford University Press, 1998.</t>
  </si>
  <si>
    <t>9th ed. / [edited by] Leslie Collier, Albert Balows, Max Sussman.</t>
  </si>
  <si>
    <t>2000-03-21</t>
  </si>
  <si>
    <t>1998-10-13</t>
  </si>
  <si>
    <t>V. 6</t>
  </si>
  <si>
    <t>V. 5</t>
  </si>
  <si>
    <t>2000-02-19</t>
  </si>
  <si>
    <t>QW 4 Z7831 1992</t>
  </si>
  <si>
    <t>0                      QW 0004000Z  7831        1992</t>
  </si>
  <si>
    <t>Zinsser microbiology / edited by Wolfgang K. Joklik ... [et al.].</t>
  </si>
  <si>
    <t>Norwalk, CT : Appleton &amp; Lange, c1992.</t>
  </si>
  <si>
    <t>2002-08-24</t>
  </si>
  <si>
    <t>QW 11.1 L174p 2003</t>
  </si>
  <si>
    <t>0                      QW 0011100L  174p        2003</t>
  </si>
  <si>
    <t>Pioneers of microbiology and the Nobel prize / Ulf Lagerkvist.</t>
  </si>
  <si>
    <t>Lagerkvist, Ulf.</t>
  </si>
  <si>
    <t>River Edge, NJ : World Scientific Pub., c2003.</t>
  </si>
  <si>
    <t>2004-09-09</t>
  </si>
  <si>
    <t>QW 13 E56 1992</t>
  </si>
  <si>
    <t>0                      QW 0013000E  56          1992</t>
  </si>
  <si>
    <t>Encyclopedia of microbiology / editor, Joshua Lederberg.</t>
  </si>
  <si>
    <t>San Diego : Academic Press, c1992.</t>
  </si>
  <si>
    <t>2006-06-24</t>
  </si>
  <si>
    <t>2000-10-31</t>
  </si>
  <si>
    <t>QW 13 E56 1994</t>
  </si>
  <si>
    <t>0                      QW 0013000E  56          1994</t>
  </si>
  <si>
    <t>Encyclopedia of virology / edited by Robert G. Webster and Allan Granoff.</t>
  </si>
  <si>
    <t>London ; San Diego : Academic Press, c1994.</t>
  </si>
  <si>
    <t>1994-06-15</t>
  </si>
  <si>
    <t>QW 13 I12d 1995</t>
  </si>
  <si>
    <t>0                      QW 0013000I  12d         1995</t>
  </si>
  <si>
    <t>Dictionary of cytokines / Horst Ibelgaufts.</t>
  </si>
  <si>
    <t>Ibelgaufts, Horst.</t>
  </si>
  <si>
    <t>Weinheim ; New York : VCH, c1995.</t>
  </si>
  <si>
    <t>1995-08-23</t>
  </si>
  <si>
    <t>1995-08-22</t>
  </si>
  <si>
    <t>QW 17 D631e 1987</t>
  </si>
  <si>
    <t>0                      QW 0017000D  631e        1987</t>
  </si>
  <si>
    <t>Electron microscopy in diagnostic virology : a practical guide and atlas / Frances W. Doane, Nan Anderson.</t>
  </si>
  <si>
    <t>Doane, Frances W., 1928-</t>
  </si>
  <si>
    <t>Cambridge ; New York : Cambridge University Press, c1987.</t>
  </si>
  <si>
    <t>1990-05-25</t>
  </si>
  <si>
    <t>1990-04-04</t>
  </si>
  <si>
    <t>QW 17 F893c 1979</t>
  </si>
  <si>
    <t>0                      QW 0017000F  893c        1979</t>
  </si>
  <si>
    <t>A color atlas of pathogenic fungi / Dorothea Frey, Ronald Jowett Oldfield, Ronald C. Bridger.</t>
  </si>
  <si>
    <t>Frey, Dorothea.</t>
  </si>
  <si>
    <t>Chicago : Wolfe Medical Publications, c1979.</t>
  </si>
  <si>
    <t>ilu</t>
  </si>
  <si>
    <t>2001-04-22</t>
  </si>
  <si>
    <t>QW 17 L912</t>
  </si>
  <si>
    <t>0                      QW 0017000L  912</t>
  </si>
  <si>
    <t>Atlas of bacteriology / by R. Cranston Low and T.C. Dodds.</t>
  </si>
  <si>
    <t>Low, R. Cranston (Robert Cranston), 1879-1949.</t>
  </si>
  <si>
    <t>Edinburgh : E. &amp; S. Livingstone, 1952.</t>
  </si>
  <si>
    <t>1952</t>
  </si>
  <si>
    <t>2006-03-23</t>
  </si>
  <si>
    <t>QW 17 S359a 1982</t>
  </si>
  <si>
    <t>0                      QW 0017000S  359a        1982</t>
  </si>
  <si>
    <t>Schneierson's Atlas of diagnostic microbiology / edited by Edward J. Bottone, Roland Girolami, and John M. Stamm.</t>
  </si>
  <si>
    <t>Schneierson, S. Stanley (Sol Stanley), 1906-1976.</t>
  </si>
  <si>
    <t>North Chicago, Ill. : Abbott Laboratories, c1982.</t>
  </si>
  <si>
    <t>2001-04-27</t>
  </si>
  <si>
    <t>QW 18 B825r 1983</t>
  </si>
  <si>
    <t>0                      QW 0018000B  825r        1983</t>
  </si>
  <si>
    <t>Review of medical microbiology / Abraham I. Braude, J. Allen McCutchan.</t>
  </si>
  <si>
    <t>2001-01-15</t>
  </si>
  <si>
    <t>QW 18 H995m 1987</t>
  </si>
  <si>
    <t>0                      QW 0018000H  995m        1987</t>
  </si>
  <si>
    <t>Microbiology &amp; immunology / Richard M. Hyde.</t>
  </si>
  <si>
    <t>Hyde, Richard M.</t>
  </si>
  <si>
    <t>New York : Springer-Verlag, c1987.</t>
  </si>
  <si>
    <t>Oklahoma notes</t>
  </si>
  <si>
    <t>1989-02-23</t>
  </si>
  <si>
    <t>QW 18 K49m 1973</t>
  </si>
  <si>
    <t>0                      QW 0018000K  49m         1973</t>
  </si>
  <si>
    <t>Microbiology review : 1800 multiple choice questions and answers, completely referenced / by Charles W. Kim.</t>
  </si>
  <si>
    <t>Kim, Charles W., editor.</t>
  </si>
  <si>
    <t>Flushing, N.Y. : Medical Examination Pub. co., [1973]</t>
  </si>
  <si>
    <t>Basic science review series</t>
  </si>
  <si>
    <t>2000-04-15</t>
  </si>
  <si>
    <t>1988-03-25</t>
  </si>
  <si>
    <t>QW 18 K49m 1984</t>
  </si>
  <si>
    <t>0                      QW 0018000K  49m         1984</t>
  </si>
  <si>
    <t>Microbiology : 750 multiple choice questions with referenced explanatory answers / Charles W. Kim.</t>
  </si>
  <si>
    <t>Kim, Charles W.</t>
  </si>
  <si>
    <t>New Hyde Park, N.Y. : Medical Examination Pub. Co., c1984.</t>
  </si>
  <si>
    <t>Medical examination review</t>
  </si>
  <si>
    <t>2000-04-29</t>
  </si>
  <si>
    <t>QW 18 K49m 1987</t>
  </si>
  <si>
    <t>0                      QW 0018000K  49m         1987</t>
  </si>
  <si>
    <t>Microbiology : 1000 multiple choice questions with referenced explanatory answers / by Charles W. Kim.</t>
  </si>
  <si>
    <t>Garden City, N.Y. : Medical Examination Pub. Co., c1987.</t>
  </si>
  <si>
    <t>1998-11-02</t>
  </si>
  <si>
    <t>1987-10-20</t>
  </si>
  <si>
    <t>QW 18 L665m 1992</t>
  </si>
  <si>
    <t>0                      QW 0018000L  665m        1992</t>
  </si>
  <si>
    <t>Medical microbiology &amp; immunology : examination and board review / Warren E. Levinson, Ernest Jawetz.</t>
  </si>
  <si>
    <t>Levinson, Warren.</t>
  </si>
  <si>
    <t>Norwalk, Conn. : Appleton &amp; Lange, c1992.</t>
  </si>
  <si>
    <t>A Lange medical book</t>
  </si>
  <si>
    <t>2007-05-20</t>
  </si>
  <si>
    <t>1991-11-22</t>
  </si>
  <si>
    <t>QW 18 M623 1985</t>
  </si>
  <si>
    <t>0                      QW 0018000M  623         1985</t>
  </si>
  <si>
    <t>Microbiology / editors, David T. Kingsbury, Gary P. Segal, Gerald E. Wagner.</t>
  </si>
  <si>
    <t>New York : Wiley ; Media, Pa. : Harwal Pub. Co., c1985.</t>
  </si>
  <si>
    <t>The National medical series for independent study</t>
  </si>
  <si>
    <t>2001-02-17</t>
  </si>
  <si>
    <t>QW 18 M626 1988</t>
  </si>
  <si>
    <t>0                      QW 0018000M  626         1988</t>
  </si>
  <si>
    <t>Microbiology : PreTest self-assessment and review / edited by Richard C. Tilton.</t>
  </si>
  <si>
    <t>Colorado Springs : McGraw-Hill, Health Professions Division, PreTest Series, c1988.</t>
  </si>
  <si>
    <t>Basic sciences series</t>
  </si>
  <si>
    <t>2003-08-07</t>
  </si>
  <si>
    <t>1989-01-14</t>
  </si>
  <si>
    <t>QW 18 N468m 1998</t>
  </si>
  <si>
    <t>0                      QW 0018000N  468m        1998</t>
  </si>
  <si>
    <t>Microbiology : a human perspective.</t>
  </si>
  <si>
    <t>Boston, Mass. : WCB McGraw-Hill, c1998.</t>
  </si>
  <si>
    <t>1997</t>
  </si>
  <si>
    <t>2nd ed. / Eugene W. Nester ... [et al.].</t>
  </si>
  <si>
    <t>2005-07-07</t>
  </si>
  <si>
    <t>1999-01-19</t>
  </si>
  <si>
    <t>QW 18 R718i 1978</t>
  </si>
  <si>
    <t>0                      QW 0018000R  718i        1978</t>
  </si>
  <si>
    <t>Immunology : a self-instructional approach / Catherine E. Roesel.</t>
  </si>
  <si>
    <t>Roesel, Catherine E.</t>
  </si>
  <si>
    <t>-- New York : McGraw-Hill, c1978.</t>
  </si>
  <si>
    <t>1994-06-03</t>
  </si>
  <si>
    <t>QW 18 Y66a 1993</t>
  </si>
  <si>
    <t>0                      QW 0018000Y  66a         1993</t>
  </si>
  <si>
    <t>Appleton &amp; Lange's review of microbiology and immunology : for the USMLE, step 1 / William W. Yotis, Harold J. Blumenthal, Tadayo Hashimoto.</t>
  </si>
  <si>
    <t>Yotis, William W.</t>
  </si>
  <si>
    <t>Norwalk, Conn. : Appleton &amp; Lange, c1993.</t>
  </si>
  <si>
    <t>Appleton &amp; Lange review series</t>
  </si>
  <si>
    <t>2007-02-16</t>
  </si>
  <si>
    <t>1995-04-04</t>
  </si>
  <si>
    <t>QW 18.2 L665m 2002</t>
  </si>
  <si>
    <t>0                      QW 0018200L  665m        2002</t>
  </si>
  <si>
    <t>Medical microbiology &amp; immunology : examination &amp; board review / Warren Levinson and Ernest Jawetz.</t>
  </si>
  <si>
    <t>New York : Lange Medical Books/McGraw-Hill, c2002.</t>
  </si>
  <si>
    <t>2003-01-10</t>
  </si>
  <si>
    <t>QW 22.1 L759L 1994-95</t>
  </si>
  <si>
    <t>0                      QW 0022100L  759L        1994                                        -95</t>
  </si>
  <si>
    <t>Linscott's directory of immunological and biological reagents.</t>
  </si>
  <si>
    <t>Linscott, William D.</t>
  </si>
  <si>
    <t>Santa Rosa, CA : Linscott's Directory, c1994.</t>
  </si>
  <si>
    <t>8th ed. (1994-1995).</t>
  </si>
  <si>
    <t>1994-03-11</t>
  </si>
  <si>
    <t>1994-02-10</t>
  </si>
  <si>
    <t>QW 25 B187b 1997</t>
  </si>
  <si>
    <t>0                      QW 0025000B  187b        1997</t>
  </si>
  <si>
    <t>Bacterial cell culture : essential data / A.S. Ball.</t>
  </si>
  <si>
    <t>Ball, A. S.</t>
  </si>
  <si>
    <t>Chichester ; New York : Wiley, c1997.</t>
  </si>
  <si>
    <t>Essential data series</t>
  </si>
  <si>
    <t>2006-09-30</t>
  </si>
  <si>
    <t>1998-07-29</t>
  </si>
  <si>
    <t>QW 25 C525m 1901</t>
  </si>
  <si>
    <t>0                      QW 0025000C  525m        1901</t>
  </si>
  <si>
    <t>A manual of determinative bacteriology / by Frederick D. Chester.</t>
  </si>
  <si>
    <t>Chester, Frederick Dixon.</t>
  </si>
  <si>
    <t>New York : Macmillan, 1914, c1901.</t>
  </si>
  <si>
    <t>1914</t>
  </si>
  <si>
    <t>QW 25 C7122 1989</t>
  </si>
  <si>
    <t>0                      QW 0025000C  7122        1989</t>
  </si>
  <si>
    <t>Collins and Lyne's microbiological methods / edited by C.H. Collins, Patricia M. Lyne, J.M. Grange.</t>
  </si>
  <si>
    <t>London ; Boston : Butterworths, c1989.</t>
  </si>
  <si>
    <t>6th ed.</t>
  </si>
  <si>
    <t>2004-10-22</t>
  </si>
  <si>
    <t>1989-12-05</t>
  </si>
  <si>
    <t>QW 25 M143m 1985 v.1</t>
  </si>
  <si>
    <t>0                      QW 0025000M  143m        1985                                        v.1</t>
  </si>
  <si>
    <t>Media for isolation-cultivation-identification-maintenance of medical bacteria / Jean F. MacFaddin.</t>
  </si>
  <si>
    <t>Mac Faddin, Jean F.</t>
  </si>
  <si>
    <t>Baltimore : Williams &amp; Wilkins, c1985.</t>
  </si>
  <si>
    <t>2005-08-08</t>
  </si>
  <si>
    <t>QW 25 N856m</t>
  </si>
  <si>
    <t>0                      QW 0025000N  856m</t>
  </si>
  <si>
    <t>Methods in microbiology / edited by J. R. Norris [and] D. W. Ribbons.</t>
  </si>
  <si>
    <t>V. 3A</t>
  </si>
  <si>
    <t>Norris, J. R. (John Robert)</t>
  </si>
  <si>
    <t>London, New York : Academic, 1969-1971.</t>
  </si>
  <si>
    <t>1988-03-21</t>
  </si>
  <si>
    <t>V. 3B</t>
  </si>
  <si>
    <t>V. 5B</t>
  </si>
  <si>
    <t>V. 5A</t>
  </si>
  <si>
    <t>2002-11-12</t>
  </si>
  <si>
    <t>QW 25 P532 1996</t>
  </si>
  <si>
    <t>0                      QW 0025000P  532         1996</t>
  </si>
  <si>
    <t>Phage display of peptides and proteins : a laboratory manual / edited by Brian K. Kay, Jill Winter, John McCafferty.</t>
  </si>
  <si>
    <t>2003-10-02</t>
  </si>
  <si>
    <t>1998-01-22</t>
  </si>
  <si>
    <t>QW 25 S782 1981</t>
  </si>
  <si>
    <t>0                      QW 0025000S  782         1981</t>
  </si>
  <si>
    <t>Staining procedures used by the Biological Stain Commission / edited by George Clark.</t>
  </si>
  <si>
    <t>Baltimore : Published for the Biological Stain Commission by Williams &amp; Wilkins, c1981.</t>
  </si>
  <si>
    <t>1997-04-17</t>
  </si>
  <si>
    <t>QW 25 T355 2000</t>
  </si>
  <si>
    <t>0                      QW 0025000T  355         2000</t>
  </si>
  <si>
    <t>Textbook of diagnostic microbiology / edited by Connie R. Mahon, George Manuselis.</t>
  </si>
  <si>
    <t>Philadelphia : Saunders, c2000.</t>
  </si>
  <si>
    <t>2009-08-17</t>
  </si>
  <si>
    <t>QW 25 W548L 1974</t>
  </si>
  <si>
    <t>0                      QW 0025000W  548L        1974</t>
  </si>
  <si>
    <t>Laboratory manual and workbook in microbiology : applications to patient care / Marion E. Wilson, Martin H. Weisburd, Helen Eckel Mizer.</t>
  </si>
  <si>
    <t>Wilson, Marion E.</t>
  </si>
  <si>
    <t>New York : MacMillan, c1974.</t>
  </si>
  <si>
    <t>1989-01-27</t>
  </si>
  <si>
    <t>QW26 M294 2002</t>
  </si>
  <si>
    <t>0                      QW 0026000M  294         2002</t>
  </si>
  <si>
    <t>Manual of commercial methods in clinical microbiology / editor, Allan L. Truant.</t>
  </si>
  <si>
    <t>Washington, D.C. : ASM Press, c2002.</t>
  </si>
  <si>
    <t>2004-11-01</t>
  </si>
  <si>
    <t>QW 39 G946 1990</t>
  </si>
  <si>
    <t>0                      QW 0039000G  946         1990</t>
  </si>
  <si>
    <t>Guide for adult immunization / ACP Task Force on Adult Immunization and Infectious Diseases Society of America.</t>
  </si>
  <si>
    <t>Philadelphia, Pa. : American College of Physicians, c1990.</t>
  </si>
  <si>
    <t>1998-09-10</t>
  </si>
  <si>
    <t>QW39 M368v 2004</t>
  </si>
  <si>
    <t>0                      QW 0039000M  368v        2004</t>
  </si>
  <si>
    <t>The vaccine handbook : a practical guide for clinicians / Gary S. Marshall.</t>
  </si>
  <si>
    <t>Marshall, Gary S.</t>
  </si>
  <si>
    <t>Philadelphia : Lippincott Williams &amp; Wilkins, c2004.</t>
  </si>
  <si>
    <t>2006-02-02</t>
  </si>
  <si>
    <t>QW 39 P8945 1995</t>
  </si>
  <si>
    <t>0                      QW 0039000P  8945        1995</t>
  </si>
  <si>
    <t>A practical guide to clinical bacteriology / [edited by] J.R. Pattison ... [et al.].</t>
  </si>
  <si>
    <t>Chichester ; New York : J. Wiley, c1995.</t>
  </si>
  <si>
    <t>2006-11-24</t>
  </si>
  <si>
    <t>1996-09-10</t>
  </si>
  <si>
    <t>QW 50 B789b 1995</t>
  </si>
  <si>
    <t>0                      QW 0050000B  789b        1995</t>
  </si>
  <si>
    <t>Basic medical microbiology / Robert F. Boyd.</t>
  </si>
  <si>
    <t>Boston : Little, Brown, c1995.</t>
  </si>
  <si>
    <t>QW 51 B13055 2006</t>
  </si>
  <si>
    <t>0                      QW 0051000B  13055       2006</t>
  </si>
  <si>
    <t>Bacterial genomes and infectious diseases / edited by Voon L. Chan, Philip M. Sherman, Billy Bourke.</t>
  </si>
  <si>
    <t>Totowa, N.J. : Humana Press, c2006.</t>
  </si>
  <si>
    <t>2006</t>
  </si>
  <si>
    <t>2007-06-28</t>
  </si>
  <si>
    <t>2007-05-25</t>
  </si>
  <si>
    <t>QW 51 B617b 1981</t>
  </si>
  <si>
    <t>0                      QW 0051000B  617b        1981</t>
  </si>
  <si>
    <t>Bacterial and bacteriophage genetics : an introduction / Edward A. Birge.</t>
  </si>
  <si>
    <t>Birge, Edward A. (Edward Asahel)</t>
  </si>
  <si>
    <t>New York : Spriger-Verlag, c1981.</t>
  </si>
  <si>
    <t>2002-02-22</t>
  </si>
  <si>
    <t>QW 51 F862m 1987</t>
  </si>
  <si>
    <t>0                      QW 0051000F  862m        1987</t>
  </si>
  <si>
    <t>Microbial genetics / David Freifelder.</t>
  </si>
  <si>
    <t>Freifelder, David, 1935-</t>
  </si>
  <si>
    <t>Boston, MA : Jones and Bartlett, c1987.</t>
  </si>
  <si>
    <t>Jones and Bartlett series in biology.</t>
  </si>
  <si>
    <t>2002-12-05</t>
  </si>
  <si>
    <t>1988-01-12</t>
  </si>
  <si>
    <t>QW 51 G3275 1993</t>
  </si>
  <si>
    <t>0                      QW 0051000G  3275        1993</t>
  </si>
  <si>
    <t>Genetics and molecular biology of anaerobic bacteria / Madeleine Sebald, editor.</t>
  </si>
  <si>
    <t>New York : Springer-Verlag, c1993.</t>
  </si>
  <si>
    <t>Brock/Springer series in contemporary bioscience</t>
  </si>
  <si>
    <t>2002-02-26</t>
  </si>
  <si>
    <t>1993-03-16</t>
  </si>
  <si>
    <t>QW 51 H418g 1964</t>
  </si>
  <si>
    <t>0                      QW 0051000H  418g        1964</t>
  </si>
  <si>
    <t>New York : Wiley, [1964]</t>
  </si>
  <si>
    <t>QW 52 A6285 1987</t>
  </si>
  <si>
    <t>0                      QW 0052000A  6285        1987</t>
  </si>
  <si>
    <t>Antibiotic inhibition of bacterial cell surface assembly and function / edited by Paul Actor ... [et al.].</t>
  </si>
  <si>
    <t>Washington, D.C. : American Society for Microbiology, c1988.</t>
  </si>
  <si>
    <t>1999-08-23</t>
  </si>
  <si>
    <t>1989-03-10</t>
  </si>
  <si>
    <t>QW 52 A631 1984</t>
  </si>
  <si>
    <t>0                      QW 0052000A  631         1984</t>
  </si>
  <si>
    <t>Antimicrobial drug resistance / edited by L.E. Bryan.</t>
  </si>
  <si>
    <t>New York : Academic Press, c1984.</t>
  </si>
  <si>
    <t>1998-10-10</t>
  </si>
  <si>
    <t>QW 52 B13045 1994</t>
  </si>
  <si>
    <t>0                      QW 0052000B  13045       1994</t>
  </si>
  <si>
    <t>Bacterial cell wall / editors, J.-M. Ghuysen, R. Hackenbeck.</t>
  </si>
  <si>
    <t>Amsterdam ; New York : Elsevier, c1994.</t>
  </si>
  <si>
    <t>New comprehensive biochemistry ; v. 27</t>
  </si>
  <si>
    <t>2000-12-03</t>
  </si>
  <si>
    <t>1995-02-16</t>
  </si>
  <si>
    <t>QW 52 F193i 1975</t>
  </si>
  <si>
    <t>0                      QW 0052000F  193i        1975</t>
  </si>
  <si>
    <t>Infectious multiple drug resistance / Falkow.</t>
  </si>
  <si>
    <t>Falkow, Stanley.</t>
  </si>
  <si>
    <t>London : Pion ; [London] : [Distributed by Academic Press], 1975.</t>
  </si>
  <si>
    <t>1988-03-03</t>
  </si>
  <si>
    <t>QW 52 I612t 1983</t>
  </si>
  <si>
    <t>0                      QW 0052000I  612t        1983</t>
  </si>
  <si>
    <t>The target of penicillin : the murein sacculus of bacterial cell walls : architecture and growth : proceedings / International FEMS Symposium, Berlin (West), Germany, March 13-18, 1983 ; editors, R. Hakenbeck, J.-V. Höltje, H. Labischinski.</t>
  </si>
  <si>
    <t>International FEMS Symposium (1983 : Berlin, Germany)</t>
  </si>
  <si>
    <t>Berlin ; New York : W. de Gruyter, c1983.</t>
  </si>
  <si>
    <t>1999-07-26</t>
  </si>
  <si>
    <t>1989-03-28</t>
  </si>
  <si>
    <t>QW 52 I61b 1971</t>
  </si>
  <si>
    <t>0                      QW 0052000I  61b         1971</t>
  </si>
  <si>
    <t>Bacterial plasmids and antibiotic resistance / Editors: V. Krčméry, L. Rosival, T. Watanabe.</t>
  </si>
  <si>
    <t>International Symposium on Infectious Antibiotic Resistance (1st : 1971 : Smolenice, Slovakia)</t>
  </si>
  <si>
    <t>Prague : Avicenum; Berlin, New York : Springer-Verlag, 1972.</t>
  </si>
  <si>
    <t>1972</t>
  </si>
  <si>
    <t xml:space="preserve">cs </t>
  </si>
  <si>
    <t>QW 52 M684t 1971</t>
  </si>
  <si>
    <t>0                      QW 0052000M  684t        1971</t>
  </si>
  <si>
    <t>Transferable drug resistance factor R.</t>
  </si>
  <si>
    <t>Mitsuhashi, Susumu.</t>
  </si>
  <si>
    <t>Baltimore : University Park Press, [1971]</t>
  </si>
  <si>
    <t>1992-04-24</t>
  </si>
  <si>
    <t>QW 52 P578 1988 v.2</t>
  </si>
  <si>
    <t>0                      QW 0052000P  578         1988                                        v.2</t>
  </si>
  <si>
    <t>Physiological models in microbiology / editors, Michael J. Bazin, James I. Prosser.</t>
  </si>
  <si>
    <t>Boca Raton, Fla. : CRC Press, c1988.</t>
  </si>
  <si>
    <t>CRC series in mathematical models in microbiology</t>
  </si>
  <si>
    <t>1988-06-07</t>
  </si>
  <si>
    <t>1988-05-16</t>
  </si>
  <si>
    <t>QW55 E607 2004</t>
  </si>
  <si>
    <t>0                      QW 0055000E  607         2004</t>
  </si>
  <si>
    <t>Environmental microbiology : methods and protocols / edited by John F.T. Spencer and Alicia L. Ragout de Spencer.</t>
  </si>
  <si>
    <t>Totowa, N.J. : Humana Press, c2004.</t>
  </si>
  <si>
    <t>Methods in biotechnology ; 16</t>
  </si>
  <si>
    <t>2005-01-14</t>
  </si>
  <si>
    <t>2004-11-08</t>
  </si>
  <si>
    <t>QW55 P976 2004</t>
  </si>
  <si>
    <t>0                      QW 0055000P  976         2004</t>
  </si>
  <si>
    <t>Public health microbiology : methods and protocols / edited by John F.T. Spencer, Alicia L. Ragout de Spencer.</t>
  </si>
  <si>
    <t>Methods in molecular biology, 1064-3745 ; v. 268</t>
  </si>
  <si>
    <t>2004-11-02</t>
  </si>
  <si>
    <t>QW 65 M143c 1989</t>
  </si>
  <si>
    <t>0                      QW 0065000M  143c        1989</t>
  </si>
  <si>
    <t>Clinical oral microbiology / T. Wallace MacFarlane, Lakshman P. Samaranayake ; with a foreword by J.G. Collee.</t>
  </si>
  <si>
    <t>MacFarlane, T. Wallace.</t>
  </si>
  <si>
    <t>London ; Boston : Wright, c1989.</t>
  </si>
  <si>
    <t>1998-01-28</t>
  </si>
  <si>
    <t>1989-11-16</t>
  </si>
  <si>
    <t>QW 65 M478c 1983</t>
  </si>
  <si>
    <t>0                      QW 0065000M  478c        1983</t>
  </si>
  <si>
    <t>Clinical and oral microbiology / Alexander W. McCracken, Roderick A. Cawson.</t>
  </si>
  <si>
    <t>McCracken, Alexander W.</t>
  </si>
  <si>
    <t>Washington : Hemisphere Pub. Corp. ; New York : McGraw-Hill, c1983.</t>
  </si>
  <si>
    <t>1995-10-27</t>
  </si>
  <si>
    <t>QW 65 O61 1981</t>
  </si>
  <si>
    <t>0                      QW 0065000O  61          1981</t>
  </si>
  <si>
    <t>Oral biology / [edited by] Gerald I. Roth, Robert Calmes.</t>
  </si>
  <si>
    <t>St. Louis : Mosby, c1981.</t>
  </si>
  <si>
    <t>1992-09-03</t>
  </si>
  <si>
    <t>QW 65 O618 1988</t>
  </si>
  <si>
    <t>0                      QW 0065000O  618         1988</t>
  </si>
  <si>
    <t>Oral microbiology and immunology / [edited by] Michael G. Newman, Russell Nisengard.</t>
  </si>
  <si>
    <t>Philadelphia : Saunders, c1988.</t>
  </si>
  <si>
    <t>A Saunders core textbook in dentistry.</t>
  </si>
  <si>
    <t>1989-02-15</t>
  </si>
  <si>
    <t>QW 65 O62 1983</t>
  </si>
  <si>
    <t>0                      QW 0065000O  62          1983</t>
  </si>
  <si>
    <t>Oral microbiology and infectious disease / edited by George S. Schuster.</t>
  </si>
  <si>
    <t>Baltimore ; London : Williams &amp; Wilkins, c1983.</t>
  </si>
  <si>
    <t>2nd student ed.</t>
  </si>
  <si>
    <t>QW 65 O63 1982</t>
  </si>
  <si>
    <t>0                      QW 0065000O  63          1982</t>
  </si>
  <si>
    <t>Oral microbiology : with basic microbiology and immunology / edited by William A. Nolte.</t>
  </si>
  <si>
    <t>St. Louis : Mosby, c1982.</t>
  </si>
  <si>
    <t>QW 125.5.M9 M9952 1998</t>
  </si>
  <si>
    <t>0                      QW 0125500M  9                  M  9952        1998</t>
  </si>
  <si>
    <t>Mycobacteria protocols / edited by Tanya Parish and Neil G. Stoker.</t>
  </si>
  <si>
    <t>Totowa, N.J. : Humana Press, c1998.</t>
  </si>
  <si>
    <t>Methods in molecular biology ; 101</t>
  </si>
  <si>
    <t>2009-06-23</t>
  </si>
  <si>
    <t>1999-02-05</t>
  </si>
  <si>
    <t>QW 127.5.C5 C645 1988</t>
  </si>
  <si>
    <t>0                      QW 0127500C  5                  C  645         1988</t>
  </si>
  <si>
    <t>Clostridium difficile : its role in intestinal disease / edited by Rial D. Rolfe, Sydney M. Finegold.</t>
  </si>
  <si>
    <t>San Diego : Academic Press, c1988.</t>
  </si>
  <si>
    <t>1989-11-14</t>
  </si>
  <si>
    <t>1988-08-18</t>
  </si>
  <si>
    <t>QW 131 P973 1998</t>
  </si>
  <si>
    <t>0                      QW 0131000P  973         1998</t>
  </si>
  <si>
    <t>Pseudomonas / edited by Thomas C. Montie.</t>
  </si>
  <si>
    <t>New York : Plenum Press, c1998.</t>
  </si>
  <si>
    <t>Biotechnology handbooks ; v. 10</t>
  </si>
  <si>
    <t>2008-11-22</t>
  </si>
  <si>
    <t>1999-07-09</t>
  </si>
  <si>
    <t>QW 138.5 V821 1983</t>
  </si>
  <si>
    <t>0                      QW 0138500V  821         1983</t>
  </si>
  <si>
    <t>The Virulence of Escherichia coli : reviews and methods / edited by M. Sussman.</t>
  </si>
  <si>
    <t>London ; Orlando : Published for the Society for General Microbiology by Academic Press, c1985.</t>
  </si>
  <si>
    <t>Special publications of the Society for General Microbiology ; 13</t>
  </si>
  <si>
    <t>QW 140 E38s 1959</t>
  </si>
  <si>
    <t>0                      QW 0140000E  38s         1959</t>
  </si>
  <si>
    <t>Staphylococcus pyogenes and its relation to disease.</t>
  </si>
  <si>
    <t>Elek, Stephen Dyonis, 1914-</t>
  </si>
  <si>
    <t>Edinburgh : Livingstone, 1959.</t>
  </si>
  <si>
    <t>2001-09-08</t>
  </si>
  <si>
    <t>QW 140 W249s 1972</t>
  </si>
  <si>
    <t>0                      QW 0140000W  249s        1972</t>
  </si>
  <si>
    <t>Streptococci and streptococcal diseases : recognition, understanding, and management / edited by Lewis W. Wannamaker [and] John M. Matsen.</t>
  </si>
  <si>
    <t>Wannamaker, Lewis W., 1923-</t>
  </si>
  <si>
    <t>New York : Academic Press, 1972.</t>
  </si>
  <si>
    <t>2008-04-22</t>
  </si>
  <si>
    <t>QW 142.5.A8 L714s 1991</t>
  </si>
  <si>
    <t>0                      QW 0142500A  8                  L  714s        1991</t>
  </si>
  <si>
    <t>Studies on the impact of lactobacillus acidophilus on human microflora and some cancer-related intestinal ecological variables / by Ann Lidbeck.</t>
  </si>
  <si>
    <t>Lidbeck, Ann.</t>
  </si>
  <si>
    <t>Stockholm : Kong. Carolinska Medico Chirurgiska Institutet, 1991.</t>
  </si>
  <si>
    <t xml:space="preserve">sw </t>
  </si>
  <si>
    <t>1992-01-21</t>
  </si>
  <si>
    <t>1992-01-16</t>
  </si>
  <si>
    <t>QW 142.5.C6 A552p 1983</t>
  </si>
  <si>
    <t>0                      QW 0142500C  6                  A  552p        1983</t>
  </si>
  <si>
    <t>Physiological studies of oral streptococci with emphasis on peptide metabolism / Carita Andersson.</t>
  </si>
  <si>
    <t>Andersson, Carita.</t>
  </si>
  <si>
    <t>QW 142.5.C6 B821s 1988</t>
  </si>
  <si>
    <t>0                      QW 0142500C  6                  B  821s        1988</t>
  </si>
  <si>
    <t>Studies on S̲t̲r̲e̲p̲t̲o̲c̲o̲c̲c̲u̲s̲ m̲u̲t̲a̲n̲s̲ glucans with special reference to cell adhesion / by Christian Branting.</t>
  </si>
  <si>
    <t>Branting, Christina.</t>
  </si>
  <si>
    <t>Stockholm : Kongl. Carolinska Medico Chirurgiska Institutet, c1988.</t>
  </si>
  <si>
    <t>1989-01-25</t>
  </si>
  <si>
    <t>QW150 S888c 1971</t>
  </si>
  <si>
    <t>0                      QW 0150000S  888c        1971</t>
  </si>
  <si>
    <t>Chlamydia and chlamydia-induced diseases.</t>
  </si>
  <si>
    <t>Storz, Johannes.</t>
  </si>
  <si>
    <t>Springfield, Ill. : Thomas, [c1971]</t>
  </si>
  <si>
    <t>QW 152 M626 1988</t>
  </si>
  <si>
    <t>0                      QW 0152000M  626         1988</t>
  </si>
  <si>
    <t>Microbiology of chlamydia / editor, Almen L. Barron.</t>
  </si>
  <si>
    <t>2009-02-23</t>
  </si>
  <si>
    <t>1989-01-04</t>
  </si>
  <si>
    <t>QW 154 C199 1989</t>
  </si>
  <si>
    <t>0                      QW 0154000C  199         1989</t>
  </si>
  <si>
    <t>Campylobacter pylori and gastroduodenal disease / edited by B.J. Rathbone, R.V. Heatley.</t>
  </si>
  <si>
    <t>Oxford ; London : Blackwell Scientific, c1989.</t>
  </si>
  <si>
    <t>1989-12-13</t>
  </si>
  <si>
    <t>QW 154 H4745 1993</t>
  </si>
  <si>
    <t>0                      QW 0154000H  4745        1993</t>
  </si>
  <si>
    <t>Helicobacter pylori : biology and clinical practice / editors, C. Stewart Goodwin, Bryan W. Worsley.</t>
  </si>
  <si>
    <t>Boca Raton, Fla. : CRC Press, c1993.</t>
  </si>
  <si>
    <t>2005-06-20</t>
  </si>
  <si>
    <t>1994-04-05</t>
  </si>
  <si>
    <t>QW 154 H4758 1997</t>
  </si>
  <si>
    <t>0                      QW 0154000H  4758        1997</t>
  </si>
  <si>
    <t>Helicobacter pylori protocols / edited by Christopher L. Clayton, Harry L.T. Mobley.</t>
  </si>
  <si>
    <t>Totowa, N.J. : Humana Press, c1997.</t>
  </si>
  <si>
    <t>Methods in molecular medicine</t>
  </si>
  <si>
    <t>1997-12-13</t>
  </si>
  <si>
    <t>1997-11-07</t>
  </si>
  <si>
    <t>QW 160 B624i 1980</t>
  </si>
  <si>
    <t>0                      QW 0160000B  624i        1980</t>
  </si>
  <si>
    <t>Introduction to environmental virology / Gabriel Bitton.</t>
  </si>
  <si>
    <t>Bitton, Gabriel.</t>
  </si>
  <si>
    <t>New York : Wiley, c1980.</t>
  </si>
  <si>
    <t>Wiley-Interscience publication</t>
  </si>
  <si>
    <t>1999-10-09</t>
  </si>
  <si>
    <t>QW 160 B964v 1959</t>
  </si>
  <si>
    <t>0                      QW 0160000B  964v        1959</t>
  </si>
  <si>
    <t>The viruses : biochemical, biological, and biophysical properties / edited by F. M. Burnet [and] W. M. Stanley.</t>
  </si>
  <si>
    <t>Burnet, F. M. (Frank Macfarlane), Sir, 1899-1985 editor.</t>
  </si>
  <si>
    <t>New York : Academic Press, 1959.</t>
  </si>
  <si>
    <t>1989-04-18</t>
  </si>
  <si>
    <t>QW 160 D542b 1926</t>
  </si>
  <si>
    <t>0                      QW 0160000D  542b        1926</t>
  </si>
  <si>
    <t>The bacteriophage and its behavior / by F. d'Herelle.</t>
  </si>
  <si>
    <t>Baltimore : Williams &amp; Wilkins, c1926.</t>
  </si>
  <si>
    <t>1926</t>
  </si>
  <si>
    <t>QW 160 D879v 1988</t>
  </si>
  <si>
    <t>0                      QW 0160000D  879v        1988</t>
  </si>
  <si>
    <t>Virology / Renato Dulbecco, Harold S. Ginsberg.</t>
  </si>
  <si>
    <t>Dulbecco, Renato, 1914-2012.</t>
  </si>
  <si>
    <t>Philadelphia : Lippincott, c1988.</t>
  </si>
  <si>
    <t>1989-01-07</t>
  </si>
  <si>
    <t>QW 160 F293b 1967</t>
  </si>
  <si>
    <t>0                      QW 0160000F  293b        1967</t>
  </si>
  <si>
    <t>The biochemistry of virus replication : Symposium organizer: A. P. Nygaard. Edited by S. G. Laland and L. O. Frøholm.</t>
  </si>
  <si>
    <t>Symposium on the Biochemistry of Virus Replication (1967 : Oslo, Norway)</t>
  </si>
  <si>
    <t>Olso : Universitetsforlaget; London, New York, Academic Press, [c1968]</t>
  </si>
  <si>
    <t>Proceedings of the meeting of the Federation of European Biochemical Societies ; [v. 10]</t>
  </si>
  <si>
    <t>1999-10-12</t>
  </si>
  <si>
    <t>QW 160 F463 1996</t>
  </si>
  <si>
    <t>0                      QW 0160000F  463         1996</t>
  </si>
  <si>
    <t>Fields virology / editors-in-chief, Bernard N. Fields, David M. Knipe, Peter M. Howley ; associate editors, Robert M. Chanock ... [ et al.].</t>
  </si>
  <si>
    <t>Philadelphia : Lippincott-Raven Publishers, c1996.</t>
  </si>
  <si>
    <t>2003-11-06</t>
  </si>
  <si>
    <t>2004-06-14</t>
  </si>
  <si>
    <t>1998-02-16</t>
  </si>
  <si>
    <t>QW160 F463 2001 V.1</t>
  </si>
  <si>
    <t>0                      QW 0160000F  463         2001                                        V.1</t>
  </si>
  <si>
    <t>Fields' virology / editors-in-chief, David M. Knipe, Peter M. Howley ; associate editors, Diane E. Griffin ... [et al.].</t>
  </si>
  <si>
    <t>Philadelphia : Lippincott Williams &amp; Wilkins, c2001.</t>
  </si>
  <si>
    <t>2006-10-29</t>
  </si>
  <si>
    <t>2002-12-12</t>
  </si>
  <si>
    <t>QW 160 F799v 1988</t>
  </si>
  <si>
    <t>0                      QW 0160000F  799v        1988</t>
  </si>
  <si>
    <t>Virology / Heinz Fraenkel-Conrat, Paul C. Kimball, Jay A. Levy.</t>
  </si>
  <si>
    <t>Englewood Cliffs, N.J. : Prentice-Hall, c1988.</t>
  </si>
  <si>
    <t>1997-10-11</t>
  </si>
  <si>
    <t>1988-08-04</t>
  </si>
  <si>
    <t>QW 160 G326 1978</t>
  </si>
  <si>
    <t>0                      QW 0160000G  326         1978</t>
  </si>
  <si>
    <t>General virology / S. E. Luria ... [et al.].</t>
  </si>
  <si>
    <t>New York : Wiley, c1978.</t>
  </si>
  <si>
    <t>2008-10-04</t>
  </si>
  <si>
    <t>QW 160 H813v 1974</t>
  </si>
  <si>
    <t>0                      QW 0160000H  813v        1974</t>
  </si>
  <si>
    <t>Virus structure / Robert W. Horne.</t>
  </si>
  <si>
    <t>Horne, Robert W. (Robert William)</t>
  </si>
  <si>
    <t>New York : Academic Press, [1974]</t>
  </si>
  <si>
    <t>2002-11-04</t>
  </si>
  <si>
    <t>QW 160 I605 1970</t>
  </si>
  <si>
    <t>0                      QW 0160000I  605         1970</t>
  </si>
  <si>
    <t>Viruses affecting man and animals / Compiled and edited by Murray Sanders and Morris Schaeffer.</t>
  </si>
  <si>
    <t>International Symposium on Medical and Applied Virology (3rd : 1969 : Fort Lauderdale, Fla.)</t>
  </si>
  <si>
    <t>St. Louis : W. H. Green, [1971]</t>
  </si>
  <si>
    <t>QW 160 I606 1983m</t>
  </si>
  <si>
    <t>0                      QW 0160000I  606         1983m</t>
  </si>
  <si>
    <t>Medical virology III : proceedings of the 1983 International Symposium on Medical Virology, held on October 19-21, 1983, in Anaheim, California, U.S.A. / editors, Luis M. de la Maza and Ellena M. Peterson.</t>
  </si>
  <si>
    <t>International Symposium on Medical Virology (1983 : Anaheim, Calif.)</t>
  </si>
  <si>
    <t>New York : Elsevier, c1984.</t>
  </si>
  <si>
    <t>1992-03-30</t>
  </si>
  <si>
    <t>QW 160 I606 1985m</t>
  </si>
  <si>
    <t>0                      QW 0160000I  606         1985m</t>
  </si>
  <si>
    <t>Medical virology V : proceedings of the 1985 International Symposium on Medical Virology, held on October 17-19, 1985, in Anaheim, California, U.S.A. / editors, Luis M. de la Maza and Ellena M. Peterson.</t>
  </si>
  <si>
    <t>International Symposium on Medical Virology (1985 : Anaheim, Calif.)</t>
  </si>
  <si>
    <t>Hillsdale, N.J. : Lawrence Erlbaum Associates, c1986.</t>
  </si>
  <si>
    <t>1989-03-22</t>
  </si>
  <si>
    <t>1987-09-23</t>
  </si>
  <si>
    <t>QW 160 I606 1986m</t>
  </si>
  <si>
    <t>0                      QW 0160000I  606         1986m</t>
  </si>
  <si>
    <t>Medical virology VI : proceedings of the 1986 International Symposium on Medical Virology, held on November 12-14, 1986, in Anaheim, California, U.S.A. / editors, Luis M. de la Maza and Ellena M. Peterson.</t>
  </si>
  <si>
    <t>International Symposium on Medical Virology (1986 : Anaheim, Calif.)</t>
  </si>
  <si>
    <t>Amsterdam ; New York : Elsevier ; New York, NY, USA : Sole distributors for the USA and Canada, Elsevier Science Pub. Co., c1987.</t>
  </si>
  <si>
    <t>International congress series</t>
  </si>
  <si>
    <t>1989-04-11</t>
  </si>
  <si>
    <t>1989-02-09</t>
  </si>
  <si>
    <t>QW 160 I606m 1987</t>
  </si>
  <si>
    <t>0                      QW 0160000I  606m        1987</t>
  </si>
  <si>
    <t>Medical virology VII : proceedings of the 1987 International Symposium on Medical Virology, held on November 12-14, 1987, in Anaheim, California, / editors, Luis M. de la Maza and Ellena M. Peterson.</t>
  </si>
  <si>
    <t>International Symposium on Medical Virology (1987 : Anaheim, Calif.)</t>
  </si>
  <si>
    <t>Amsterdam ; New York : Elsevier ; New York, NY, USA : Sole distributors for the USA and Canada, Elsevier Science Pub. Co., c1988.</t>
  </si>
  <si>
    <t>1997-07-28</t>
  </si>
  <si>
    <t>QW 160 M249v 1980</t>
  </si>
  <si>
    <t>0                      QW 0160000M  249v        1980</t>
  </si>
  <si>
    <t>Viral cytopathology / authors, Hubert H. Malherbe, Margaret Strickland-Cholmley.</t>
  </si>
  <si>
    <t>Malherbe, Hubert H.</t>
  </si>
  <si>
    <t>Boca Raton, Fla. : CRC Press, c1980.</t>
  </si>
  <si>
    <t>QW 160 M592</t>
  </si>
  <si>
    <t>0                      QW 0160000M  592</t>
  </si>
  <si>
    <t>Methods in virology / edited by Karl Maramorosch and Hilary Koprowski.</t>
  </si>
  <si>
    <t>New York ; London : Academic Press, 1967-1968.</t>
  </si>
  <si>
    <t>1989-04-16</t>
  </si>
  <si>
    <t>QW 160 S989c 1964</t>
  </si>
  <si>
    <t>0                      QW 0160000S  989c        1964</t>
  </si>
  <si>
    <t>Ciba Foundation Symposium : Cellular Biology of Myxovirus Infections; [proceedings] / Edited by G.E.W. Wolstenholme and Julie Knight.</t>
  </si>
  <si>
    <t>Symposium on Cellular Biology of Myxovirus Infections (1964 : London, England)</t>
  </si>
  <si>
    <t>Boston : Little, Brown, 1964.</t>
  </si>
  <si>
    <t>Cellular biology of myxovirus infections</t>
  </si>
  <si>
    <t>2005-10-01</t>
  </si>
  <si>
    <t>QW 160 V819 1986</t>
  </si>
  <si>
    <t>0                      QW 0160000V  819         1986</t>
  </si>
  <si>
    <t>Virology / Dale A. Stringfellow ... [et al.].</t>
  </si>
  <si>
    <t>Kalamazoo, Mich. : Upjohn, c1986.</t>
  </si>
  <si>
    <t>miu</t>
  </si>
  <si>
    <t>SCOPE publication</t>
  </si>
  <si>
    <t>QW 160 V819 1990</t>
  </si>
  <si>
    <t>0                      QW 0160000V  819         1990</t>
  </si>
  <si>
    <t>Fields virology / editors-in-chief, Bernard N. Fields, David M. Knipe ; associate editors, Robert M. Chanock ... [et. al.].</t>
  </si>
  <si>
    <t>Virology (Raven Press)</t>
  </si>
  <si>
    <t>New York : Raven Press, c1990.</t>
  </si>
  <si>
    <t>1993-03-03</t>
  </si>
  <si>
    <t>2000-05-07</t>
  </si>
  <si>
    <t>QW 160 V8195 1985</t>
  </si>
  <si>
    <t>0                      QW 0160000V  8195        1985</t>
  </si>
  <si>
    <t>Virology--a practical approach / edited by B.W.J. Mahy.</t>
  </si>
  <si>
    <t>Oxford ; Washington DC : IRL Press, c1985.</t>
  </si>
  <si>
    <t>Practical approach series</t>
  </si>
  <si>
    <t>1988-04-29</t>
  </si>
  <si>
    <t>QW 160 V82138 1993</t>
  </si>
  <si>
    <t>0                      QW 0160000V  82138       1993</t>
  </si>
  <si>
    <t>Viruses and virus-like agents in disease : 2nd Karger symposium, Basel, March 7-9, 1993 / editors, Rolf M. Zinkernagel, Werner Stauffacher.</t>
  </si>
  <si>
    <t>Basel ; New York : Karger, c1993.</t>
  </si>
  <si>
    <t xml:space="preserve">sz </t>
  </si>
  <si>
    <t>1999-11-01</t>
  </si>
  <si>
    <t>1994-09-06</t>
  </si>
  <si>
    <t>QW 161 B1315 1988</t>
  </si>
  <si>
    <t>0                      QW 0161000B  1315        1988</t>
  </si>
  <si>
    <t>The Bacteriophages / edited by Richard Calendar.</t>
  </si>
  <si>
    <t>New York : Plenum Press, c1988-</t>
  </si>
  <si>
    <t>The Viruses.</t>
  </si>
  <si>
    <t>QW 161.5.C6 P975g 1992</t>
  </si>
  <si>
    <t>0                      QW 0161500C  6                  P  975g        1992</t>
  </si>
  <si>
    <t>A genetic switch : phage [lambda] and higher organisms / by Mark Ptashne.</t>
  </si>
  <si>
    <t>Cambridge, Mass. : Cell Press : Blackwell Scientific Publications, c1992.</t>
  </si>
  <si>
    <t>1997-10-14</t>
  </si>
  <si>
    <t>QW 164 M716 1977</t>
  </si>
  <si>
    <t>0                      QW 0164000M  716         1977</t>
  </si>
  <si>
    <t>The Molecular biology of animal viruses / edited by Debi Prosad Nayak.</t>
  </si>
  <si>
    <t>-- New York : M. Dekker, c1977-1978.</t>
  </si>
  <si>
    <t>QW 164 O68 1982</t>
  </si>
  <si>
    <t>0                      QW 0164000O  68          1982</t>
  </si>
  <si>
    <t>Organization and replication of viral DNA / editor, Albert S. Kaplan.</t>
  </si>
  <si>
    <t>Boca Raton, Fla. : CRC Press, c1982.</t>
  </si>
  <si>
    <t>1999-10-05</t>
  </si>
  <si>
    <t>QW 164 P957 1980</t>
  </si>
  <si>
    <t>0                      QW 0164000P  957         1980</t>
  </si>
  <si>
    <t>Principles of animal virology / edited by Wolfgang K. Joklik.</t>
  </si>
  <si>
    <t>New York : Appleton-Century-Crofts, c1980.</t>
  </si>
  <si>
    <t>QW 165.5.H3 B250d 2005</t>
  </si>
  <si>
    <t>0                      QW 0165500H  3                  B  250d        2005</t>
  </si>
  <si>
    <t>Downregulation of MHC class I molecules by human cytomegalovirus-encoded US2 and US11 / Martine Thérèse Barel.</t>
  </si>
  <si>
    <t>Barel, Martine Thérèse, 1972-</t>
  </si>
  <si>
    <t>[S.l. : s.n.], cop. 2005.</t>
  </si>
  <si>
    <t>2005</t>
  </si>
  <si>
    <t>2007-01-29</t>
  </si>
  <si>
    <t>2007-01-17</t>
  </si>
  <si>
    <t>QW 165.5.H3 H5637 1985 v.3</t>
  </si>
  <si>
    <t>0                      QW 0165500H  3                  H  5637        1985                  v.3</t>
  </si>
  <si>
    <t>The Herpesviruses : Volume 3 / edited by Bernard Roizman.</t>
  </si>
  <si>
    <t>1988-09-19</t>
  </si>
  <si>
    <t>QW 165.5.H3 H5638 1998</t>
  </si>
  <si>
    <t>0                      QW 0165500H  3                  H  5638        1998</t>
  </si>
  <si>
    <t>Herpesviruses and immunity / edited by Peter G. Medveczky and Herman Friedman, and Mauro Bendinelli.</t>
  </si>
  <si>
    <t>Infectious agents and pathogenesis</t>
  </si>
  <si>
    <t>1999-07-13</t>
  </si>
  <si>
    <t>QW 165.5.H3 H678c 1982</t>
  </si>
  <si>
    <t>0                      QW 0165500H  3                  H  678c        1982</t>
  </si>
  <si>
    <t>Cytomegalovirus, biology and infection / Monto Ho.</t>
  </si>
  <si>
    <t>Ho, Monto.</t>
  </si>
  <si>
    <t>New York : Plenum Medical Book Co., c1982.</t>
  </si>
  <si>
    <t>Current topics in infectious disease</t>
  </si>
  <si>
    <t>1999-04-06</t>
  </si>
  <si>
    <t>1989-10-10</t>
  </si>
  <si>
    <t>QW 165.5.P2 H918 1989</t>
  </si>
  <si>
    <t>0                      QW 0165500P  2                  H  918         1989</t>
  </si>
  <si>
    <t>Human papillomavirus infections / editors, Barbara Winkler and Ralph M. Richart.</t>
  </si>
  <si>
    <t>New York : Elsevier, c1989.</t>
  </si>
  <si>
    <t>Clinical practice of gynecology ; v. 1, no. 2</t>
  </si>
  <si>
    <t>1994-07-10</t>
  </si>
  <si>
    <t>1990-09-12</t>
  </si>
  <si>
    <t>QW165.5.P2 H9183 2001</t>
  </si>
  <si>
    <t>0                      QW 0165500P  2                  H  9183        2001</t>
  </si>
  <si>
    <t>Human papillomaviruses : clinical and scientific advances / edited by Jane C. Sterling and Stephen K. Tyring.</t>
  </si>
  <si>
    <t>London ; New York : Arnold, 2001.</t>
  </si>
  <si>
    <t>2004-03-06</t>
  </si>
  <si>
    <t>2002-07-02</t>
  </si>
  <si>
    <t>QW 165.5.P2 P216 1985</t>
  </si>
  <si>
    <t>0                      QW 0165500P  2                  P  216         1985</t>
  </si>
  <si>
    <t>Papillomaviruses : molecular and clinical aspects : proceedings of a conference held in Steamboat Springs, Colorado, April 8-14, 1985 / editors, Peter M. Howley, Thomas R. Broker.</t>
  </si>
  <si>
    <t>New York : Liss, c1985.</t>
  </si>
  <si>
    <t>UCLA symposia on molecular and cellular biology ; new ser., v. 32</t>
  </si>
  <si>
    <t>1993-12-23</t>
  </si>
  <si>
    <t>QW 165.5.P2 P218 1987 v.2</t>
  </si>
  <si>
    <t>0                      QW 0165500P  2                  P  218         1987                  v.2</t>
  </si>
  <si>
    <t>The Papovaviridae / edited by Norman P. Salzman and Peter M. Howley.</t>
  </si>
  <si>
    <t>1993-03-12</t>
  </si>
  <si>
    <t>1987-09-24</t>
  </si>
  <si>
    <t>QW 165.5.P2 S669s 1996</t>
  </si>
  <si>
    <t>0                      QW 0165500P  2                  S  669s        1996</t>
  </si>
  <si>
    <t>The SV40 replicon model for analysis of anticancer drugs / Robert M. Snapka.</t>
  </si>
  <si>
    <t>Snapka, Robert M., 1947-</t>
  </si>
  <si>
    <t>Austin, TX : R.G. Landes, c1996.</t>
  </si>
  <si>
    <t>txu</t>
  </si>
  <si>
    <t>1997-07-10</t>
  </si>
  <si>
    <t>1997-05-19</t>
  </si>
  <si>
    <t>QW 166 A288 2007</t>
  </si>
  <si>
    <t>0                      QW 0166000A  288         2007</t>
  </si>
  <si>
    <t>AIDS-associated viral oncogenesis / edited by Meyers, C.</t>
  </si>
  <si>
    <t>New York ; [London] : Springer, c2007.</t>
  </si>
  <si>
    <t>Cancer treatment and research ; v. 133</t>
  </si>
  <si>
    <t>2010-12-09</t>
  </si>
  <si>
    <t>2007-06-07</t>
  </si>
  <si>
    <t>QW 166 AD888 1982 v.2</t>
  </si>
  <si>
    <t>0                      QW 0166000AD 888         1982                                        v.2</t>
  </si>
  <si>
    <t>The Transformation-associated cellular p53 protein / editor, George Klein.</t>
  </si>
  <si>
    <t>New York : Raven Press, c1982.</t>
  </si>
  <si>
    <t>Advances in viral oncology ; v. 2</t>
  </si>
  <si>
    <t>1998-10-09</t>
  </si>
  <si>
    <t>1988-01-28</t>
  </si>
  <si>
    <t>QW 166 C764 1988</t>
  </si>
  <si>
    <t>0                      QW 0166000C  764         1988</t>
  </si>
  <si>
    <t>The Control of human retrovirus gene expression / edited by B. Robert Franza, Jr., Bryan R. Cullen, Flossie Wong-Staal.</t>
  </si>
  <si>
    <t>Cold Spring Harbor, N.Y. : Cold Spring Harbor Laboratory, c1988.</t>
  </si>
  <si>
    <t>1989-09-22</t>
  </si>
  <si>
    <t>1989-04-07</t>
  </si>
  <si>
    <t>QW 166 M718 1980</t>
  </si>
  <si>
    <t>0                      QW 0166000M  718         1980</t>
  </si>
  <si>
    <t>Molecular biology of RNA tumor viruses / edited by John R. Stephenson.</t>
  </si>
  <si>
    <t>New York : Academic Press, 1980.</t>
  </si>
  <si>
    <t>QW 166 O39 1977o</t>
  </si>
  <si>
    <t>0                      QW 0166000O  39          1977o</t>
  </si>
  <si>
    <t>Oncogenic viruses and host cell genes : [proceedings] / edited by Yoji Ikawa and Takeshi Odaka.</t>
  </si>
  <si>
    <t>Oji International Seminar on Genetic Aspects of Friend Virus and Friend Cells (5th : 1977 : Yamanakako-mura, Japan)</t>
  </si>
  <si>
    <t>New York : Academic Press, 1979.</t>
  </si>
  <si>
    <t>QW 166 R627 1985 v.2</t>
  </si>
  <si>
    <t>0                      QW 0166000R  627         1985                                        v.2</t>
  </si>
  <si>
    <t>RNA tumor viruses : molecular biology of tumor viruses : Volume 2/ supplements and appendixes / edited by Robin Weiss ... [et al.] ; contributors, A. Bernstein ... [et al.].</t>
  </si>
  <si>
    <t>Cold Spring Harbor, N.Y. : Cold Spring Harbor Laboratory, c1985.</t>
  </si>
  <si>
    <t>2nd ed. rev.</t>
  </si>
  <si>
    <t>QW 166 V813 1980</t>
  </si>
  <si>
    <t>0                      QW 0166000V  813         1980</t>
  </si>
  <si>
    <t>Viral oncology / editor, George Klein.</t>
  </si>
  <si>
    <t>New York : Raven Press, c1980.</t>
  </si>
  <si>
    <t>1992-02-28</t>
  </si>
  <si>
    <t>QW 168 A6802 1993</t>
  </si>
  <si>
    <t>0                      QW 0168000A  6802        1993</t>
  </si>
  <si>
    <t>The Arenaviridae / edited by Maria S. Salvato.</t>
  </si>
  <si>
    <t>New York : Plenum Press, c1993.</t>
  </si>
  <si>
    <t>2005-06-23</t>
  </si>
  <si>
    <t>1994-03-22</t>
  </si>
  <si>
    <t>QW 168.5.07 I435 1989</t>
  </si>
  <si>
    <t>0                      QW 0168500                                                           .07 I435 1989</t>
  </si>
  <si>
    <t>The Influenza viruses / edited by Robert M. Krug.</t>
  </si>
  <si>
    <t>New York : Plenum Press, c1989.</t>
  </si>
  <si>
    <t>1991-03-02</t>
  </si>
  <si>
    <t>QW 180 A257 1969</t>
  </si>
  <si>
    <t>0                      QW 0180000A  257         1969</t>
  </si>
  <si>
    <t>Aflatoxin : scientific background, control, and implications / edited by Leo A. Goldblatt.</t>
  </si>
  <si>
    <t>Goldblatt, Leo A. (Leo Arthur), 1902-</t>
  </si>
  <si>
    <t>New York : Academic Press, 1969.</t>
  </si>
  <si>
    <t>Food science and technology ; 7</t>
  </si>
  <si>
    <t>2002-10-27</t>
  </si>
  <si>
    <t>QW 180 B595m 1963</t>
  </si>
  <si>
    <t>0                      QW 0180000B  595m        1963</t>
  </si>
  <si>
    <t>Antibiotic-producing microscopic fungi / [Translated by Scripta Technica, inc.].</t>
  </si>
  <si>
    <t>Bilaĭ, V. I. (Vera Iosifovna)</t>
  </si>
  <si>
    <t>Amsterdam, New York : Elsevier Pub. Co., 1963.</t>
  </si>
  <si>
    <t>1996-02-19</t>
  </si>
  <si>
    <t>QW 180 H518m 1930</t>
  </si>
  <si>
    <t>0                      QW 0180000H  518m        1930</t>
  </si>
  <si>
    <t>Molds, yeasts, and actinomycetes : a handbook for students of bacteriology / by Arthur T. Henrici ...</t>
  </si>
  <si>
    <t>Henrici, Arthur T. (Arthur Trautwein), 1889-1943.</t>
  </si>
  <si>
    <t>New York : J. Wiley &amp; Sons, inc.; London : Chapman &amp; Hall, limited, 1930.</t>
  </si>
  <si>
    <t>1998-02-23</t>
  </si>
  <si>
    <t>QW 180 R216m 1949</t>
  </si>
  <si>
    <t>0                      QW 0180000R  216m        1949</t>
  </si>
  <si>
    <t>A manual of the penicillia / by Kenneth B. Raper and Charles Thom; with the technical assistance and illus. by Dorothy I. Fennel.</t>
  </si>
  <si>
    <t>Raper, Kenneth B. (Kenneth Bryan), 1908-</t>
  </si>
  <si>
    <t>Baltimore : Williams &amp; Wilkins Co., [c1949]</t>
  </si>
  <si>
    <t>1949</t>
  </si>
  <si>
    <t>QW 180.5.Y3 P297 1994</t>
  </si>
  <si>
    <t>0                      QW 0180500Y  3                  P  297         1994</t>
  </si>
  <si>
    <t>Pathogenic yeasts and yeast infections / [edited by] Esther Segal, Gerald L. Baum.</t>
  </si>
  <si>
    <t>Boca Raton : CRC Press, c1994.</t>
  </si>
  <si>
    <t>2005-02-18</t>
  </si>
  <si>
    <t>1994-09-12</t>
  </si>
  <si>
    <t>QW 300 N279a 2003</t>
  </si>
  <si>
    <t>0                      QW 0300000N  279a        2003</t>
  </si>
  <si>
    <t>Applications of genomics and proteomics for analysis of bacterial biological warfare agents / edited by Vito G. DelVecchio and Vladimir Krcmery.</t>
  </si>
  <si>
    <t>NATO Advanced Research Workshop on Applications of Genomics and Proteomics for Analysis of Bacterial Biological Warfare Agents (2002 : Bratislava, Slovakia)</t>
  </si>
  <si>
    <t>Amsterdam ; Washington, DC : IOS Press, c2003.</t>
  </si>
  <si>
    <t>NATO science series. Series I, Life and behavioural sciences, 1566-7693 ; v. 352</t>
  </si>
  <si>
    <t>2004-09-24</t>
  </si>
  <si>
    <t>2004-09-22</t>
  </si>
  <si>
    <t>QW 300 S438y 1981</t>
  </si>
  <si>
    <t>0                      QW 0300000S  438y        1981</t>
  </si>
  <si>
    <t>Yellow rain : a journey through the terror of chemical warfare / by Sterling Seagrave.</t>
  </si>
  <si>
    <t>Seagrave, Sterling.</t>
  </si>
  <si>
    <t>New York : M. Evans, c1981.</t>
  </si>
  <si>
    <t>2003-03-03</t>
  </si>
  <si>
    <t>QW300 T328 2003</t>
  </si>
  <si>
    <t>0                      QW 0300000T  328         2003</t>
  </si>
  <si>
    <t>Terrorism : biological, chemical, and nuclear / Mark J. Upfal ... [et al.]</t>
  </si>
  <si>
    <t>Philadelphia : Saunders, 2003.</t>
  </si>
  <si>
    <t>Clinics in occupational and environmental medicine ; v. 2, no. 2</t>
  </si>
  <si>
    <t>2004-09-30</t>
  </si>
  <si>
    <t>2004-09-28</t>
  </si>
  <si>
    <t>QW 504 A122b 2001</t>
  </si>
  <si>
    <t>0                      QW 0504000A  122b        2001</t>
  </si>
  <si>
    <t>Basic immunology : functions and disorders of the immune system / Abul K. Abbas, Andrew H. Lichtman ; illustrated by David L. Baker and Alexandra Baker.</t>
  </si>
  <si>
    <t>Abbas, Abul K.</t>
  </si>
  <si>
    <t>Philadelphia : W.B. Saunders Co., c2001.</t>
  </si>
  <si>
    <t>2008-08-14</t>
  </si>
  <si>
    <t>2002-04-16</t>
  </si>
  <si>
    <t>QW504 A122b 2006</t>
  </si>
  <si>
    <t>0                      QW 0504000A  122b        2006</t>
  </si>
  <si>
    <t>Philadelphia, PA : Elsevier Saunders, c2006.</t>
  </si>
  <si>
    <t>2nd ed., updated ed. 2006-2007.</t>
  </si>
  <si>
    <t>2008-04-08</t>
  </si>
  <si>
    <t>2006-09-28</t>
  </si>
  <si>
    <t>QW 504 B274b 1980</t>
  </si>
  <si>
    <t>0                      QW 0504000B  274b        1980</t>
  </si>
  <si>
    <t>Basic immunology and its medical application / James T. Barrett.</t>
  </si>
  <si>
    <t>Barrett, James T.</t>
  </si>
  <si>
    <t>2005-09-01</t>
  </si>
  <si>
    <t>QW 504 B274t 1988</t>
  </si>
  <si>
    <t>0                      QW 0504000B  274t        1988</t>
  </si>
  <si>
    <t>Textbook of immunology : an introduction to immunochemistry and immunobiology / James T. Barrett.</t>
  </si>
  <si>
    <t>Barrett, James T., 1927-</t>
  </si>
  <si>
    <t>St. Louis : Mosby, c1988.</t>
  </si>
  <si>
    <t>1988-04-16</t>
  </si>
  <si>
    <t>QW 504 B311 1994</t>
  </si>
  <si>
    <t>0                      QW 0504000B  311         1994</t>
  </si>
  <si>
    <t>Basic &amp; clinical immunology.</t>
  </si>
  <si>
    <t>Norwalk, Conn. : Appleton &amp; Lange, c1994.</t>
  </si>
  <si>
    <t>8th ed. / edited by Daniel P. Stites, Abba I. Terr, Tristram G. Parslow.</t>
  </si>
  <si>
    <t>2005-09-23</t>
  </si>
  <si>
    <t>1994-06-14</t>
  </si>
  <si>
    <t>QW 504 B436i 1971</t>
  </si>
  <si>
    <t>0                      QW 0504000B  436i        1971</t>
  </si>
  <si>
    <t>Immunology / Joseph A. Bellanti.</t>
  </si>
  <si>
    <t>Bellanti, Joseph A., 1934-</t>
  </si>
  <si>
    <t>Philadelphia : Saunders, c1971.</t>
  </si>
  <si>
    <t>1997-10-12</t>
  </si>
  <si>
    <t>QW 504 B456t 1984</t>
  </si>
  <si>
    <t>0                      QW 0504000B  456t        1984</t>
  </si>
  <si>
    <t>Textbook of immunology / Emil R. Unanue, Baruj Benacerraf.</t>
  </si>
  <si>
    <t>Benacerraf, Baruj, 1920-2011.</t>
  </si>
  <si>
    <t>Baltimore : Williams &amp; Wilkins, c1984.</t>
  </si>
  <si>
    <t>1989-08-12</t>
  </si>
  <si>
    <t>1987-08-27</t>
  </si>
  <si>
    <t>QW 504 B468i 1996</t>
  </si>
  <si>
    <t>0                      QW 0504000B  468i        1996</t>
  </si>
  <si>
    <t>Immunology : a short course / Eli Benjamini, Geoffrey Sunshine, Sidney Leskowitz.</t>
  </si>
  <si>
    <t>Benjamini, Eli.</t>
  </si>
  <si>
    <t>New York : Wiley-Liss, c1996.</t>
  </si>
  <si>
    <t>2009-09-22</t>
  </si>
  <si>
    <t>QW 504 C596e 1986</t>
  </si>
  <si>
    <t>0                      QW 0504000C  596e        1986</t>
  </si>
  <si>
    <t>The experimental foundations of modern immunology / William R. Clark.</t>
  </si>
  <si>
    <t>Clark, William R., 1938-</t>
  </si>
  <si>
    <t>New York : Wiley, c1986.</t>
  </si>
  <si>
    <t>1995-11-25</t>
  </si>
  <si>
    <t>1988-02-22</t>
  </si>
  <si>
    <t>QW 504 C639 1984</t>
  </si>
  <si>
    <t>0                      QW 0504000C  639         1984</t>
  </si>
  <si>
    <t>Clinical allergy &amp; immunology / edited by Leonard C. Altman.</t>
  </si>
  <si>
    <t>Boston, Mass. : G.K. Hall Medical Publishers, c1984.</t>
  </si>
  <si>
    <t>2008-05-02</t>
  </si>
  <si>
    <t>QW 504 C6418 1997</t>
  </si>
  <si>
    <t>0                      QW 0504000C  6418        1997</t>
  </si>
  <si>
    <t>Clinical immunology : principles and laboratory diagnosis / Catherine Sheehan ; with 12 contributors.</t>
  </si>
  <si>
    <t>Philadelphia : Lippincott, c1997.</t>
  </si>
  <si>
    <t>2004-10-11</t>
  </si>
  <si>
    <t>1997-04-29</t>
  </si>
  <si>
    <t>QW504 C64183 2002 V.1-2</t>
  </si>
  <si>
    <t>0                      QW 0504000C  64183       2002                                        V.1-2</t>
  </si>
  <si>
    <t>Clinical immunology : principles and practice / edited by Robert R. Rich ... [et al.].</t>
  </si>
  <si>
    <t>London New York : Mosby, 2001.</t>
  </si>
  <si>
    <t>2007-04-23</t>
  </si>
  <si>
    <t>2007-12-14</t>
  </si>
  <si>
    <t>2003-06-05</t>
  </si>
  <si>
    <t>QW504 C678t 2000</t>
  </si>
  <si>
    <t>0                      QW 0504000C  678t        2000</t>
  </si>
  <si>
    <t>Tending Adam's garden : evolving the cognitive immune self / Irun R. Cohen.</t>
  </si>
  <si>
    <t>Cohen, Irun R.</t>
  </si>
  <si>
    <t>San Diego, CA : Academic Press, c2000.</t>
  </si>
  <si>
    <t>2004-03-12</t>
  </si>
  <si>
    <t>2003-12-10</t>
  </si>
  <si>
    <t>QW 504 CO4523 1977 v.3</t>
  </si>
  <si>
    <t>0                      QW 0504000CO 4523        1977                                        v.3</t>
  </si>
  <si>
    <t>Immunopharmacology / edited by John W. Hadden and Ronald G. Coffey, and Federico Spreafico.</t>
  </si>
  <si>
    <t>New York : Plenum Medical Book Co., c1977.</t>
  </si>
  <si>
    <t>Comprehensive immunology ; 3</t>
  </si>
  <si>
    <t>QW 504 CO4523 1978 v.4</t>
  </si>
  <si>
    <t>0                      QW 0504000CO 4523        1978                                        v.4</t>
  </si>
  <si>
    <t>The Immunopathology of lymphoreticular neoplasms / edited by J.J. Twomey and Robert A. Good.</t>
  </si>
  <si>
    <t>V.4</t>
  </si>
  <si>
    <t>New York : Plenum Medical Book Co., c1978.</t>
  </si>
  <si>
    <t>Comprehensive immunology ; v. 4</t>
  </si>
  <si>
    <t>1990-01-16</t>
  </si>
  <si>
    <t>QW 504 CO4523 1979 v.6</t>
  </si>
  <si>
    <t>0                      QW 0504000CO 4523        1979                                        v.6</t>
  </si>
  <si>
    <t>Cellular, molecular, and clinical aspects of allergic disorders / edited by Sudhir Gupta and Robert Good.</t>
  </si>
  <si>
    <t>New York : Plenum Medical Book Co., c1979.</t>
  </si>
  <si>
    <t>Comprehensive immunology ; 6</t>
  </si>
  <si>
    <t>1997-10-07</t>
  </si>
  <si>
    <t>QW 504 D5645 2004</t>
  </si>
  <si>
    <t>0                      QW 0504000D  5645        2004</t>
  </si>
  <si>
    <t>Diet and human immune function / edited by David A. Hughes, L. Gail Darlington, Adrianne Bendich ; foreword by William R. Beisel.</t>
  </si>
  <si>
    <t>Nutrition and health</t>
  </si>
  <si>
    <t>QW 504 F9804 1993</t>
  </si>
  <si>
    <t>0                      QW 0504000F  9804        1993</t>
  </si>
  <si>
    <t>Fundamental immunology / editor, William E. Paul.</t>
  </si>
  <si>
    <t>2000-08-08</t>
  </si>
  <si>
    <t>QW 504 G629i 1991</t>
  </si>
  <si>
    <t>0                      QW 0504000G  629i        1991</t>
  </si>
  <si>
    <t>Immunology, a synthesis / Edward S. Golub, Douglas R. Green.</t>
  </si>
  <si>
    <t>Golub, Edward S., 1934-2018.</t>
  </si>
  <si>
    <t>Sunderland, Mass. : Sinauer Associates, c1991.</t>
  </si>
  <si>
    <t>1997-10-10</t>
  </si>
  <si>
    <t>QW 504 H236 1978</t>
  </si>
  <si>
    <t>0                      QW 0504000H  236         1978</t>
  </si>
  <si>
    <t>Handbook of experimental immunology / edited by D. M. Weir.</t>
  </si>
  <si>
    <t>Oxford : Blackwell Scientific Publications ; Philadelphia : distributed in the USA by Lippincott, 1978.</t>
  </si>
  <si>
    <t>1990-08-28</t>
  </si>
  <si>
    <t>QW 504 H723a 1973</t>
  </si>
  <si>
    <t>0                      QW 0504000H  723a        1973</t>
  </si>
  <si>
    <t>An ABC of modern immunology / E. J. Holborow.</t>
  </si>
  <si>
    <t>Holborow, E. J. (Eric John)</t>
  </si>
  <si>
    <t>Boston : Little, Brown, [1973]</t>
  </si>
  <si>
    <t>1997-01-24</t>
  </si>
  <si>
    <t>QW 504 I321 1981</t>
  </si>
  <si>
    <t>0                      QW 0504000I  321         1981</t>
  </si>
  <si>
    <t>The Immune system : a course on the molecular and cellular basis of immunity / [edited by] I. McConnell, A. Muno, H. Waldmann.</t>
  </si>
  <si>
    <t>Oxford ; Boston : Blackwell Scientific ; Distributors, USA, Blackwell Mosby, 1981.</t>
  </si>
  <si>
    <t>1989-07-05</t>
  </si>
  <si>
    <t>QW 504 I324 1983</t>
  </si>
  <si>
    <t>0                      QW 0504000I  324         1983</t>
  </si>
  <si>
    <t>Immunobiology of transplantation, cancer, and pregnancy / edited by Prasanta K. Ray.</t>
  </si>
  <si>
    <t>New York : Pergamon, c1983.</t>
  </si>
  <si>
    <t>QW 504 I3245 1999</t>
  </si>
  <si>
    <t>0                      QW 0504000I  3245        1999</t>
  </si>
  <si>
    <t>Immunobiology : the immune system in health and disease / Charles A. Janeway, Jr. ... [et al.].</t>
  </si>
  <si>
    <t>London : Current Biology Publications ; New York, NY, US : Garland Pub., c1999.</t>
  </si>
  <si>
    <t>2007-01-31</t>
  </si>
  <si>
    <t>1999-12-17</t>
  </si>
  <si>
    <t>QW504 I32451 2005</t>
  </si>
  <si>
    <t>0                      QW 0504000I  32451       2005</t>
  </si>
  <si>
    <t>Immunobiology : the immune system in health and disease / Charles A. Janeway, Jr... [et al.].</t>
  </si>
  <si>
    <t>New York : Garland Science, c2005.</t>
  </si>
  <si>
    <t>2008-09-19</t>
  </si>
  <si>
    <t>2004-09-15</t>
  </si>
  <si>
    <t>QW 504 I3635 1985</t>
  </si>
  <si>
    <t>0                      QW 0504000I  3635        1985</t>
  </si>
  <si>
    <t>Immunology / [authors: Ronald D. Guttmann ... [et al.].</t>
  </si>
  <si>
    <t>Kalamazoo, Mich. : Upjohn, c1985.</t>
  </si>
  <si>
    <t>A Scope publication</t>
  </si>
  <si>
    <t>1997-10-04</t>
  </si>
  <si>
    <t>QW 504 I3636 1984</t>
  </si>
  <si>
    <t>0                      QW 0504000I  3636        1984</t>
  </si>
  <si>
    <t>Immunology.</t>
  </si>
  <si>
    <t>Menlo Park, Calif. : Benjamin/Cummings Pub. Co., c1984.</t>
  </si>
  <si>
    <t>2nd ed. / Leroy E. Hood ... [et al.].</t>
  </si>
  <si>
    <t>1997-11-14</t>
  </si>
  <si>
    <t>QW 504 I363612 1998</t>
  </si>
  <si>
    <t>0                      QW 0504000I  363612      1998</t>
  </si>
  <si>
    <t>Immunology / [edited by] Ivan Roitt, Jonathan Brostoff, David Male.</t>
  </si>
  <si>
    <t>London : Mosby, c1998.</t>
  </si>
  <si>
    <t>2007-07-27</t>
  </si>
  <si>
    <t>1998-02-27</t>
  </si>
  <si>
    <t>QW504 I363612 2001</t>
  </si>
  <si>
    <t>0                      QW 0504000I  363612      2001</t>
  </si>
  <si>
    <t>Edinburgh ; New York : Mosby, 2001.</t>
  </si>
  <si>
    <t>2006-01-16</t>
  </si>
  <si>
    <t>QW 504 I5917 1988</t>
  </si>
  <si>
    <t>0                      QW 0504000I  5917        1988</t>
  </si>
  <si>
    <t>Advances in immunopharmacology 4 / editors: J.W. Hadden ... [et al.].</t>
  </si>
  <si>
    <t>International Conference on Immunopharmacology (4th : 1988 : Osaka, Japan)</t>
  </si>
  <si>
    <t>Oxford : New York : Pergamon, c1989.</t>
  </si>
  <si>
    <t>1990-01-17</t>
  </si>
  <si>
    <t>QW 504 I592p 1986</t>
  </si>
  <si>
    <t>0                      QW 0504000I  592p        1986</t>
  </si>
  <si>
    <t>Progress in immunology VI / Sixth International Congress of Immunology ; edited by B. Cinader, Richard G. Miller.</t>
  </si>
  <si>
    <t>International Congress of Immunology (6th : 1986 : Toronto, Ont.)</t>
  </si>
  <si>
    <t>Orlando : Academic Press, c1986.</t>
  </si>
  <si>
    <t>1988-09-13</t>
  </si>
  <si>
    <t>QW 504 I592p 1992</t>
  </si>
  <si>
    <t>0                      QW 0504000I  592p        1992</t>
  </si>
  <si>
    <t>Progress in immunology. Vol. VIII : proceedings of the 8th International Congress of Immunology, Budapest, 1992 / editors, J. Gergely ... [et al.].</t>
  </si>
  <si>
    <t>International Congress of Immunology (8th : 1992 : Budapest, Hungary)</t>
  </si>
  <si>
    <t>Berlin ; New York : Springer-Verlag, c1993.</t>
  </si>
  <si>
    <t>2002-02-04</t>
  </si>
  <si>
    <t>1994-12-15</t>
  </si>
  <si>
    <t>QW 504 J33i 1994</t>
  </si>
  <si>
    <t>0                      QW 0504000J  33i         1994</t>
  </si>
  <si>
    <t>London ; San Francisco : Current Biology Limited ; New York : Garland Pub. Inc., c1994.</t>
  </si>
  <si>
    <t>2007-06-02</t>
  </si>
  <si>
    <t>1995-07-28</t>
  </si>
  <si>
    <t>QW504 J33i 2001</t>
  </si>
  <si>
    <t>0                      QW 0504000J  33i         2001</t>
  </si>
  <si>
    <t>New York : Garland Pub., 2001.</t>
  </si>
  <si>
    <t>2009-09-24</t>
  </si>
  <si>
    <t>2002-01-17</t>
  </si>
  <si>
    <t>QW 504 K49i 1990</t>
  </si>
  <si>
    <t>0                      QW 0504000K  49i         1990</t>
  </si>
  <si>
    <t>Introduction to immunology / John W. Kimball.</t>
  </si>
  <si>
    <t>Kimball, John W.</t>
  </si>
  <si>
    <t>New York : Macmillan ; London : Collier Macmillan, c1990.</t>
  </si>
  <si>
    <t>1997-10-05</t>
  </si>
  <si>
    <t>1989-12-15</t>
  </si>
  <si>
    <t>QW 504 K59u 1983</t>
  </si>
  <si>
    <t>0                      QW 0504000K  59u         1983</t>
  </si>
  <si>
    <t>Understanding medical immunology / Evelyne M. Kirkwood and Catriona J. Lewis.</t>
  </si>
  <si>
    <t>Kirkwood, Evelyne M.</t>
  </si>
  <si>
    <t>Chichester ; New York : Wiley, c1983.</t>
  </si>
  <si>
    <t>A Wiley medical publication</t>
  </si>
  <si>
    <t>1999-02-18</t>
  </si>
  <si>
    <t>1988-09-23</t>
  </si>
  <si>
    <t>QW 504 K95i 1997</t>
  </si>
  <si>
    <t>0                      QW 0504000K  95i         1997</t>
  </si>
  <si>
    <t>Immunology / Janis Kuby.</t>
  </si>
  <si>
    <t>Kuby, Janis.</t>
  </si>
  <si>
    <t>New York : W.H. Freeman, c1997.</t>
  </si>
  <si>
    <t>QW 504 M489 1997</t>
  </si>
  <si>
    <t>0                      QW 0504000M  489         1997</t>
  </si>
  <si>
    <t>Medical immunology / edited by Daniel P. Stites, Abba I. Terr, Tristram G. Parslow.</t>
  </si>
  <si>
    <t>Stamford, Conn. : Appleton &amp; Lange, c1997.</t>
  </si>
  <si>
    <t>1997-06-17</t>
  </si>
  <si>
    <t>QW504 M662w 2000</t>
  </si>
  <si>
    <t>0                      QW 0504000M  662w        2000</t>
  </si>
  <si>
    <t>The war within us : everyman's guide to infection and immunity / Cedric Mims.</t>
  </si>
  <si>
    <t>Mims, Cedric A.</t>
  </si>
  <si>
    <t>San Diego, CA. : Academic Press, c2000.</t>
  </si>
  <si>
    <t>2003-04-08</t>
  </si>
  <si>
    <t>2003-03-20</t>
  </si>
  <si>
    <t>QW 504 P895 1983</t>
  </si>
  <si>
    <t>0                      QW 0504000P  895         1983</t>
  </si>
  <si>
    <t>Practical allergy and immunology / edited by William B. Klaustermeyer.</t>
  </si>
  <si>
    <t>New York : Wiley, c1983.</t>
  </si>
  <si>
    <t>Family practice today</t>
  </si>
  <si>
    <t>1997-11-18</t>
  </si>
  <si>
    <t>QW 504 R294 1987</t>
  </si>
  <si>
    <t>0                      QW 0504000R  294         1987</t>
  </si>
  <si>
    <t>Recent advances in clinical immunology. No. 4 / edited by R. A. Thompson.</t>
  </si>
  <si>
    <t>Edinburgh : Churchill Livingstone, 1987.</t>
  </si>
  <si>
    <t>1989-11-22</t>
  </si>
  <si>
    <t>QW504 R719e 2001</t>
  </si>
  <si>
    <t>0                      QW 0504000R  719e        2001</t>
  </si>
  <si>
    <t>Roitt's essential immunology / Ivan M. Roitt, Peter J. Delves.</t>
  </si>
  <si>
    <t>Roitt, Ivan M. (Ivan Maurice)</t>
  </si>
  <si>
    <t>Oxford ; Malden, MA : Blackwell Science, 2001.</t>
  </si>
  <si>
    <t>2001-12-20</t>
  </si>
  <si>
    <t>QW 504 R813c 1996</t>
  </si>
  <si>
    <t>0                      QW 0504000R  813c        1996</t>
  </si>
  <si>
    <t>Case studies in immunology : a clinical companion / Fred S. Rosen, Raif S. Geha.</t>
  </si>
  <si>
    <t>Rosen, Fred S.</t>
  </si>
  <si>
    <t>London ; San Francisco : Current Biology Ltd. ; New York : Garland Pub., c1996.</t>
  </si>
  <si>
    <t>2007-02-07</t>
  </si>
  <si>
    <t>1997-08-27</t>
  </si>
  <si>
    <t>QW 504 S546i 1999</t>
  </si>
  <si>
    <t>0                      QW 0504000S  546i        1999</t>
  </si>
  <si>
    <t>Immunology for pharmacy students / Wei-Chiang Shen and Stan G. Louie.</t>
  </si>
  <si>
    <t>Shen, Wei-Chiang, 1942-</t>
  </si>
  <si>
    <t>Australia : Harwood Academic Publishers, c1999.</t>
  </si>
  <si>
    <t xml:space="preserve">at </t>
  </si>
  <si>
    <t>2000-08-22</t>
  </si>
  <si>
    <t>2000-01-18</t>
  </si>
  <si>
    <t>QW 504 W425i 1977</t>
  </si>
  <si>
    <t>0                      QW 0504000W  425i        1977</t>
  </si>
  <si>
    <t>Immunology : an outline for students of medicine and biology / D. M. Weir.</t>
  </si>
  <si>
    <t>Weir, D. M. (Donald Mackay)</t>
  </si>
  <si>
    <t>Edinburgh ; New York : Churchill Livingstone ; New York : [distributed in the U. S. by Longman], 1977.</t>
  </si>
  <si>
    <t>-- 4th ed. --</t>
  </si>
  <si>
    <t>QW 504.3 I334 1979</t>
  </si>
  <si>
    <t>0                      QW 0504300I  334         1979</t>
  </si>
  <si>
    <t>Immunology : basic processes / Joseph A. Bellanti.</t>
  </si>
  <si>
    <t>Philadelphia : Saunders, 1979.</t>
  </si>
  <si>
    <t>QW 504.5 A648 1993</t>
  </si>
  <si>
    <t>0                      QW 0504500A  648         1993</t>
  </si>
  <si>
    <t>Applied immunohistochemistry for the surgical pathologist / edited by Anthony S-Y. Leong.</t>
  </si>
  <si>
    <t>London ; Boston : E. Arnold ; Boston : Distributed in the Americas by Little, Brown, c1993.</t>
  </si>
  <si>
    <t>1998-09-17</t>
  </si>
  <si>
    <t>1994-09-13</t>
  </si>
  <si>
    <t>QW 504.5 C641 1984</t>
  </si>
  <si>
    <t>0                      QW 0504500C  641         1984</t>
  </si>
  <si>
    <t>Clinical immunochemistry : principles of methods and applications / edited by Robert C. Boguslaski, Edward T. Maggio, Robert M. Nakamura.</t>
  </si>
  <si>
    <t>Boston : Little, Brown and Co., c1984.</t>
  </si>
  <si>
    <t>Series in laboratory medicine</t>
  </si>
  <si>
    <t>1992-12-09</t>
  </si>
  <si>
    <t>QW 504.5 I33 1977</t>
  </si>
  <si>
    <t>0                      QW 0504500I  33          1977</t>
  </si>
  <si>
    <t>Immunochemistry : an advanced textbook / edited by L. E. Glynn and M. W. Steward.</t>
  </si>
  <si>
    <t>Chichester ; New York : Wiley, c1977.</t>
  </si>
  <si>
    <t>1992-08-27</t>
  </si>
  <si>
    <t>QW 504.5 I334 1989</t>
  </si>
  <si>
    <t>0                      QW 0504500I  334         1989</t>
  </si>
  <si>
    <t>Immunogold-labeling in cell biology / editors, A.J. Verkleij, J.L.M. Leunissen.</t>
  </si>
  <si>
    <t>Boca Raton, Fla. : CRC Press, c1989.</t>
  </si>
  <si>
    <t>1997-08-21</t>
  </si>
  <si>
    <t>1990-01-30</t>
  </si>
  <si>
    <t>QW 504.5 L334i 1988</t>
  </si>
  <si>
    <t>0                      QW 0504500L  334i        1988</t>
  </si>
  <si>
    <t>Immunocytochemistry : theory and practice / author, Lars-Inge Larsson.</t>
  </si>
  <si>
    <t>Larsson, Lars-Inge.</t>
  </si>
  <si>
    <t>2006-02-16</t>
  </si>
  <si>
    <t>QW 504.5 M468i 1980</t>
  </si>
  <si>
    <t>0                      QW 0504500M  468i        1980</t>
  </si>
  <si>
    <t>Immunochemical methods in the biological sciences : enzymes and proteins / R.J. Mayer and J.H. Walker.</t>
  </si>
  <si>
    <t>Mayer, R. J.</t>
  </si>
  <si>
    <t>London ; New York : Academic Press, c1980.</t>
  </si>
  <si>
    <t>Biological techniques series ; 3</t>
  </si>
  <si>
    <t>1992-11-09</t>
  </si>
  <si>
    <t>QW 504.5 M7179 1996</t>
  </si>
  <si>
    <t>0                      QW 0504500M  7179        1996</t>
  </si>
  <si>
    <t>Molecular immunology / edited by B. David Hames and David M. Glover.</t>
  </si>
  <si>
    <t>Oxford ; New York : IRL Press, c1996.</t>
  </si>
  <si>
    <t>Frontiers in molecular biology ; 11</t>
  </si>
  <si>
    <t>2008-05-19</t>
  </si>
  <si>
    <t>1997-02-14</t>
  </si>
  <si>
    <t>QW 504.5 P563a 1992</t>
  </si>
  <si>
    <t>0                      QW 0504500P  563a        1992</t>
  </si>
  <si>
    <t>Analytical techniques in immunochemistry / Terry M. Phillips.</t>
  </si>
  <si>
    <t>Phillips, Terry M.</t>
  </si>
  <si>
    <t>New York : Dekker, c1992.</t>
  </si>
  <si>
    <t>1995-10-30</t>
  </si>
  <si>
    <t>1994-03-14</t>
  </si>
  <si>
    <t>QW 504.5 S839i 1979</t>
  </si>
  <si>
    <t>0                      QW 0504500S  839i        1979</t>
  </si>
  <si>
    <t>Immunocytochemistry / Ludwig A. Sternberger.</t>
  </si>
  <si>
    <t>Sternberger, Ludwig A.</t>
  </si>
  <si>
    <t>New York : Wiley, c1979.</t>
  </si>
  <si>
    <t>2000-07-24</t>
  </si>
  <si>
    <t>QW 504.5 T255 1982-83</t>
  </si>
  <si>
    <t>0                      QW 0504500T  255         1982                                        -83</t>
  </si>
  <si>
    <t>Techniques in immunocytochemistry / edited by Gillian R. Bullock and Peter Petrusz.</t>
  </si>
  <si>
    <t>London ; New York : Academic Press, c1982-83.</t>
  </si>
  <si>
    <t>2008-01-07</t>
  </si>
  <si>
    <t>QW 504.5 T255 1985 v.3</t>
  </si>
  <si>
    <t>0                      QW 0504500T  255         1985                                        v.3</t>
  </si>
  <si>
    <t>Techniques in immunocytochemistry. vol. 3 / edited by G.R. Bullock and P. Petrusz.</t>
  </si>
  <si>
    <t>London : Academic Press, c1985.</t>
  </si>
  <si>
    <t>1988-10-06</t>
  </si>
  <si>
    <t>QW 511 P233v 1968</t>
  </si>
  <si>
    <t>0                      QW 0511000P  233v        1968</t>
  </si>
  <si>
    <t>Victory with vaccines : the story of immunization / H. J. Parish.</t>
  </si>
  <si>
    <t>Parish, H. J. (Henry James)</t>
  </si>
  <si>
    <t>Edinburgh, London : E. &amp; S. Livingstone, 1968.</t>
  </si>
  <si>
    <t>2006-10-03</t>
  </si>
  <si>
    <t>QW 513 E56 1992</t>
  </si>
  <si>
    <t>0                      QW 0513000E  56          1992</t>
  </si>
  <si>
    <t>Encyclopedia of immunology / editor-in-chief, Ivan M. Roitt ; executive editor, Peter J. Delves.</t>
  </si>
  <si>
    <t>London ; San Diego : Academic Press, c1992.</t>
  </si>
  <si>
    <t>1992-09-09</t>
  </si>
  <si>
    <t>QW 517 A881 2006</t>
  </si>
  <si>
    <t>0                      QW 0517000A  881         2006</t>
  </si>
  <si>
    <t>Atlas of allergies and clinical immunology / [edited by] Philip Fireman.</t>
  </si>
  <si>
    <t>Philadelphia, PA : Mosby, c2006.</t>
  </si>
  <si>
    <t>2009-08-24</t>
  </si>
  <si>
    <t>QW 525 B915L 1986</t>
  </si>
  <si>
    <t>0                      QW 0525000B  915L        1986</t>
  </si>
  <si>
    <t>Laboratory immunology and serology / Neville J. Bryant.</t>
  </si>
  <si>
    <t>Bryant, Neville J.</t>
  </si>
  <si>
    <t>Philadelphia : Saunders, c1986.</t>
  </si>
  <si>
    <t>1991-09-13</t>
  </si>
  <si>
    <t>1991-09-12</t>
  </si>
  <si>
    <t>QW 525 H886p 1980</t>
  </si>
  <si>
    <t>0                      QW 0525000H  886p        1980</t>
  </si>
  <si>
    <t>Practical immunology / Leslie Hudson, Frank C. Hay.</t>
  </si>
  <si>
    <t>Hudson, Leslie.</t>
  </si>
  <si>
    <t>Oxford ; Boston : Blackwell Scientific ; St. Louis, Mo. : Blackwell Mosby Book Distributors, 1980.</t>
  </si>
  <si>
    <t>1988-02-09</t>
  </si>
  <si>
    <t>QW 525 J73i 1987</t>
  </si>
  <si>
    <t>0                      QW 0525000J  73i         1987</t>
  </si>
  <si>
    <t>Immunochemistry in practice / Alan Johnstone, Robin Thorpe.</t>
  </si>
  <si>
    <t>Johnstone, Alan.</t>
  </si>
  <si>
    <t>Oxford : Blackwell Scientific, c1987.</t>
  </si>
  <si>
    <t>1988-04-15</t>
  </si>
  <si>
    <t>QW 525 M592 1963</t>
  </si>
  <si>
    <t>0                      QW 0525000M  592         1963</t>
  </si>
  <si>
    <t>Methods in immunology : a laboratory text for instruction and research / Dan H. Campbell [and others]</t>
  </si>
  <si>
    <t>Campbell, Dan Hampton, 1908-1974.</t>
  </si>
  <si>
    <t>New York : W. A. Benjamin, 1963.</t>
  </si>
  <si>
    <t>QW525 T936i 2003</t>
  </si>
  <si>
    <t>0                      QW 0525000T  936i        2003</t>
  </si>
  <si>
    <t>Immunology &amp; serology in laboratory medicine / Mary Louise Turgeon.</t>
  </si>
  <si>
    <t>Turgeon, Mary Louise.</t>
  </si>
  <si>
    <t>St. Louis : Mosby, c2003.</t>
  </si>
  <si>
    <t>2007-08-14</t>
  </si>
  <si>
    <t>2006-01-19</t>
  </si>
  <si>
    <t>QW 539 J54p 1999</t>
  </si>
  <si>
    <t>0                      QW 0539000J  54p         1999</t>
  </si>
  <si>
    <t>Pocket guide to vaccination and prophylaxis / Hal B. Jenson.</t>
  </si>
  <si>
    <t>Jenson, Hal B.</t>
  </si>
  <si>
    <t>Philadelphia : W.B. Saunders, c1999.</t>
  </si>
  <si>
    <t>1999-04-05</t>
  </si>
  <si>
    <t>1999-04-01</t>
  </si>
  <si>
    <t>QW540 F981 1999</t>
  </si>
  <si>
    <t>0                      QW 0540000F  981         1999</t>
  </si>
  <si>
    <t>Philadelphia : Lippincott-Raven, c1999.</t>
  </si>
  <si>
    <t>2003-04-10</t>
  </si>
  <si>
    <t>2002-12-19</t>
  </si>
  <si>
    <t>QW540 F981 2003</t>
  </si>
  <si>
    <t>0                      QW 0540000F  981         2003</t>
  </si>
  <si>
    <t>Philadelphia : Lippincott Williams &amp; Wilkins, c2003.</t>
  </si>
  <si>
    <t>2004-11-22</t>
  </si>
  <si>
    <t>QW 540 I436 2005</t>
  </si>
  <si>
    <t>0                      QW 0540000I  436         2005</t>
  </si>
  <si>
    <t>Infectious diseases and substance abuse / edited by Herman Friedman, Thomas W. Klein and Mauro Bendinelli.</t>
  </si>
  <si>
    <t>New York : Springer Science+Business Media, c2005.</t>
  </si>
  <si>
    <t>2007-02-09</t>
  </si>
  <si>
    <t>2007-02-06</t>
  </si>
  <si>
    <t>QW 540 S531b 1998</t>
  </si>
  <si>
    <t>0                      QW 0540000S  531b        1998</t>
  </si>
  <si>
    <t>Basic immunology / Jacqueline Sharon.</t>
  </si>
  <si>
    <t>Sharon, Jacqueline.</t>
  </si>
  <si>
    <t>Baltimore : Williams &amp; Wilkins, c1998.</t>
  </si>
  <si>
    <t>1998-11-03</t>
  </si>
  <si>
    <t>QW 541 N532 2008</t>
  </si>
  <si>
    <t>0                      QW 0541000N  532         2008</t>
  </si>
  <si>
    <t>New research on innate immunity / Mathis Durand and Clara V. Morel (editors).</t>
  </si>
  <si>
    <t>New York : Nova Science, c2008.</t>
  </si>
  <si>
    <t>2009-05-21</t>
  </si>
  <si>
    <t>QW 568 B615 1979</t>
  </si>
  <si>
    <t>0                      QW 0568000B  615         1979</t>
  </si>
  <si>
    <t>Biology of the lymphokines / edited by Stanley Cohen, Edgar Pick, Joost J. Oppenheim.</t>
  </si>
  <si>
    <t>-- New York : Academic Press, 1979.</t>
  </si>
  <si>
    <t>1993-05-27</t>
  </si>
  <si>
    <t>QW 568 C6407 1993</t>
  </si>
  <si>
    <t>0                      QW 0568000C  6407        1993</t>
  </si>
  <si>
    <t>Clinical applications of cytokines : role in pathogenesis, diagnosis, and therapy / edited by Joost J. Oppenheim, Jeffrey L. Rossio, Andrew J.H. Gearing.</t>
  </si>
  <si>
    <t>New York : Oxford University Press, c1993.</t>
  </si>
  <si>
    <t>2002-06-11</t>
  </si>
  <si>
    <t>1994-02-17</t>
  </si>
  <si>
    <t>QW 568 C9943 1998</t>
  </si>
  <si>
    <t>0                      QW 0568000C  9943        1998</t>
  </si>
  <si>
    <t>Cytokine knockouts / edited by Scott K. Durum and Kathrin Muegge ; foreword by Klaus Rajewsky.</t>
  </si>
  <si>
    <t>Contemporary immunology</t>
  </si>
  <si>
    <t>2001-10-11</t>
  </si>
  <si>
    <t>QW 568 C99457 1998</t>
  </si>
  <si>
    <t>0                      QW 0568000C  99457       1998</t>
  </si>
  <si>
    <t>Cytokines / edited by Anthony R. Mire-Sluis and Robin Thorpe.</t>
  </si>
  <si>
    <t>2006-05-23</t>
  </si>
  <si>
    <t>1998-09-08</t>
  </si>
  <si>
    <t>QW 568 C9946 1996</t>
  </si>
  <si>
    <t>0                      QW 0568000C  9946        1996</t>
  </si>
  <si>
    <t>Cytokines and the CNS / edited by Richard M. Ransohoff, Etty N. Benveniste.</t>
  </si>
  <si>
    <t>Boca Raton : CRC Press, c1996.</t>
  </si>
  <si>
    <t>1998-02-13</t>
  </si>
  <si>
    <t>QW 568 C997 1988</t>
  </si>
  <si>
    <t>0                      QW 0568000C  997         1988</t>
  </si>
  <si>
    <t>Cytolytic lymphocytes and complement : effectors of the immune system / editor, Eckhard R. Podack.</t>
  </si>
  <si>
    <t>1989-02-17</t>
  </si>
  <si>
    <t>QW568 D3909 2001</t>
  </si>
  <si>
    <t>0                      QW 0568000D  3909        2001</t>
  </si>
  <si>
    <t>Dendritic cells : biology and clinical applications / edited by Michael T. Lotze, Angus W. Thomson.</t>
  </si>
  <si>
    <t>San Diego : Academic Press, c2001.</t>
  </si>
  <si>
    <t>2006-12-19</t>
  </si>
  <si>
    <t>2003-04-04</t>
  </si>
  <si>
    <t>QW 568 D3911 1999</t>
  </si>
  <si>
    <t>0                      QW 0568000D  3911        1999</t>
  </si>
  <si>
    <t>San Diego : Academic Press, c1999.</t>
  </si>
  <si>
    <t>2002-10-18</t>
  </si>
  <si>
    <t>1999-09-02</t>
  </si>
  <si>
    <t>QW 568 H236 1997</t>
  </si>
  <si>
    <t>0                      QW 0568000H  236         1997</t>
  </si>
  <si>
    <t>Handbook of human immunology / edited by Mary S. Leffell, Albert D. Donnenberg, Noel R. Rose.</t>
  </si>
  <si>
    <t>Boca Raton : CRC Press, c1997.</t>
  </si>
  <si>
    <t>2003-04-30</t>
  </si>
  <si>
    <t>QW 568 I29 1992</t>
  </si>
  <si>
    <t>0                      QW 0568000I  29          1992</t>
  </si>
  <si>
    <t>IL-6, physiopathology and clinical potentials / editor, Michel Revel.</t>
  </si>
  <si>
    <t>New York : Raven Press, c1992.</t>
  </si>
  <si>
    <t>Serono symposia publications from Raven Press ; v. 88</t>
  </si>
  <si>
    <t>1998-11-13</t>
  </si>
  <si>
    <t>1993-08-31</t>
  </si>
  <si>
    <t>QW 568 I317 1986</t>
  </si>
  <si>
    <t>0                      QW 0568000I  317         1986</t>
  </si>
  <si>
    <t>Immunobiology of natural killer cells / editor, Eva Lotzová ; associate editor, Ronald B. Herberman.</t>
  </si>
  <si>
    <t>Boca Raton, Fla. : CRC Press, c1986.</t>
  </si>
  <si>
    <t>QW 568 I339 1989</t>
  </si>
  <si>
    <t>0                      QW 0568000I  339         1989</t>
  </si>
  <si>
    <t>Immunosuppression and human malignancy / by David Naor ... [et al.] ; foreword by Marc Feldmann.</t>
  </si>
  <si>
    <t>Clifton, N.J. : Humana Press, c1989.</t>
  </si>
  <si>
    <t>1992-04-02</t>
  </si>
  <si>
    <t>QW 568 I53i 1982</t>
  </si>
  <si>
    <t>0                      QW 0568000I  53i         1982</t>
  </si>
  <si>
    <t>Interleukins, lymphokines, and cytokines : proceedings of the Third International Lymphokine Workshop / edited by Joost J. Oppenheim, Stanley Cohen ; discussion editor, Maurice Landy.</t>
  </si>
  <si>
    <t>International Lymphokine Workshop (3rd : 1982 : Haverford College)</t>
  </si>
  <si>
    <t>New York : Academic Press, c1983.</t>
  </si>
  <si>
    <t>1997-05-11</t>
  </si>
  <si>
    <t>QW 568 I57 1988</t>
  </si>
  <si>
    <t>0                      QW 0568000I  57          1988</t>
  </si>
  <si>
    <t>Interleukin 2 / edited by Kendall A. Smith.</t>
  </si>
  <si>
    <t>1992-08-24</t>
  </si>
  <si>
    <t>QW 568 M7175 1994</t>
  </si>
  <si>
    <t>0                      QW 0568000M  7175        1994</t>
  </si>
  <si>
    <t>Molecular and cellular biology of the allergic response / edited by Arnold I. Levinson, Yvonne Paterson.</t>
  </si>
  <si>
    <t>New York : M. Dekker, c1994.</t>
  </si>
  <si>
    <t>Clinical allergy and immunology ; 3</t>
  </si>
  <si>
    <t>1998-07-20</t>
  </si>
  <si>
    <t>QW 568 T113 1988</t>
  </si>
  <si>
    <t>0                      QW 0568000T  113         1988</t>
  </si>
  <si>
    <t>The T-cell receptors / edited by Tak W. Mak.</t>
  </si>
  <si>
    <t>New York : Plenum Press, c1988.</t>
  </si>
  <si>
    <t>1988-12-19</t>
  </si>
  <si>
    <t>QW 570 B915i 1982</t>
  </si>
  <si>
    <t>0                      QW 0570000B  915i        1982</t>
  </si>
  <si>
    <t>An introduction to immunohematology / Neville J. Bryant.</t>
  </si>
  <si>
    <t>Philadelphia : Saunders, c1982.</t>
  </si>
  <si>
    <t>1991-01-09</t>
  </si>
  <si>
    <t>QW 570 B964e 1956</t>
  </si>
  <si>
    <t>0                      QW 0570000B  964e        1956</t>
  </si>
  <si>
    <t>Enzyme antigen and virus : a study of macromolecular pattern in action.</t>
  </si>
  <si>
    <t>Cambridge [Eng] : University Press, [1956]</t>
  </si>
  <si>
    <t>1956</t>
  </si>
  <si>
    <t>QW 570 G568a 1965</t>
  </si>
  <si>
    <t>0                      QW 0570000G  568a        1965</t>
  </si>
  <si>
    <t>Autoimmunity and disease : L. E. Glynn and E. J. Holborow.</t>
  </si>
  <si>
    <t>Glynn, L. E. (Leonard Eleazar), 1910-</t>
  </si>
  <si>
    <t>Philadelphia : Davis, [c1965]</t>
  </si>
  <si>
    <t>2002-09-29</t>
  </si>
  <si>
    <t>QW 570 G848i 1983</t>
  </si>
  <si>
    <t>0                      QW 0570000G  848i        1983</t>
  </si>
  <si>
    <t>Immunodiagnosis for clinicians : interpretation of immunoassays / Michael H. Grieco and David K. Meriney.</t>
  </si>
  <si>
    <t>Grieco, Michael H.</t>
  </si>
  <si>
    <t>Chicago : Year Book Medical Publishers, c1983.</t>
  </si>
  <si>
    <t>1997-07-14</t>
  </si>
  <si>
    <t>QW 570 I34 1982</t>
  </si>
  <si>
    <t>0                      QW 0570000I  34          1982</t>
  </si>
  <si>
    <t>Immunofluorescence technology : selected theoretical and clinical aspects / editors, G. Wick, K.N. Traill, K. Schauenstein.</t>
  </si>
  <si>
    <t>Amsterdam ; New York : Elsevier Biomedical Press ; New York, N.Y. : Sole distributors for the USA and Canada, Elsevier Science Pub. Co., c1982.</t>
  </si>
  <si>
    <t>1998-12-03</t>
  </si>
  <si>
    <t>QW 570 I62 1972s</t>
  </si>
  <si>
    <t>0                      QW 0570000I  62          1972s</t>
  </si>
  <si>
    <t>Specific receptors of antibodies, antigens, and cells : Editors: D. Pressman [et al.]</t>
  </si>
  <si>
    <t>International Convocation on Immunology (3rd : 1972 : Buffalo, N.Y.)</t>
  </si>
  <si>
    <t>Basel, New York : Karger, 1972.</t>
  </si>
  <si>
    <t>1996-09-28</t>
  </si>
  <si>
    <t>QW 570 L263s 1962</t>
  </si>
  <si>
    <t>0                      QW 0570000L  263s        1962</t>
  </si>
  <si>
    <t>The specificity of serological reactions / by Karl Landsteiner.</t>
  </si>
  <si>
    <t>Landsteiner, Karl, 1868-1943.</t>
  </si>
  <si>
    <t>New York : Dover Publications, c962.</t>
  </si>
  <si>
    <t>Rev. ed. With a chapter on molecular structure and intermolecular forces, by Linus Pauling, and with a bibliography of Dr. Landsteiner's works and a new pref., by Merrill W. Chase.</t>
  </si>
  <si>
    <t>1996-10-02</t>
  </si>
  <si>
    <t>QW 570 N897a 1971</t>
  </si>
  <si>
    <t>0                      QW 0570000N  897a        1971</t>
  </si>
  <si>
    <t>Antigens, lymphoid cells, and the immune response / G. J. V. Nossal and G. L. Ada.</t>
  </si>
  <si>
    <t>Nossal, G. J. V. (Gustav Joseph Victor), 1931-</t>
  </si>
  <si>
    <t>New York : Academic Press, 1971.</t>
  </si>
  <si>
    <t>Immunology: an international series of monographs and treatises</t>
  </si>
  <si>
    <t>1995-11-29</t>
  </si>
  <si>
    <t>QW 570 P478u 1991</t>
  </si>
  <si>
    <t>0                      QW 0570000P  478u        1991</t>
  </si>
  <si>
    <t>The use and interpretation of tests in clinical immunology / James B. Peter.</t>
  </si>
  <si>
    <t>Peter, James B.</t>
  </si>
  <si>
    <t>Santa Monica, CA : Specialty Laboratoris, c1991.</t>
  </si>
  <si>
    <t>QW 570 T185 1990</t>
  </si>
  <si>
    <t>0                      QW 0570000T  185         1990</t>
  </si>
  <si>
    <t>Targeted therapeutic systems / edited by Praveen Tyle, Bhanu P. Ram.</t>
  </si>
  <si>
    <t>New York : Dekker, c1990.</t>
  </si>
  <si>
    <t>Targeted diagnosis and therapy</t>
  </si>
  <si>
    <t>2000-01-17</t>
  </si>
  <si>
    <t>QW 570 Z82i 1968</t>
  </si>
  <si>
    <t>0                      QW 0570000Z  82i         1968</t>
  </si>
  <si>
    <t>Immunohematology / by Chester M. Zmijewski ; with the assistance of June L. Fletcher and Ronald L. St. Pierre.</t>
  </si>
  <si>
    <t>Zmijewski, Chester M.</t>
  </si>
  <si>
    <t>New York : Appleton-Century-Crofts, c1968.</t>
  </si>
  <si>
    <t>QW 573 C421m 1959</t>
  </si>
  <si>
    <t>0                      QW 0573000C  421m        1959</t>
  </si>
  <si>
    <t>Mechanisms of antibody formation : proceedings of a symposium held in Prague, May 27-31,1959 / [Editors: M. Holub and L. Jarošková.</t>
  </si>
  <si>
    <t>Biologický ústav (Československá akademie věd)</t>
  </si>
  <si>
    <t>New York : Academic Press ; Prague, Publishing House of the Czechoslovak Academy of Sciences, 1960.</t>
  </si>
  <si>
    <t>QW 573 S9595 1997</t>
  </si>
  <si>
    <t>0                      QW 0573000S  9595        1997</t>
  </si>
  <si>
    <t>Superantigens : molecular biology, immunology, and relevance to human disease / edited by Donald Y.M. Leung, Brigitte T. Huber, Patrick M. Schlievert.</t>
  </si>
  <si>
    <t>New York : M. Dekker, c1997.</t>
  </si>
  <si>
    <t>QW 575 A629 1988</t>
  </si>
  <si>
    <t>0                      QW 0575000A  629         1988</t>
  </si>
  <si>
    <t>Antibody-mediated delivery systems / edited by John D. Rodwell.</t>
  </si>
  <si>
    <t>New York : M. Dekker, c1988.</t>
  </si>
  <si>
    <t>Targeted diagnosis and therapy ; 1</t>
  </si>
  <si>
    <t>1989-01-20</t>
  </si>
  <si>
    <t>QW 575 G585m 1986</t>
  </si>
  <si>
    <t>0                      QW 0575000G  585m        1986</t>
  </si>
  <si>
    <t>Monoclonal antibodies : principles and practice : production and application of monoclonal antibodies in cell biology, biochemistry, and immunology / James W. Goding.</t>
  </si>
  <si>
    <t>Goding, James W.</t>
  </si>
  <si>
    <t>London ; New York : Academic Press, c1986.</t>
  </si>
  <si>
    <t>1998-10-12</t>
  </si>
  <si>
    <t>QW 575 Z86m 1987</t>
  </si>
  <si>
    <t>0                      QW 0575000Z  86m         1987</t>
  </si>
  <si>
    <t>Monoclonal antibodies : a manual of techniques / author, Heddy Zola.</t>
  </si>
  <si>
    <t>Zola, Heddy.</t>
  </si>
  <si>
    <t>Boca Raton, Fl. : CRC Press, c1987.</t>
  </si>
  <si>
    <t>1997-03-16</t>
  </si>
  <si>
    <t>1996-07-01</t>
  </si>
  <si>
    <t>QW 575.5.A6 K52a 1998</t>
  </si>
  <si>
    <t>0                      QW 0575500A  6                  K  52a         1998</t>
  </si>
  <si>
    <t>Applications and engineering of monoclonal antibodies / David J. King.</t>
  </si>
  <si>
    <t>King, David J.</t>
  </si>
  <si>
    <t>London ; Philadelphia : Taylor &amp; Francis, c1998.</t>
  </si>
  <si>
    <t>2002-07-08</t>
  </si>
  <si>
    <t>QW 601 S927 1981</t>
  </si>
  <si>
    <t>0                      QW 0601000S  927         1981</t>
  </si>
  <si>
    <t>Structure and function of antibodies / edited by L.E. Glynn and M.W. Steward.</t>
  </si>
  <si>
    <t>Chichester [West Sussex] ; New York : Wiley, c1981.</t>
  </si>
  <si>
    <t>2005-04-16</t>
  </si>
  <si>
    <t>QW 630 C748m 1976</t>
  </si>
  <si>
    <t>0                      QW 0630000C  748m        1976</t>
  </si>
  <si>
    <t>Mycotoxins in human and animal health : proceedings of a conference ... conducted by United States-Japan Cooperative Programs on Natural Resources, Panel on Toxic Micro-Organisms, in cooperation with the University of Maryland University College Conference and Institutes Division / edited by Joseph V. Rodricks, Clifford W. Hesseltine, Myron A. Mehlman.</t>
  </si>
  <si>
    <t>Conference on Mycotoxins in Human and Animal Health (1976 : University of Maryland, College Park)</t>
  </si>
  <si>
    <t>-- Park Forest South, Ill. : Pathotox Publishers, 1977.</t>
  </si>
  <si>
    <t>QW 630 M486 1976</t>
  </si>
  <si>
    <t>0                      QW 0630000M  486         1976</t>
  </si>
  <si>
    <t>Mechanisms in bacterial toxinology / [edited by] Alan W. Bernheimer.</t>
  </si>
  <si>
    <t>New York : Wiley, c1976.</t>
  </si>
  <si>
    <t>1976</t>
  </si>
  <si>
    <t>1991-04-25</t>
  </si>
  <si>
    <t>QW 630 M626</t>
  </si>
  <si>
    <t>0                      QW 0630000M  626</t>
  </si>
  <si>
    <t>Microbial toxins / Edited by Samuel J. Ajl ... [et al.].</t>
  </si>
  <si>
    <t>New York : Academic Press, 1970-</t>
  </si>
  <si>
    <t>1988-03-01</t>
  </si>
  <si>
    <t>V. 2A</t>
  </si>
  <si>
    <t>V. 7</t>
  </si>
  <si>
    <t>V. 8</t>
  </si>
  <si>
    <t>1989-03-07</t>
  </si>
  <si>
    <t>QW 630 N494 1985</t>
  </si>
  <si>
    <t>0                      QW 0630000N  494         1985</t>
  </si>
  <si>
    <t>Neurotoxicity of industrial and commercial chemicals / editor, John L. O'Donoghue.</t>
  </si>
  <si>
    <t>Boca Raton, Fla. : CRC Press, c1985.</t>
  </si>
  <si>
    <t>1997-11-26</t>
  </si>
  <si>
    <t>QW 680 A188 1993</t>
  </si>
  <si>
    <t>0                      QW 0680000A  188         1993</t>
  </si>
  <si>
    <t>Activators and inhibitors of complement / edited by R.B. Sim.</t>
  </si>
  <si>
    <t>Dordrecht ; Boston : Kluwer Academic Publishers, c1993.</t>
  </si>
  <si>
    <t>1993-09-02</t>
  </si>
  <si>
    <t>QW 690 AD636 1982 v.1</t>
  </si>
  <si>
    <t>0                      QW 0690000AD 636         1982                                        v.1</t>
  </si>
  <si>
    <t>Phagocytic cells / editors, John I. Gallin, Anthony S. Fauci.</t>
  </si>
  <si>
    <t>Advances in host defense mechanisms ; v. 1</t>
  </si>
  <si>
    <t>1989-04-26</t>
  </si>
  <si>
    <t>QW 690 AD636 1985 v.5</t>
  </si>
  <si>
    <t>0                      QW 0690000AD 636         1985                                        v.5</t>
  </si>
  <si>
    <t>Acquired immunodeficiency syndrome (AIDS) / editors, John I. Gallin, Anthony S. Fauci.</t>
  </si>
  <si>
    <t>V.5</t>
  </si>
  <si>
    <t>New York : Raven Press, c1985.</t>
  </si>
  <si>
    <t>Advances in host defense mechanisms ; v. 5</t>
  </si>
  <si>
    <t>1989-10-11</t>
  </si>
  <si>
    <t>QW 690 C311m 1973</t>
  </si>
  <si>
    <t>0                      QW 0690000C  311m        1973</t>
  </si>
  <si>
    <t>The macrophage : a review of ultrastructure and function / Ian Carr.</t>
  </si>
  <si>
    <t>Carr, Ian, MD, Ph D, FRCPath, FRCPC.</t>
  </si>
  <si>
    <t>London, New York : Academic Press, 1973.</t>
  </si>
  <si>
    <t>2006-07-23</t>
  </si>
  <si>
    <t>1988-03-24</t>
  </si>
  <si>
    <t>QW 690 I61p 1977</t>
  </si>
  <si>
    <t>0                      QW 0690000I  61p         1977</t>
  </si>
  <si>
    <t>Phagocytosis, its physiology and pathology / edited by Yoshiyuki Kokubun, Noboru Kobayashi.</t>
  </si>
  <si>
    <t>International Symposium on Phagocytosis (1977 : Tokyo, Japan)</t>
  </si>
  <si>
    <t>Baltimore : University Park Press, c1979.</t>
  </si>
  <si>
    <t>1988-01-29</t>
  </si>
  <si>
    <t>QW 690 V543m 1972</t>
  </si>
  <si>
    <t>0                      QW 0690000V  543m        1972</t>
  </si>
  <si>
    <t>The macrophage / B. Vernon-Roberts.</t>
  </si>
  <si>
    <t>Vernon-Roberts, B.</t>
  </si>
  <si>
    <t>Cambridge [Eng.] : University Press, 1972.</t>
  </si>
  <si>
    <t>Biological structure and function ; 2</t>
  </si>
  <si>
    <t>1993-07-29</t>
  </si>
  <si>
    <t>QW 700 I435 1992</t>
  </si>
  <si>
    <t>0                      QW 0700000I  435         1992</t>
  </si>
  <si>
    <t>Infections in immunocompromised infants and children / edited by Christian C. Patrick.</t>
  </si>
  <si>
    <t>New York : Churchill Livingstone, c1992.</t>
  </si>
  <si>
    <t>2000-11-06</t>
  </si>
  <si>
    <t>1993-12-06</t>
  </si>
  <si>
    <t>QW 700 K91 1981</t>
  </si>
  <si>
    <t>0                      QW 0700000K  91          1981</t>
  </si>
  <si>
    <t>The restless tide : the persistent challenge of the microbial world / Richard M. Krause.</t>
  </si>
  <si>
    <t>Krause, Richard M., 1925-2015.</t>
  </si>
  <si>
    <t>Washington, D.C. : National Foundation for Infectious Diseases, c1981.</t>
  </si>
  <si>
    <t>1993-07-05</t>
  </si>
  <si>
    <t>QW 800 B6156 1986</t>
  </si>
  <si>
    <t>0                      QW 0800000B  6156        1986</t>
  </si>
  <si>
    <t>The Biology of the interferon system 1986 : proceedings of the 1986 ISIR-TNO meeting on the interferon system, 7-12 September 1986, Dipoli Congress Center, Espoo, Finland / edited by K. Cantell, H. Schellekens.</t>
  </si>
  <si>
    <t>Dordrecht ; Boston : Nijhoff Publishers, 1987.</t>
  </si>
  <si>
    <t>1999-10-03</t>
  </si>
  <si>
    <t>QW 800 I32 1982</t>
  </si>
  <si>
    <t>0                      QW 0800000I  32          1982</t>
  </si>
  <si>
    <t>Immunization in clinical practice : a useful guideline to vaccines, sera, and immune globulins in clinical practice / edited by Vincent A. Fulginiti ... [et al.].</t>
  </si>
  <si>
    <t>Philadelphia : Lippincott, c1982.</t>
  </si>
  <si>
    <t>QW 800 J29i 1988</t>
  </si>
  <si>
    <t>0                      QW 0800000J  29i         1988</t>
  </si>
  <si>
    <t>Immunization : the reality behind the myth / Walene James ; foreword by Robert S. Mendelsohn.</t>
  </si>
  <si>
    <t>James, Walene.</t>
  </si>
  <si>
    <t>South Hadley, Mass. : Bergin &amp; Garvey, c1988.</t>
  </si>
  <si>
    <t>1998-05-12</t>
  </si>
  <si>
    <t>QW 805 B298v 1994</t>
  </si>
  <si>
    <t>0                      QW 0805000B  298v        1994</t>
  </si>
  <si>
    <t>Vaccines and world health : science, policy, and practice / Paul F. Basch.</t>
  </si>
  <si>
    <t>Basch, Paul F. (Paul Frederick), 1933-2001.</t>
  </si>
  <si>
    <t>New York : Oxford University Press, c1994.</t>
  </si>
  <si>
    <t>1993-12-15</t>
  </si>
  <si>
    <t>QW 805 M942 1996</t>
  </si>
  <si>
    <t>0                      QW 0805000M  942         1996</t>
  </si>
  <si>
    <t>Mucosal vaccines / edited by Hiroshi Kiyono, Pearay L. Ogra, Jerry R. McGhee.</t>
  </si>
  <si>
    <t>1997-06-03</t>
  </si>
  <si>
    <t>QW 805 N532 1976</t>
  </si>
  <si>
    <t>0                      QW 0805000N  532         1976</t>
  </si>
  <si>
    <t>New trends and developments in vaccines / edited by A. Voller, H.. Friedman.</t>
  </si>
  <si>
    <t>Baltimore : University Park Press, c1978.</t>
  </si>
  <si>
    <t>2005-03-29</t>
  </si>
  <si>
    <t>1987-12-28</t>
  </si>
  <si>
    <t>QW805 N9378 2004</t>
  </si>
  <si>
    <t>0                      QW 0805000N  9378        2004</t>
  </si>
  <si>
    <t>Novel vaccination strategies / edited by Stefan H.E. Kaufmann.</t>
  </si>
  <si>
    <t>Weinheim : Wiley-VCH, c2004.</t>
  </si>
  <si>
    <t>2005-03-22</t>
  </si>
  <si>
    <t>QW 805 V1163 1999</t>
  </si>
  <si>
    <t>0                      QW 0805000V  1163        1999</t>
  </si>
  <si>
    <t>Vaccines / [edited by] Stanley A. Plotkin, Walter A. Orenstein.</t>
  </si>
  <si>
    <t>Philadelphia : W.B. Saunders Co., c1999.</t>
  </si>
  <si>
    <t>2000-06-10</t>
  </si>
  <si>
    <t>1999-09-24</t>
  </si>
  <si>
    <t>QW805 V1163 2004</t>
  </si>
  <si>
    <t>0                      QW 0805000V  1163        2004</t>
  </si>
  <si>
    <t>Vaccines / [edited by] Stanley A. Plotkin, Walter A. Orenstein ; with assistance of Paul A. Offit.</t>
  </si>
  <si>
    <t>Philadelphia, Pa. : Saunders, c2004.</t>
  </si>
  <si>
    <t>2004-01-08</t>
  </si>
  <si>
    <t>QW 900 G586a 1962</t>
  </si>
  <si>
    <t>0                      QW 0900000G  586a        1962</t>
  </si>
  <si>
    <t>Allergy and anaphylaxis as metabolic error / Z.Z. Godlowski.</t>
  </si>
  <si>
    <t>Godlowski, Zbigniew Z., 1910-</t>
  </si>
  <si>
    <t>Chicago : Immuno-Metabolic Press, c1962.</t>
  </si>
  <si>
    <t>1997-10-18</t>
  </si>
  <si>
    <t>QW900 I24 2002</t>
  </si>
  <si>
    <t>0                      QW 0900000I  24          2002</t>
  </si>
  <si>
    <t>IgE and anti-IgE therapy in asthma and allergic disease / edited by Robert B. Fick, Jr., Paula M. Jardieu.</t>
  </si>
  <si>
    <t>New York : Marcel Dekker, c2002.</t>
  </si>
  <si>
    <t>Lung biology in health and disease ; v. 164</t>
  </si>
  <si>
    <t>2005-01-31</t>
  </si>
  <si>
    <t>2003-06-12</t>
  </si>
  <si>
    <t>QW 940 I335 1994</t>
  </si>
  <si>
    <t>0                      QW 0940000I  335         1994</t>
  </si>
  <si>
    <t>Immunopharmacology of lymphocytes / edited by Marek Rola-Pleszczynski.</t>
  </si>
  <si>
    <t>Handbook of immunopharmacology. Cells and mediators</t>
  </si>
  <si>
    <t>1995-02-20</t>
  </si>
  <si>
    <t>QW 940 T355 1989</t>
  </si>
  <si>
    <t>0                      QW 0940000T  355         1989</t>
  </si>
  <si>
    <t>Textbook of immunopharmacology / edited by M. Maureen Dale, John C. Foreman.</t>
  </si>
  <si>
    <t>Oxford ; Boston : Blackwell Scientific Publications ; Chicago, Ill. : Distributors, USA, Year Book Medical Publishers, c1989.</t>
  </si>
  <si>
    <t>2002-10-04</t>
  </si>
  <si>
    <t>QW 940 T355 1994</t>
  </si>
  <si>
    <t>0                      QW 0940000T  355         1994</t>
  </si>
  <si>
    <t>Textbook of immunopharmacology / edited by M. Maureen Dale, John C. Foreman, Tai-Ping D. Fan.</t>
  </si>
  <si>
    <t>Oxford ; Boston : Blackwell Scientific Publications, c1994.</t>
  </si>
  <si>
    <t>2005-11-16</t>
  </si>
  <si>
    <t>1994-05-25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</si>
</sst>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984C-54E4-47B1-AB37-B19046ABF8A9}">
  <dimension ref="A1:BD478"/>
  <sheetViews>
    <sheetView tabSelected="1" workbookViewId="0">
      <pane ySplit="1" topLeftCell="A2" activePane="bottomLeft" state="frozen"/>
      <selection pane="bottomLeft" activeCell="K5" sqref="K5"/>
    </sheetView>
  </sheetViews>
  <sheetFormatPr defaultRowHeight="40.5" customHeight="1" x14ac:dyDescent="0.25"/>
  <cols>
    <col min="1" max="1" width="18.7109375" style="8" customWidth="1"/>
    <col min="2" max="2" width="15.85546875" customWidth="1"/>
    <col min="3" max="3" width="0" hidden="1" customWidth="1"/>
    <col min="4" max="4" width="30.42578125" customWidth="1"/>
    <col min="6" max="10" width="0" hidden="1" customWidth="1"/>
    <col min="11" max="11" width="18" customWidth="1"/>
    <col min="12" max="12" width="16.285156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6.5703125" customWidth="1"/>
    <col min="32" max="41" width="0" hidden="1" customWidth="1"/>
    <col min="42" max="44" width="10.42578125" customWidth="1"/>
    <col min="47" max="56" width="0" hidden="1" customWidth="1"/>
  </cols>
  <sheetData>
    <row r="1" spans="1:56" ht="40.5" customHeight="1" x14ac:dyDescent="0.25">
      <c r="A1" s="7" t="s">
        <v>1900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0.5" customHeight="1" x14ac:dyDescent="0.25">
      <c r="A2" s="8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R2" s="3" t="s">
        <v>66</v>
      </c>
      <c r="S2" s="4">
        <v>6</v>
      </c>
      <c r="T2" s="4">
        <v>6</v>
      </c>
      <c r="U2" s="5" t="s">
        <v>67</v>
      </c>
      <c r="V2" s="5" t="s">
        <v>67</v>
      </c>
      <c r="W2" s="5" t="s">
        <v>68</v>
      </c>
      <c r="X2" s="5" t="s">
        <v>68</v>
      </c>
      <c r="Y2" s="4">
        <v>336</v>
      </c>
      <c r="Z2" s="4">
        <v>237</v>
      </c>
      <c r="AA2" s="4">
        <v>243</v>
      </c>
      <c r="AB2" s="4">
        <v>1</v>
      </c>
      <c r="AC2" s="4">
        <v>1</v>
      </c>
      <c r="AD2" s="4">
        <v>2</v>
      </c>
      <c r="AE2" s="4">
        <v>2</v>
      </c>
      <c r="AF2" s="4">
        <v>0</v>
      </c>
      <c r="AG2" s="4">
        <v>0</v>
      </c>
      <c r="AH2" s="4">
        <v>1</v>
      </c>
      <c r="AI2" s="4">
        <v>1</v>
      </c>
      <c r="AJ2" s="4">
        <v>1</v>
      </c>
      <c r="AK2" s="4">
        <v>1</v>
      </c>
      <c r="AL2" s="4">
        <v>0</v>
      </c>
      <c r="AM2" s="4">
        <v>0</v>
      </c>
      <c r="AN2" s="4">
        <v>0</v>
      </c>
      <c r="AO2" s="4">
        <v>0</v>
      </c>
      <c r="AP2" s="3" t="s">
        <v>58</v>
      </c>
      <c r="AQ2" s="3" t="s">
        <v>69</v>
      </c>
      <c r="AR2" s="6" t="str">
        <f>HYPERLINK("http://catalog.hathitrust.org/Record/000569002","HathiTrust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HYPERLINK("https://creighton-primo.hosted.exlibrisgroup.com/primo-explore/search?tab=default_tab&amp;search_scope=EVERYTHING&amp;vid=01CRU&amp;lang=en_US&amp;offset=0&amp;query=any,contains,991000367829702656","Catalog Record")</f>
        <v>Catalog Record</v>
      </c>
      <c r="AT2" s="6" t="str">
        <f>HYPERLINK("http://www.worldcat.org/oclc/10404466","WorldCat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B2" s="3" t="s">
        <v>75</v>
      </c>
      <c r="BC2" s="3" t="s">
        <v>76</v>
      </c>
      <c r="BD2" s="3" t="s">
        <v>77</v>
      </c>
    </row>
    <row r="3" spans="1:56" ht="40.5" customHeight="1" x14ac:dyDescent="0.25">
      <c r="A3" s="8" t="s">
        <v>58</v>
      </c>
      <c r="B3" s="2" t="s">
        <v>78</v>
      </c>
      <c r="C3" s="2" t="s">
        <v>79</v>
      </c>
      <c r="D3" s="2" t="s">
        <v>80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L3" s="2" t="s">
        <v>81</v>
      </c>
      <c r="M3" s="3" t="s">
        <v>82</v>
      </c>
      <c r="O3" s="3" t="s">
        <v>64</v>
      </c>
      <c r="P3" s="3" t="s">
        <v>83</v>
      </c>
      <c r="R3" s="3" t="s">
        <v>66</v>
      </c>
      <c r="S3" s="4">
        <v>4</v>
      </c>
      <c r="T3" s="4">
        <v>4</v>
      </c>
      <c r="U3" s="5" t="s">
        <v>84</v>
      </c>
      <c r="V3" s="5" t="s">
        <v>84</v>
      </c>
      <c r="W3" s="5" t="s">
        <v>68</v>
      </c>
      <c r="X3" s="5" t="s">
        <v>68</v>
      </c>
      <c r="Y3" s="4">
        <v>261</v>
      </c>
      <c r="Z3" s="4">
        <v>236</v>
      </c>
      <c r="AA3" s="4">
        <v>308</v>
      </c>
      <c r="AB3" s="4">
        <v>1</v>
      </c>
      <c r="AC3" s="4">
        <v>2</v>
      </c>
      <c r="AD3" s="4">
        <v>10</v>
      </c>
      <c r="AE3" s="4">
        <v>13</v>
      </c>
      <c r="AF3" s="4">
        <v>4</v>
      </c>
      <c r="AG3" s="4">
        <v>4</v>
      </c>
      <c r="AH3" s="4">
        <v>2</v>
      </c>
      <c r="AI3" s="4">
        <v>2</v>
      </c>
      <c r="AJ3" s="4">
        <v>9</v>
      </c>
      <c r="AK3" s="4">
        <v>11</v>
      </c>
      <c r="AL3" s="4">
        <v>0</v>
      </c>
      <c r="AM3" s="4">
        <v>1</v>
      </c>
      <c r="AN3" s="4">
        <v>0</v>
      </c>
      <c r="AO3" s="4">
        <v>0</v>
      </c>
      <c r="AP3" s="3" t="s">
        <v>58</v>
      </c>
      <c r="AQ3" s="3" t="s">
        <v>69</v>
      </c>
      <c r="AR3" s="6" t="str">
        <f>HYPERLINK("http://catalog.hathitrust.org/Record/000022861","HathiTrust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HYPERLINK("https://creighton-primo.hosted.exlibrisgroup.com/primo-explore/search?tab=default_tab&amp;search_scope=EVERYTHING&amp;vid=01CRU&amp;lang=en_US&amp;offset=0&amp;query=any,contains,991004605149702656","Catalog Record")</f>
        <v>Catalog Record</v>
      </c>
      <c r="AT3" s="6" t="str">
        <f>HYPERLINK("http://www.worldcat.org/oclc/4194124","WorldCat Record")</f>
        <v>WorldCat Record</v>
      </c>
      <c r="AU3" s="3" t="s">
        <v>85</v>
      </c>
      <c r="AV3" s="3" t="s">
        <v>86</v>
      </c>
      <c r="AW3" s="3" t="s">
        <v>87</v>
      </c>
      <c r="AX3" s="3" t="s">
        <v>87</v>
      </c>
      <c r="AY3" s="3" t="s">
        <v>88</v>
      </c>
      <c r="AZ3" s="3" t="s">
        <v>74</v>
      </c>
      <c r="BB3" s="3" t="s">
        <v>89</v>
      </c>
      <c r="BC3" s="3" t="s">
        <v>90</v>
      </c>
      <c r="BD3" s="3" t="s">
        <v>91</v>
      </c>
    </row>
    <row r="4" spans="1:56" ht="40.5" customHeight="1" x14ac:dyDescent="0.25">
      <c r="A4" s="8" t="s">
        <v>58</v>
      </c>
      <c r="B4" s="2" t="s">
        <v>92</v>
      </c>
      <c r="C4" s="2" t="s">
        <v>93</v>
      </c>
      <c r="D4" s="2" t="s">
        <v>94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L4" s="2" t="s">
        <v>95</v>
      </c>
      <c r="M4" s="3" t="s">
        <v>96</v>
      </c>
      <c r="O4" s="3" t="s">
        <v>64</v>
      </c>
      <c r="P4" s="3" t="s">
        <v>97</v>
      </c>
      <c r="Q4" s="2" t="s">
        <v>98</v>
      </c>
      <c r="R4" s="3" t="s">
        <v>66</v>
      </c>
      <c r="S4" s="4">
        <v>1</v>
      </c>
      <c r="T4" s="4">
        <v>1</v>
      </c>
      <c r="U4" s="5" t="s">
        <v>99</v>
      </c>
      <c r="V4" s="5" t="s">
        <v>99</v>
      </c>
      <c r="W4" s="5" t="s">
        <v>100</v>
      </c>
      <c r="X4" s="5" t="s">
        <v>100</v>
      </c>
      <c r="Y4" s="4">
        <v>233</v>
      </c>
      <c r="Z4" s="4">
        <v>167</v>
      </c>
      <c r="AA4" s="4">
        <v>174</v>
      </c>
      <c r="AB4" s="4">
        <v>1</v>
      </c>
      <c r="AC4" s="4">
        <v>1</v>
      </c>
      <c r="AD4" s="4">
        <v>4</v>
      </c>
      <c r="AE4" s="4">
        <v>4</v>
      </c>
      <c r="AF4" s="4">
        <v>2</v>
      </c>
      <c r="AG4" s="4">
        <v>2</v>
      </c>
      <c r="AH4" s="4">
        <v>3</v>
      </c>
      <c r="AI4" s="4">
        <v>3</v>
      </c>
      <c r="AJ4" s="4">
        <v>2</v>
      </c>
      <c r="AK4" s="4">
        <v>2</v>
      </c>
      <c r="AL4" s="4">
        <v>0</v>
      </c>
      <c r="AM4" s="4">
        <v>0</v>
      </c>
      <c r="AN4" s="4">
        <v>0</v>
      </c>
      <c r="AO4" s="4">
        <v>0</v>
      </c>
      <c r="AP4" s="3" t="s">
        <v>58</v>
      </c>
      <c r="AQ4" s="3" t="s">
        <v>69</v>
      </c>
      <c r="AR4" s="6" t="str">
        <f>HYPERLINK("http://catalog.hathitrust.org/Record/000017101","HathiTrust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HYPERLINK("https://creighton-primo.hosted.exlibrisgroup.com/primo-explore/search?tab=default_tab&amp;search_scope=EVERYTHING&amp;vid=01CRU&amp;lang=en_US&amp;offset=0&amp;query=any,contains,991003803999702656","Catalog Record")</f>
        <v>Catalog Record</v>
      </c>
      <c r="AT4" s="6" t="str">
        <f>HYPERLINK("http://www.worldcat.org/oclc/1529428","WorldCat Record")</f>
        <v>WorldCat Record</v>
      </c>
      <c r="AU4" s="3" t="s">
        <v>101</v>
      </c>
      <c r="AV4" s="3" t="s">
        <v>102</v>
      </c>
      <c r="AW4" s="3" t="s">
        <v>103</v>
      </c>
      <c r="AX4" s="3" t="s">
        <v>103</v>
      </c>
      <c r="AY4" s="3" t="s">
        <v>104</v>
      </c>
      <c r="AZ4" s="3" t="s">
        <v>74</v>
      </c>
      <c r="BB4" s="3" t="s">
        <v>105</v>
      </c>
      <c r="BC4" s="3" t="s">
        <v>106</v>
      </c>
      <c r="BD4" s="3" t="s">
        <v>107</v>
      </c>
    </row>
    <row r="5" spans="1:56" ht="40.5" customHeight="1" x14ac:dyDescent="0.25">
      <c r="A5" s="8" t="s">
        <v>58</v>
      </c>
      <c r="B5" s="2" t="s">
        <v>108</v>
      </c>
      <c r="C5" s="2" t="s">
        <v>109</v>
      </c>
      <c r="D5" s="2" t="s">
        <v>110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L5" s="2" t="s">
        <v>111</v>
      </c>
      <c r="M5" s="3" t="s">
        <v>112</v>
      </c>
      <c r="O5" s="3" t="s">
        <v>64</v>
      </c>
      <c r="P5" s="3" t="s">
        <v>113</v>
      </c>
      <c r="R5" s="3" t="s">
        <v>66</v>
      </c>
      <c r="S5" s="4">
        <v>5</v>
      </c>
      <c r="T5" s="4">
        <v>5</v>
      </c>
      <c r="U5" s="5" t="s">
        <v>67</v>
      </c>
      <c r="V5" s="5" t="s">
        <v>67</v>
      </c>
      <c r="W5" s="5" t="s">
        <v>68</v>
      </c>
      <c r="X5" s="5" t="s">
        <v>68</v>
      </c>
      <c r="Y5" s="4">
        <v>446</v>
      </c>
      <c r="Z5" s="4">
        <v>294</v>
      </c>
      <c r="AA5" s="4">
        <v>296</v>
      </c>
      <c r="AB5" s="4">
        <v>4</v>
      </c>
      <c r="AC5" s="4">
        <v>4</v>
      </c>
      <c r="AD5" s="4">
        <v>10</v>
      </c>
      <c r="AE5" s="4">
        <v>10</v>
      </c>
      <c r="AF5" s="4">
        <v>2</v>
      </c>
      <c r="AG5" s="4">
        <v>2</v>
      </c>
      <c r="AH5" s="4">
        <v>3</v>
      </c>
      <c r="AI5" s="4">
        <v>3</v>
      </c>
      <c r="AJ5" s="4">
        <v>4</v>
      </c>
      <c r="AK5" s="4">
        <v>4</v>
      </c>
      <c r="AL5" s="4">
        <v>3</v>
      </c>
      <c r="AM5" s="4">
        <v>3</v>
      </c>
      <c r="AN5" s="4">
        <v>0</v>
      </c>
      <c r="AO5" s="4">
        <v>0</v>
      </c>
      <c r="AP5" s="3" t="s">
        <v>58</v>
      </c>
      <c r="AQ5" s="3" t="s">
        <v>69</v>
      </c>
      <c r="AR5" s="6" t="str">
        <f>HYPERLINK("http://catalog.hathitrust.org/Record/000043462","HathiTrust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HYPERLINK("https://creighton-primo.hosted.exlibrisgroup.com/primo-explore/search?tab=default_tab&amp;search_scope=EVERYTHING&amp;vid=01CRU&amp;lang=en_US&amp;offset=0&amp;query=any,contains,991004621029702656","Catalog Record")</f>
        <v>Catalog Record</v>
      </c>
      <c r="AT5" s="6" t="str">
        <f>HYPERLINK("http://www.worldcat.org/oclc/4295286","WorldCat Record")</f>
        <v>WorldCat Record</v>
      </c>
      <c r="AU5" s="3" t="s">
        <v>114</v>
      </c>
      <c r="AV5" s="3" t="s">
        <v>115</v>
      </c>
      <c r="AW5" s="3" t="s">
        <v>116</v>
      </c>
      <c r="AX5" s="3" t="s">
        <v>116</v>
      </c>
      <c r="AY5" s="3" t="s">
        <v>117</v>
      </c>
      <c r="AZ5" s="3" t="s">
        <v>74</v>
      </c>
      <c r="BB5" s="3" t="s">
        <v>118</v>
      </c>
      <c r="BC5" s="3" t="s">
        <v>119</v>
      </c>
      <c r="BD5" s="3" t="s">
        <v>120</v>
      </c>
    </row>
    <row r="6" spans="1:56" ht="40.5" customHeight="1" x14ac:dyDescent="0.25">
      <c r="A6" s="8" t="s">
        <v>58</v>
      </c>
      <c r="B6" s="2" t="s">
        <v>121</v>
      </c>
      <c r="C6" s="2" t="s">
        <v>122</v>
      </c>
      <c r="D6" s="2" t="s">
        <v>123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124</v>
      </c>
      <c r="L6" s="2" t="s">
        <v>125</v>
      </c>
      <c r="M6" s="3" t="s">
        <v>126</v>
      </c>
      <c r="N6" s="2" t="s">
        <v>127</v>
      </c>
      <c r="O6" s="3" t="s">
        <v>64</v>
      </c>
      <c r="P6" s="3" t="s">
        <v>113</v>
      </c>
      <c r="R6" s="3" t="s">
        <v>66</v>
      </c>
      <c r="S6" s="4">
        <v>11</v>
      </c>
      <c r="T6" s="4">
        <v>11</v>
      </c>
      <c r="U6" s="5" t="s">
        <v>128</v>
      </c>
      <c r="V6" s="5" t="s">
        <v>128</v>
      </c>
      <c r="W6" s="5" t="s">
        <v>129</v>
      </c>
      <c r="X6" s="5" t="s">
        <v>129</v>
      </c>
      <c r="Y6" s="4">
        <v>841</v>
      </c>
      <c r="Z6" s="4">
        <v>680</v>
      </c>
      <c r="AA6" s="4">
        <v>695</v>
      </c>
      <c r="AB6" s="4">
        <v>4</v>
      </c>
      <c r="AC6" s="4">
        <v>4</v>
      </c>
      <c r="AD6" s="4">
        <v>29</v>
      </c>
      <c r="AE6" s="4">
        <v>29</v>
      </c>
      <c r="AF6" s="4">
        <v>11</v>
      </c>
      <c r="AG6" s="4">
        <v>11</v>
      </c>
      <c r="AH6" s="4">
        <v>8</v>
      </c>
      <c r="AI6" s="4">
        <v>8</v>
      </c>
      <c r="AJ6" s="4">
        <v>15</v>
      </c>
      <c r="AK6" s="4">
        <v>15</v>
      </c>
      <c r="AL6" s="4">
        <v>3</v>
      </c>
      <c r="AM6" s="4">
        <v>3</v>
      </c>
      <c r="AN6" s="4">
        <v>0</v>
      </c>
      <c r="AO6" s="4">
        <v>0</v>
      </c>
      <c r="AP6" s="3" t="s">
        <v>58</v>
      </c>
      <c r="AQ6" s="3" t="s">
        <v>58</v>
      </c>
      <c r="AS6" s="6" t="str">
        <f>HYPERLINK("https://creighton-primo.hosted.exlibrisgroup.com/primo-explore/search?tab=default_tab&amp;search_scope=EVERYTHING&amp;vid=01CRU&amp;lang=en_US&amp;offset=0&amp;query=any,contains,991002211389702656","Catalog Record")</f>
        <v>Catalog Record</v>
      </c>
      <c r="AT6" s="6" t="str">
        <f>HYPERLINK("http://www.worldcat.org/oclc/28424370","WorldCat Record")</f>
        <v>WorldCat Record</v>
      </c>
      <c r="AU6" s="3" t="s">
        <v>130</v>
      </c>
      <c r="AV6" s="3" t="s">
        <v>131</v>
      </c>
      <c r="AW6" s="3" t="s">
        <v>132</v>
      </c>
      <c r="AX6" s="3" t="s">
        <v>132</v>
      </c>
      <c r="AY6" s="3" t="s">
        <v>133</v>
      </c>
      <c r="AZ6" s="3" t="s">
        <v>74</v>
      </c>
      <c r="BB6" s="3" t="s">
        <v>134</v>
      </c>
      <c r="BC6" s="3" t="s">
        <v>135</v>
      </c>
      <c r="BD6" s="3" t="s">
        <v>136</v>
      </c>
    </row>
    <row r="7" spans="1:56" ht="40.5" customHeight="1" x14ac:dyDescent="0.25">
      <c r="A7" s="8" t="s">
        <v>58</v>
      </c>
      <c r="B7" s="2" t="s">
        <v>137</v>
      </c>
      <c r="C7" s="2" t="s">
        <v>138</v>
      </c>
      <c r="D7" s="2" t="s">
        <v>139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L7" s="2" t="s">
        <v>140</v>
      </c>
      <c r="M7" s="3" t="s">
        <v>82</v>
      </c>
      <c r="O7" s="3" t="s">
        <v>64</v>
      </c>
      <c r="P7" s="3" t="s">
        <v>97</v>
      </c>
      <c r="Q7" s="2" t="s">
        <v>141</v>
      </c>
      <c r="R7" s="3" t="s">
        <v>66</v>
      </c>
      <c r="S7" s="4">
        <v>1</v>
      </c>
      <c r="T7" s="4">
        <v>1</v>
      </c>
      <c r="U7" s="5" t="s">
        <v>142</v>
      </c>
      <c r="V7" s="5" t="s">
        <v>142</v>
      </c>
      <c r="W7" s="5" t="s">
        <v>68</v>
      </c>
      <c r="X7" s="5" t="s">
        <v>68</v>
      </c>
      <c r="Y7" s="4">
        <v>282</v>
      </c>
      <c r="Z7" s="4">
        <v>202</v>
      </c>
      <c r="AA7" s="4">
        <v>212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3" t="s">
        <v>58</v>
      </c>
      <c r="AQ7" s="3" t="s">
        <v>69</v>
      </c>
      <c r="AR7" s="6" t="str">
        <f>HYPERLINK("http://catalog.hathitrust.org/Record/000204191","HathiTrust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HYPERLINK("https://creighton-primo.hosted.exlibrisgroup.com/primo-explore/search?tab=default_tab&amp;search_scope=EVERYTHING&amp;vid=01CRU&amp;lang=en_US&amp;offset=0&amp;query=any,contains,991004649399702656","Catalog Record")</f>
        <v>Catalog Record</v>
      </c>
      <c r="AT7" s="6" t="str">
        <f>HYPERLINK("http://www.worldcat.org/oclc/4493278","WorldCat Record")</f>
        <v>WorldCat Record</v>
      </c>
      <c r="AU7" s="3" t="s">
        <v>143</v>
      </c>
      <c r="AV7" s="3" t="s">
        <v>144</v>
      </c>
      <c r="AW7" s="3" t="s">
        <v>145</v>
      </c>
      <c r="AX7" s="3" t="s">
        <v>145</v>
      </c>
      <c r="AY7" s="3" t="s">
        <v>146</v>
      </c>
      <c r="AZ7" s="3" t="s">
        <v>74</v>
      </c>
      <c r="BB7" s="3" t="s">
        <v>147</v>
      </c>
      <c r="BC7" s="3" t="s">
        <v>148</v>
      </c>
      <c r="BD7" s="3" t="s">
        <v>149</v>
      </c>
    </row>
    <row r="8" spans="1:56" ht="40.5" customHeight="1" x14ac:dyDescent="0.25">
      <c r="A8" s="8" t="s">
        <v>58</v>
      </c>
      <c r="B8" s="2" t="s">
        <v>150</v>
      </c>
      <c r="C8" s="2" t="s">
        <v>151</v>
      </c>
      <c r="D8" s="2" t="s">
        <v>152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153</v>
      </c>
      <c r="L8" s="2" t="s">
        <v>154</v>
      </c>
      <c r="M8" s="3" t="s">
        <v>155</v>
      </c>
      <c r="N8" s="2" t="s">
        <v>156</v>
      </c>
      <c r="O8" s="3" t="s">
        <v>64</v>
      </c>
      <c r="P8" s="3" t="s">
        <v>83</v>
      </c>
      <c r="Q8" s="2" t="s">
        <v>157</v>
      </c>
      <c r="R8" s="3" t="s">
        <v>66</v>
      </c>
      <c r="S8" s="4">
        <v>2</v>
      </c>
      <c r="T8" s="4">
        <v>2</v>
      </c>
      <c r="U8" s="5" t="s">
        <v>158</v>
      </c>
      <c r="V8" s="5" t="s">
        <v>158</v>
      </c>
      <c r="W8" s="5" t="s">
        <v>100</v>
      </c>
      <c r="X8" s="5" t="s">
        <v>100</v>
      </c>
      <c r="Y8" s="4">
        <v>276</v>
      </c>
      <c r="Z8" s="4">
        <v>251</v>
      </c>
      <c r="AA8" s="4">
        <v>595</v>
      </c>
      <c r="AB8" s="4">
        <v>2</v>
      </c>
      <c r="AC8" s="4">
        <v>4</v>
      </c>
      <c r="AD8" s="4">
        <v>8</v>
      </c>
      <c r="AE8" s="4">
        <v>16</v>
      </c>
      <c r="AF8" s="4">
        <v>3</v>
      </c>
      <c r="AG8" s="4">
        <v>6</v>
      </c>
      <c r="AH8" s="4">
        <v>1</v>
      </c>
      <c r="AI8" s="4">
        <v>4</v>
      </c>
      <c r="AJ8" s="4">
        <v>4</v>
      </c>
      <c r="AK8" s="4">
        <v>8</v>
      </c>
      <c r="AL8" s="4">
        <v>1</v>
      </c>
      <c r="AM8" s="4">
        <v>2</v>
      </c>
      <c r="AN8" s="4">
        <v>0</v>
      </c>
      <c r="AO8" s="4">
        <v>0</v>
      </c>
      <c r="AP8" s="3" t="s">
        <v>58</v>
      </c>
      <c r="AQ8" s="3" t="s">
        <v>69</v>
      </c>
      <c r="AR8" s="6" t="str">
        <f>HYPERLINK("http://catalog.hathitrust.org/Record/001556422","HathiTrust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HYPERLINK("https://creighton-primo.hosted.exlibrisgroup.com/primo-explore/search?tab=default_tab&amp;search_scope=EVERYTHING&amp;vid=01CRU&amp;lang=en_US&amp;offset=0&amp;query=any,contains,991003078909702656","Catalog Record")</f>
        <v>Catalog Record</v>
      </c>
      <c r="AT8" s="6" t="str">
        <f>HYPERLINK("http://www.worldcat.org/oclc/631880","WorldCat Record")</f>
        <v>WorldCat Record</v>
      </c>
      <c r="AU8" s="3" t="s">
        <v>159</v>
      </c>
      <c r="AV8" s="3" t="s">
        <v>160</v>
      </c>
      <c r="AW8" s="3" t="s">
        <v>161</v>
      </c>
      <c r="AX8" s="3" t="s">
        <v>161</v>
      </c>
      <c r="AY8" s="3" t="s">
        <v>162</v>
      </c>
      <c r="AZ8" s="3" t="s">
        <v>74</v>
      </c>
      <c r="BB8" s="3" t="s">
        <v>163</v>
      </c>
      <c r="BC8" s="3" t="s">
        <v>164</v>
      </c>
      <c r="BD8" s="3" t="s">
        <v>165</v>
      </c>
    </row>
    <row r="9" spans="1:56" ht="40.5" customHeight="1" x14ac:dyDescent="0.25">
      <c r="A9" s="8" t="s">
        <v>58</v>
      </c>
      <c r="B9" s="2" t="s">
        <v>166</v>
      </c>
      <c r="C9" s="2" t="s">
        <v>167</v>
      </c>
      <c r="D9" s="2" t="s">
        <v>168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169</v>
      </c>
      <c r="L9" s="2" t="s">
        <v>170</v>
      </c>
      <c r="M9" s="3" t="s">
        <v>171</v>
      </c>
      <c r="O9" s="3" t="s">
        <v>64</v>
      </c>
      <c r="P9" s="3" t="s">
        <v>172</v>
      </c>
      <c r="R9" s="3" t="s">
        <v>66</v>
      </c>
      <c r="S9" s="4">
        <v>2</v>
      </c>
      <c r="T9" s="4">
        <v>2</v>
      </c>
      <c r="U9" s="5" t="s">
        <v>128</v>
      </c>
      <c r="V9" s="5" t="s">
        <v>128</v>
      </c>
      <c r="W9" s="5" t="s">
        <v>173</v>
      </c>
      <c r="X9" s="5" t="s">
        <v>173</v>
      </c>
      <c r="Y9" s="4">
        <v>330</v>
      </c>
      <c r="Z9" s="4">
        <v>249</v>
      </c>
      <c r="AA9" s="4">
        <v>362</v>
      </c>
      <c r="AB9" s="4">
        <v>1</v>
      </c>
      <c r="AC9" s="4">
        <v>2</v>
      </c>
      <c r="AD9" s="4">
        <v>8</v>
      </c>
      <c r="AE9" s="4">
        <v>15</v>
      </c>
      <c r="AF9" s="4">
        <v>3</v>
      </c>
      <c r="AG9" s="4">
        <v>4</v>
      </c>
      <c r="AH9" s="4">
        <v>3</v>
      </c>
      <c r="AI9" s="4">
        <v>6</v>
      </c>
      <c r="AJ9" s="4">
        <v>3</v>
      </c>
      <c r="AK9" s="4">
        <v>4</v>
      </c>
      <c r="AL9" s="4">
        <v>0</v>
      </c>
      <c r="AM9" s="4">
        <v>1</v>
      </c>
      <c r="AN9" s="4">
        <v>0</v>
      </c>
      <c r="AO9" s="4">
        <v>1</v>
      </c>
      <c r="AP9" s="3" t="s">
        <v>58</v>
      </c>
      <c r="AQ9" s="3" t="s">
        <v>58</v>
      </c>
      <c r="AS9" s="6" t="str">
        <f>HYPERLINK("https://creighton-primo.hosted.exlibrisgroup.com/primo-explore/search?tab=default_tab&amp;search_scope=EVERYTHING&amp;vid=01CRU&amp;lang=en_US&amp;offset=0&amp;query=any,contains,991003930359702656","Catalog Record")</f>
        <v>Catalog Record</v>
      </c>
      <c r="AT9" s="6" t="str">
        <f>HYPERLINK("http://www.worldcat.org/oclc/37843846","WorldCat Record")</f>
        <v>WorldCat Record</v>
      </c>
      <c r="AU9" s="3" t="s">
        <v>174</v>
      </c>
      <c r="AV9" s="3" t="s">
        <v>175</v>
      </c>
      <c r="AW9" s="3" t="s">
        <v>176</v>
      </c>
      <c r="AX9" s="3" t="s">
        <v>176</v>
      </c>
      <c r="AY9" s="3" t="s">
        <v>177</v>
      </c>
      <c r="AZ9" s="3" t="s">
        <v>74</v>
      </c>
      <c r="BB9" s="3" t="s">
        <v>178</v>
      </c>
      <c r="BC9" s="3" t="s">
        <v>179</v>
      </c>
      <c r="BD9" s="3" t="s">
        <v>180</v>
      </c>
    </row>
    <row r="10" spans="1:56" ht="40.5" customHeight="1" x14ac:dyDescent="0.25">
      <c r="A10" s="8" t="s">
        <v>58</v>
      </c>
      <c r="B10" s="2" t="s">
        <v>181</v>
      </c>
      <c r="C10" s="2" t="s">
        <v>182</v>
      </c>
      <c r="D10" s="2" t="s">
        <v>183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L10" s="2" t="s">
        <v>184</v>
      </c>
      <c r="M10" s="3" t="s">
        <v>185</v>
      </c>
      <c r="O10" s="3" t="s">
        <v>64</v>
      </c>
      <c r="P10" s="3" t="s">
        <v>186</v>
      </c>
      <c r="R10" s="3" t="s">
        <v>66</v>
      </c>
      <c r="S10" s="4">
        <v>17</v>
      </c>
      <c r="T10" s="4">
        <v>17</v>
      </c>
      <c r="U10" s="5" t="s">
        <v>187</v>
      </c>
      <c r="V10" s="5" t="s">
        <v>187</v>
      </c>
      <c r="W10" s="5" t="s">
        <v>188</v>
      </c>
      <c r="X10" s="5" t="s">
        <v>188</v>
      </c>
      <c r="Y10" s="4">
        <v>396</v>
      </c>
      <c r="Z10" s="4">
        <v>272</v>
      </c>
      <c r="AA10" s="4">
        <v>276</v>
      </c>
      <c r="AB10" s="4">
        <v>3</v>
      </c>
      <c r="AC10" s="4">
        <v>3</v>
      </c>
      <c r="AD10" s="4">
        <v>9</v>
      </c>
      <c r="AE10" s="4">
        <v>9</v>
      </c>
      <c r="AF10" s="4">
        <v>2</v>
      </c>
      <c r="AG10" s="4">
        <v>2</v>
      </c>
      <c r="AH10" s="4">
        <v>3</v>
      </c>
      <c r="AI10" s="4">
        <v>3</v>
      </c>
      <c r="AJ10" s="4">
        <v>4</v>
      </c>
      <c r="AK10" s="4">
        <v>4</v>
      </c>
      <c r="AL10" s="4">
        <v>2</v>
      </c>
      <c r="AM10" s="4">
        <v>2</v>
      </c>
      <c r="AN10" s="4">
        <v>0</v>
      </c>
      <c r="AO10" s="4">
        <v>0</v>
      </c>
      <c r="AP10" s="3" t="s">
        <v>58</v>
      </c>
      <c r="AQ10" s="3" t="s">
        <v>58</v>
      </c>
      <c r="AS10" s="6" t="str">
        <f>HYPERLINK("https://creighton-primo.hosted.exlibrisgroup.com/primo-explore/search?tab=default_tab&amp;search_scope=EVERYTHING&amp;vid=01CRU&amp;lang=en_US&amp;offset=0&amp;query=any,contains,991002035189702656","Catalog Record")</f>
        <v>Catalog Record</v>
      </c>
      <c r="AT10" s="6" t="str">
        <f>HYPERLINK("http://www.worldcat.org/oclc/25915881","WorldCat Record")</f>
        <v>WorldCat Record</v>
      </c>
      <c r="AU10" s="3" t="s">
        <v>189</v>
      </c>
      <c r="AV10" s="3" t="s">
        <v>190</v>
      </c>
      <c r="AW10" s="3" t="s">
        <v>191</v>
      </c>
      <c r="AX10" s="3" t="s">
        <v>191</v>
      </c>
      <c r="AY10" s="3" t="s">
        <v>192</v>
      </c>
      <c r="AZ10" s="3" t="s">
        <v>74</v>
      </c>
      <c r="BB10" s="3" t="s">
        <v>193</v>
      </c>
      <c r="BC10" s="3" t="s">
        <v>194</v>
      </c>
      <c r="BD10" s="3" t="s">
        <v>195</v>
      </c>
    </row>
    <row r="11" spans="1:56" ht="40.5" customHeight="1" x14ac:dyDescent="0.25">
      <c r="A11" s="8" t="s">
        <v>58</v>
      </c>
      <c r="B11" s="2" t="s">
        <v>196</v>
      </c>
      <c r="C11" s="2" t="s">
        <v>197</v>
      </c>
      <c r="D11" s="2" t="s">
        <v>198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199</v>
      </c>
      <c r="L11" s="2" t="s">
        <v>200</v>
      </c>
      <c r="M11" s="3" t="s">
        <v>201</v>
      </c>
      <c r="O11" s="3" t="s">
        <v>64</v>
      </c>
      <c r="P11" s="3" t="s">
        <v>202</v>
      </c>
      <c r="R11" s="3" t="s">
        <v>66</v>
      </c>
      <c r="S11" s="4">
        <v>5</v>
      </c>
      <c r="T11" s="4">
        <v>5</v>
      </c>
      <c r="U11" s="5" t="s">
        <v>187</v>
      </c>
      <c r="V11" s="5" t="s">
        <v>187</v>
      </c>
      <c r="W11" s="5" t="s">
        <v>203</v>
      </c>
      <c r="X11" s="5" t="s">
        <v>203</v>
      </c>
      <c r="Y11" s="4">
        <v>111</v>
      </c>
      <c r="Z11" s="4">
        <v>58</v>
      </c>
      <c r="AA11" s="4">
        <v>59</v>
      </c>
      <c r="AB11" s="4">
        <v>1</v>
      </c>
      <c r="AC11" s="4">
        <v>1</v>
      </c>
      <c r="AD11" s="4">
        <v>3</v>
      </c>
      <c r="AE11" s="4">
        <v>3</v>
      </c>
      <c r="AF11" s="4">
        <v>1</v>
      </c>
      <c r="AG11" s="4">
        <v>1</v>
      </c>
      <c r="AH11" s="4">
        <v>2</v>
      </c>
      <c r="AI11" s="4">
        <v>2</v>
      </c>
      <c r="AJ11" s="4">
        <v>1</v>
      </c>
      <c r="AK11" s="4">
        <v>1</v>
      </c>
      <c r="AL11" s="4">
        <v>0</v>
      </c>
      <c r="AM11" s="4">
        <v>0</v>
      </c>
      <c r="AN11" s="4">
        <v>0</v>
      </c>
      <c r="AO11" s="4">
        <v>0</v>
      </c>
      <c r="AP11" s="3" t="s">
        <v>58</v>
      </c>
      <c r="AQ11" s="3" t="s">
        <v>69</v>
      </c>
      <c r="AR11" s="6" t="str">
        <f>HYPERLINK("http://catalog.hathitrust.org/Record/004126361","HathiTrust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HYPERLINK("https://creighton-primo.hosted.exlibrisgroup.com/primo-explore/search?tab=default_tab&amp;search_scope=EVERYTHING&amp;vid=01CRU&amp;lang=en_US&amp;offset=0&amp;query=any,contains,991003035579702656","Catalog Record")</f>
        <v>Catalog Record</v>
      </c>
      <c r="AT11" s="6" t="str">
        <f>HYPERLINK("http://www.worldcat.org/oclc/41652213","WorldCat Record")</f>
        <v>WorldCat Record</v>
      </c>
      <c r="AU11" s="3" t="s">
        <v>204</v>
      </c>
      <c r="AV11" s="3" t="s">
        <v>205</v>
      </c>
      <c r="AW11" s="3" t="s">
        <v>206</v>
      </c>
      <c r="AX11" s="3" t="s">
        <v>206</v>
      </c>
      <c r="AY11" s="3" t="s">
        <v>207</v>
      </c>
      <c r="AZ11" s="3" t="s">
        <v>74</v>
      </c>
      <c r="BB11" s="3" t="s">
        <v>208</v>
      </c>
      <c r="BC11" s="3" t="s">
        <v>209</v>
      </c>
      <c r="BD11" s="3" t="s">
        <v>210</v>
      </c>
    </row>
    <row r="12" spans="1:56" ht="40.5" customHeight="1" x14ac:dyDescent="0.25">
      <c r="A12" s="8" t="s">
        <v>58</v>
      </c>
      <c r="B12" s="2" t="s">
        <v>211</v>
      </c>
      <c r="C12" s="2" t="s">
        <v>212</v>
      </c>
      <c r="D12" s="2" t="s">
        <v>213</v>
      </c>
      <c r="F12" s="3" t="s">
        <v>58</v>
      </c>
      <c r="G12" s="3" t="s">
        <v>59</v>
      </c>
      <c r="H12" s="3" t="s">
        <v>58</v>
      </c>
      <c r="I12" s="3" t="s">
        <v>69</v>
      </c>
      <c r="J12" s="3" t="s">
        <v>60</v>
      </c>
      <c r="L12" s="2" t="s">
        <v>214</v>
      </c>
      <c r="M12" s="3" t="s">
        <v>215</v>
      </c>
      <c r="O12" s="3" t="s">
        <v>64</v>
      </c>
      <c r="P12" s="3" t="s">
        <v>83</v>
      </c>
      <c r="Q12" s="2" t="s">
        <v>216</v>
      </c>
      <c r="R12" s="3" t="s">
        <v>66</v>
      </c>
      <c r="S12" s="4">
        <v>3</v>
      </c>
      <c r="T12" s="4">
        <v>3</v>
      </c>
      <c r="U12" s="5" t="s">
        <v>217</v>
      </c>
      <c r="V12" s="5" t="s">
        <v>217</v>
      </c>
      <c r="W12" s="5" t="s">
        <v>173</v>
      </c>
      <c r="X12" s="5" t="s">
        <v>173</v>
      </c>
      <c r="Y12" s="4">
        <v>466</v>
      </c>
      <c r="Z12" s="4">
        <v>338</v>
      </c>
      <c r="AA12" s="4">
        <v>875</v>
      </c>
      <c r="AB12" s="4">
        <v>2</v>
      </c>
      <c r="AC12" s="4">
        <v>7</v>
      </c>
      <c r="AD12" s="4">
        <v>16</v>
      </c>
      <c r="AE12" s="4">
        <v>38</v>
      </c>
      <c r="AF12" s="4">
        <v>9</v>
      </c>
      <c r="AG12" s="4">
        <v>15</v>
      </c>
      <c r="AH12" s="4">
        <v>4</v>
      </c>
      <c r="AI12" s="4">
        <v>9</v>
      </c>
      <c r="AJ12" s="4">
        <v>7</v>
      </c>
      <c r="AK12" s="4">
        <v>14</v>
      </c>
      <c r="AL12" s="4">
        <v>1</v>
      </c>
      <c r="AM12" s="4">
        <v>6</v>
      </c>
      <c r="AN12" s="4">
        <v>0</v>
      </c>
      <c r="AO12" s="4">
        <v>1</v>
      </c>
      <c r="AP12" s="3" t="s">
        <v>58</v>
      </c>
      <c r="AQ12" s="3" t="s">
        <v>69</v>
      </c>
      <c r="AR12" s="6" t="str">
        <f>HYPERLINK("http://catalog.hathitrust.org/Record/004098382","HathiTrust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HYPERLINK("https://creighton-primo.hosted.exlibrisgroup.com/primo-explore/search?tab=default_tab&amp;search_scope=EVERYTHING&amp;vid=01CRU&amp;lang=en_US&amp;offset=0&amp;query=any,contains,991003930419702656","Catalog Record")</f>
        <v>Catalog Record</v>
      </c>
      <c r="AT12" s="6" t="str">
        <f>HYPERLINK("http://www.worldcat.org/oclc/42397355","WorldCat Record")</f>
        <v>WorldCat Record</v>
      </c>
      <c r="AU12" s="3" t="s">
        <v>218</v>
      </c>
      <c r="AV12" s="3" t="s">
        <v>219</v>
      </c>
      <c r="AW12" s="3" t="s">
        <v>220</v>
      </c>
      <c r="AX12" s="3" t="s">
        <v>220</v>
      </c>
      <c r="AY12" s="3" t="s">
        <v>221</v>
      </c>
      <c r="AZ12" s="3" t="s">
        <v>74</v>
      </c>
      <c r="BB12" s="3" t="s">
        <v>222</v>
      </c>
      <c r="BC12" s="3" t="s">
        <v>223</v>
      </c>
      <c r="BD12" s="3" t="s">
        <v>224</v>
      </c>
    </row>
    <row r="13" spans="1:56" ht="40.5" customHeight="1" x14ac:dyDescent="0.25">
      <c r="A13" s="8" t="s">
        <v>58</v>
      </c>
      <c r="B13" s="2" t="s">
        <v>225</v>
      </c>
      <c r="C13" s="2" t="s">
        <v>226</v>
      </c>
      <c r="D13" s="2" t="s">
        <v>227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228</v>
      </c>
      <c r="L13" s="2" t="s">
        <v>229</v>
      </c>
      <c r="M13" s="3" t="s">
        <v>82</v>
      </c>
      <c r="O13" s="3" t="s">
        <v>64</v>
      </c>
      <c r="P13" s="3" t="s">
        <v>97</v>
      </c>
      <c r="Q13" s="2" t="s">
        <v>230</v>
      </c>
      <c r="R13" s="3" t="s">
        <v>66</v>
      </c>
      <c r="S13" s="4">
        <v>1</v>
      </c>
      <c r="T13" s="4">
        <v>1</v>
      </c>
      <c r="U13" s="5" t="s">
        <v>231</v>
      </c>
      <c r="V13" s="5" t="s">
        <v>231</v>
      </c>
      <c r="W13" s="5" t="s">
        <v>68</v>
      </c>
      <c r="X13" s="5" t="s">
        <v>68</v>
      </c>
      <c r="Y13" s="4">
        <v>295</v>
      </c>
      <c r="Z13" s="4">
        <v>249</v>
      </c>
      <c r="AA13" s="4">
        <v>277</v>
      </c>
      <c r="AB13" s="4">
        <v>3</v>
      </c>
      <c r="AC13" s="4">
        <v>3</v>
      </c>
      <c r="AD13" s="4">
        <v>6</v>
      </c>
      <c r="AE13" s="4">
        <v>6</v>
      </c>
      <c r="AF13" s="4">
        <v>3</v>
      </c>
      <c r="AG13" s="4">
        <v>3</v>
      </c>
      <c r="AH13" s="4">
        <v>2</v>
      </c>
      <c r="AI13" s="4">
        <v>2</v>
      </c>
      <c r="AJ13" s="4">
        <v>2</v>
      </c>
      <c r="AK13" s="4">
        <v>2</v>
      </c>
      <c r="AL13" s="4">
        <v>1</v>
      </c>
      <c r="AM13" s="4">
        <v>1</v>
      </c>
      <c r="AN13" s="4">
        <v>0</v>
      </c>
      <c r="AO13" s="4">
        <v>0</v>
      </c>
      <c r="AP13" s="3" t="s">
        <v>58</v>
      </c>
      <c r="AQ13" s="3" t="s">
        <v>69</v>
      </c>
      <c r="AR13" s="6" t="str">
        <f>HYPERLINK("http://catalog.hathitrust.org/Record/000029010","HathiTrust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HYPERLINK("https://creighton-primo.hosted.exlibrisgroup.com/primo-explore/search?tab=default_tab&amp;search_scope=EVERYTHING&amp;vid=01CRU&amp;lang=en_US&amp;offset=0&amp;query=any,contains,991004909989702656","Catalog Record")</f>
        <v>Catalog Record</v>
      </c>
      <c r="AT13" s="6" t="str">
        <f>HYPERLINK("http://www.worldcat.org/oclc/5989550","WorldCat Record")</f>
        <v>WorldCat Record</v>
      </c>
      <c r="AU13" s="3" t="s">
        <v>232</v>
      </c>
      <c r="AV13" s="3" t="s">
        <v>233</v>
      </c>
      <c r="AW13" s="3" t="s">
        <v>234</v>
      </c>
      <c r="AX13" s="3" t="s">
        <v>234</v>
      </c>
      <c r="AY13" s="3" t="s">
        <v>235</v>
      </c>
      <c r="AZ13" s="3" t="s">
        <v>74</v>
      </c>
      <c r="BC13" s="3" t="s">
        <v>236</v>
      </c>
      <c r="BD13" s="3" t="s">
        <v>237</v>
      </c>
    </row>
    <row r="14" spans="1:56" ht="40.5" customHeight="1" x14ac:dyDescent="0.25">
      <c r="A14" s="8" t="s">
        <v>58</v>
      </c>
      <c r="B14" s="2" t="s">
        <v>238</v>
      </c>
      <c r="C14" s="2" t="s">
        <v>239</v>
      </c>
      <c r="D14" s="2" t="s">
        <v>240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241</v>
      </c>
      <c r="L14" s="2" t="s">
        <v>242</v>
      </c>
      <c r="M14" s="3" t="s">
        <v>243</v>
      </c>
      <c r="O14" s="3" t="s">
        <v>64</v>
      </c>
      <c r="P14" s="3" t="s">
        <v>113</v>
      </c>
      <c r="R14" s="3" t="s">
        <v>66</v>
      </c>
      <c r="S14" s="4">
        <v>4</v>
      </c>
      <c r="T14" s="4">
        <v>4</v>
      </c>
      <c r="U14" s="5" t="s">
        <v>244</v>
      </c>
      <c r="V14" s="5" t="s">
        <v>244</v>
      </c>
      <c r="W14" s="5" t="s">
        <v>245</v>
      </c>
      <c r="X14" s="5" t="s">
        <v>245</v>
      </c>
      <c r="Y14" s="4">
        <v>357</v>
      </c>
      <c r="Z14" s="4">
        <v>200</v>
      </c>
      <c r="AA14" s="4">
        <v>201</v>
      </c>
      <c r="AB14" s="4">
        <v>4</v>
      </c>
      <c r="AC14" s="4">
        <v>4</v>
      </c>
      <c r="AD14" s="4">
        <v>9</v>
      </c>
      <c r="AE14" s="4">
        <v>9</v>
      </c>
      <c r="AF14" s="4">
        <v>3</v>
      </c>
      <c r="AG14" s="4">
        <v>3</v>
      </c>
      <c r="AH14" s="4">
        <v>2</v>
      </c>
      <c r="AI14" s="4">
        <v>2</v>
      </c>
      <c r="AJ14" s="4">
        <v>1</v>
      </c>
      <c r="AK14" s="4">
        <v>1</v>
      </c>
      <c r="AL14" s="4">
        <v>3</v>
      </c>
      <c r="AM14" s="4">
        <v>3</v>
      </c>
      <c r="AN14" s="4">
        <v>0</v>
      </c>
      <c r="AO14" s="4">
        <v>0</v>
      </c>
      <c r="AP14" s="3" t="s">
        <v>58</v>
      </c>
      <c r="AQ14" s="3" t="s">
        <v>69</v>
      </c>
      <c r="AR14" s="6" t="str">
        <f>HYPERLINK("http://catalog.hathitrust.org/Record/000820160","HathiTrust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HYPERLINK("https://creighton-primo.hosted.exlibrisgroup.com/primo-explore/search?tab=default_tab&amp;search_scope=EVERYTHING&amp;vid=01CRU&amp;lang=en_US&amp;offset=0&amp;query=any,contains,991000816519702656","Catalog Record")</f>
        <v>Catalog Record</v>
      </c>
      <c r="AT14" s="6" t="str">
        <f>HYPERLINK("http://www.worldcat.org/oclc/13358617","WorldCat Record")</f>
        <v>WorldCat Record</v>
      </c>
      <c r="AU14" s="3" t="s">
        <v>246</v>
      </c>
      <c r="AV14" s="3" t="s">
        <v>247</v>
      </c>
      <c r="AW14" s="3" t="s">
        <v>248</v>
      </c>
      <c r="AX14" s="3" t="s">
        <v>248</v>
      </c>
      <c r="AY14" s="3" t="s">
        <v>249</v>
      </c>
      <c r="AZ14" s="3" t="s">
        <v>74</v>
      </c>
      <c r="BB14" s="3" t="s">
        <v>250</v>
      </c>
      <c r="BC14" s="3" t="s">
        <v>251</v>
      </c>
      <c r="BD14" s="3" t="s">
        <v>252</v>
      </c>
    </row>
    <row r="15" spans="1:56" ht="40.5" customHeight="1" x14ac:dyDescent="0.25">
      <c r="A15" s="8" t="s">
        <v>58</v>
      </c>
      <c r="B15" s="2" t="s">
        <v>253</v>
      </c>
      <c r="C15" s="2" t="s">
        <v>254</v>
      </c>
      <c r="D15" s="2" t="s">
        <v>255</v>
      </c>
      <c r="F15" s="3" t="s">
        <v>58</v>
      </c>
      <c r="G15" s="3" t="s">
        <v>59</v>
      </c>
      <c r="H15" s="3" t="s">
        <v>58</v>
      </c>
      <c r="I15" s="3" t="s">
        <v>69</v>
      </c>
      <c r="J15" s="3" t="s">
        <v>60</v>
      </c>
      <c r="K15" s="2" t="s">
        <v>256</v>
      </c>
      <c r="L15" s="2" t="s">
        <v>257</v>
      </c>
      <c r="M15" s="3" t="s">
        <v>258</v>
      </c>
      <c r="O15" s="3" t="s">
        <v>64</v>
      </c>
      <c r="P15" s="3" t="s">
        <v>172</v>
      </c>
      <c r="R15" s="3" t="s">
        <v>66</v>
      </c>
      <c r="S15" s="4">
        <v>26</v>
      </c>
      <c r="T15" s="4">
        <v>26</v>
      </c>
      <c r="U15" s="5" t="s">
        <v>244</v>
      </c>
      <c r="V15" s="5" t="s">
        <v>244</v>
      </c>
      <c r="W15" s="5" t="s">
        <v>245</v>
      </c>
      <c r="X15" s="5" t="s">
        <v>245</v>
      </c>
      <c r="Y15" s="4">
        <v>596</v>
      </c>
      <c r="Z15" s="4">
        <v>438</v>
      </c>
      <c r="AA15" s="4">
        <v>593</v>
      </c>
      <c r="AB15" s="4">
        <v>2</v>
      </c>
      <c r="AC15" s="4">
        <v>4</v>
      </c>
      <c r="AD15" s="4">
        <v>14</v>
      </c>
      <c r="AE15" s="4">
        <v>23</v>
      </c>
      <c r="AF15" s="4">
        <v>4</v>
      </c>
      <c r="AG15" s="4">
        <v>8</v>
      </c>
      <c r="AH15" s="4">
        <v>4</v>
      </c>
      <c r="AI15" s="4">
        <v>5</v>
      </c>
      <c r="AJ15" s="4">
        <v>7</v>
      </c>
      <c r="AK15" s="4">
        <v>10</v>
      </c>
      <c r="AL15" s="4">
        <v>1</v>
      </c>
      <c r="AM15" s="4">
        <v>3</v>
      </c>
      <c r="AN15" s="4">
        <v>0</v>
      </c>
      <c r="AO15" s="4">
        <v>0</v>
      </c>
      <c r="AP15" s="3" t="s">
        <v>58</v>
      </c>
      <c r="AQ15" s="3" t="s">
        <v>69</v>
      </c>
      <c r="AR15" s="6" t="str">
        <f>HYPERLINK("http://catalog.hathitrust.org/Record/001083017","HathiTrust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HYPERLINK("https://creighton-primo.hosted.exlibrisgroup.com/primo-explore/search?tab=default_tab&amp;search_scope=EVERYTHING&amp;vid=01CRU&amp;lang=en_US&amp;offset=0&amp;query=any,contains,991001373599702656","Catalog Record")</f>
        <v>Catalog Record</v>
      </c>
      <c r="AT15" s="6" t="str">
        <f>HYPERLINK("http://www.worldcat.org/oclc/18589466","WorldCat Record")</f>
        <v>WorldCat Record</v>
      </c>
      <c r="AU15" s="3" t="s">
        <v>259</v>
      </c>
      <c r="AV15" s="3" t="s">
        <v>260</v>
      </c>
      <c r="AW15" s="3" t="s">
        <v>261</v>
      </c>
      <c r="AX15" s="3" t="s">
        <v>261</v>
      </c>
      <c r="AY15" s="3" t="s">
        <v>262</v>
      </c>
      <c r="AZ15" s="3" t="s">
        <v>74</v>
      </c>
      <c r="BB15" s="3" t="s">
        <v>263</v>
      </c>
      <c r="BC15" s="3" t="s">
        <v>264</v>
      </c>
      <c r="BD15" s="3" t="s">
        <v>265</v>
      </c>
    </row>
    <row r="16" spans="1:56" ht="40.5" customHeight="1" x14ac:dyDescent="0.25">
      <c r="A16" s="8" t="s">
        <v>58</v>
      </c>
      <c r="B16" s="2" t="s">
        <v>266</v>
      </c>
      <c r="C16" s="2" t="s">
        <v>267</v>
      </c>
      <c r="D16" s="2" t="s">
        <v>268</v>
      </c>
      <c r="F16" s="3" t="s">
        <v>58</v>
      </c>
      <c r="G16" s="3" t="s">
        <v>59</v>
      </c>
      <c r="H16" s="3" t="s">
        <v>58</v>
      </c>
      <c r="I16" s="3" t="s">
        <v>69</v>
      </c>
      <c r="J16" s="3" t="s">
        <v>60</v>
      </c>
      <c r="L16" s="2" t="s">
        <v>269</v>
      </c>
      <c r="M16" s="3" t="s">
        <v>270</v>
      </c>
      <c r="N16" s="2" t="s">
        <v>271</v>
      </c>
      <c r="O16" s="3" t="s">
        <v>64</v>
      </c>
      <c r="P16" s="3" t="s">
        <v>172</v>
      </c>
      <c r="R16" s="3" t="s">
        <v>66</v>
      </c>
      <c r="S16" s="4">
        <v>35</v>
      </c>
      <c r="T16" s="4">
        <v>35</v>
      </c>
      <c r="U16" s="5" t="s">
        <v>272</v>
      </c>
      <c r="V16" s="5" t="s">
        <v>272</v>
      </c>
      <c r="W16" s="5" t="s">
        <v>273</v>
      </c>
      <c r="X16" s="5" t="s">
        <v>273</v>
      </c>
      <c r="Y16" s="4">
        <v>390</v>
      </c>
      <c r="Z16" s="4">
        <v>236</v>
      </c>
      <c r="AA16" s="4">
        <v>593</v>
      </c>
      <c r="AB16" s="4">
        <v>3</v>
      </c>
      <c r="AC16" s="4">
        <v>4</v>
      </c>
      <c r="AD16" s="4">
        <v>9</v>
      </c>
      <c r="AE16" s="4">
        <v>23</v>
      </c>
      <c r="AF16" s="4">
        <v>3</v>
      </c>
      <c r="AG16" s="4">
        <v>8</v>
      </c>
      <c r="AH16" s="4">
        <v>1</v>
      </c>
      <c r="AI16" s="4">
        <v>5</v>
      </c>
      <c r="AJ16" s="4">
        <v>4</v>
      </c>
      <c r="AK16" s="4">
        <v>10</v>
      </c>
      <c r="AL16" s="4">
        <v>2</v>
      </c>
      <c r="AM16" s="4">
        <v>3</v>
      </c>
      <c r="AN16" s="4">
        <v>0</v>
      </c>
      <c r="AO16" s="4">
        <v>0</v>
      </c>
      <c r="AP16" s="3" t="s">
        <v>58</v>
      </c>
      <c r="AQ16" s="3" t="s">
        <v>58</v>
      </c>
      <c r="AS16" s="6" t="str">
        <f>HYPERLINK("https://creighton-primo.hosted.exlibrisgroup.com/primo-explore/search?tab=default_tab&amp;search_scope=EVERYTHING&amp;vid=01CRU&amp;lang=en_US&amp;offset=0&amp;query=any,contains,991002629009702656","Catalog Record")</f>
        <v>Catalog Record</v>
      </c>
      <c r="AT16" s="6" t="str">
        <f>HYPERLINK("http://www.worldcat.org/oclc/34473520","WorldCat Record")</f>
        <v>WorldCat Record</v>
      </c>
      <c r="AU16" s="3" t="s">
        <v>259</v>
      </c>
      <c r="AV16" s="3" t="s">
        <v>274</v>
      </c>
      <c r="AW16" s="3" t="s">
        <v>275</v>
      </c>
      <c r="AX16" s="3" t="s">
        <v>275</v>
      </c>
      <c r="AY16" s="3" t="s">
        <v>276</v>
      </c>
      <c r="AZ16" s="3" t="s">
        <v>74</v>
      </c>
      <c r="BB16" s="3" t="s">
        <v>277</v>
      </c>
      <c r="BC16" s="3" t="s">
        <v>278</v>
      </c>
      <c r="BD16" s="3" t="s">
        <v>279</v>
      </c>
    </row>
    <row r="17" spans="1:56" ht="40.5" customHeight="1" x14ac:dyDescent="0.25">
      <c r="A17" s="8" t="s">
        <v>58</v>
      </c>
      <c r="B17" s="2" t="s">
        <v>280</v>
      </c>
      <c r="C17" s="2" t="s">
        <v>281</v>
      </c>
      <c r="D17" s="2" t="s">
        <v>282</v>
      </c>
      <c r="F17" s="3" t="s">
        <v>58</v>
      </c>
      <c r="G17" s="3" t="s">
        <v>59</v>
      </c>
      <c r="H17" s="3" t="s">
        <v>58</v>
      </c>
      <c r="I17" s="3" t="s">
        <v>69</v>
      </c>
      <c r="J17" s="3" t="s">
        <v>60</v>
      </c>
      <c r="K17" s="2" t="s">
        <v>283</v>
      </c>
      <c r="L17" s="2" t="s">
        <v>284</v>
      </c>
      <c r="M17" s="3" t="s">
        <v>285</v>
      </c>
      <c r="O17" s="3" t="s">
        <v>64</v>
      </c>
      <c r="P17" s="3" t="s">
        <v>83</v>
      </c>
      <c r="R17" s="3" t="s">
        <v>66</v>
      </c>
      <c r="S17" s="4">
        <v>6</v>
      </c>
      <c r="T17" s="4">
        <v>6</v>
      </c>
      <c r="U17" s="5" t="s">
        <v>286</v>
      </c>
      <c r="V17" s="5" t="s">
        <v>286</v>
      </c>
      <c r="W17" s="5" t="s">
        <v>287</v>
      </c>
      <c r="X17" s="5" t="s">
        <v>287</v>
      </c>
      <c r="Y17" s="4">
        <v>272</v>
      </c>
      <c r="Z17" s="4">
        <v>168</v>
      </c>
      <c r="AA17" s="4">
        <v>312</v>
      </c>
      <c r="AB17" s="4">
        <v>2</v>
      </c>
      <c r="AC17" s="4">
        <v>4</v>
      </c>
      <c r="AD17" s="4">
        <v>5</v>
      </c>
      <c r="AE17" s="4">
        <v>12</v>
      </c>
      <c r="AF17" s="4">
        <v>2</v>
      </c>
      <c r="AG17" s="4">
        <v>4</v>
      </c>
      <c r="AH17" s="4">
        <v>1</v>
      </c>
      <c r="AI17" s="4">
        <v>3</v>
      </c>
      <c r="AJ17" s="4">
        <v>3</v>
      </c>
      <c r="AK17" s="4">
        <v>5</v>
      </c>
      <c r="AL17" s="4">
        <v>1</v>
      </c>
      <c r="AM17" s="4">
        <v>3</v>
      </c>
      <c r="AN17" s="4">
        <v>0</v>
      </c>
      <c r="AO17" s="4">
        <v>0</v>
      </c>
      <c r="AP17" s="3" t="s">
        <v>58</v>
      </c>
      <c r="AQ17" s="3" t="s">
        <v>69</v>
      </c>
      <c r="AR17" s="6" t="str">
        <f>HYPERLINK("http://catalog.hathitrust.org/Record/002912343","HathiTrust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HYPERLINK("https://creighton-primo.hosted.exlibrisgroup.com/primo-explore/search?tab=default_tab&amp;search_scope=EVERYTHING&amp;vid=01CRU&amp;lang=en_US&amp;offset=0&amp;query=any,contains,991002360559702656","Catalog Record")</f>
        <v>Catalog Record</v>
      </c>
      <c r="AT17" s="6" t="str">
        <f>HYPERLINK("http://www.worldcat.org/oclc/30701100","WorldCat Record")</f>
        <v>WorldCat Record</v>
      </c>
      <c r="AU17" s="3" t="s">
        <v>288</v>
      </c>
      <c r="AV17" s="3" t="s">
        <v>289</v>
      </c>
      <c r="AW17" s="3" t="s">
        <v>290</v>
      </c>
      <c r="AX17" s="3" t="s">
        <v>290</v>
      </c>
      <c r="AY17" s="3" t="s">
        <v>291</v>
      </c>
      <c r="AZ17" s="3" t="s">
        <v>74</v>
      </c>
      <c r="BB17" s="3" t="s">
        <v>292</v>
      </c>
      <c r="BC17" s="3" t="s">
        <v>293</v>
      </c>
      <c r="BD17" s="3" t="s">
        <v>294</v>
      </c>
    </row>
    <row r="18" spans="1:56" ht="40.5" customHeight="1" x14ac:dyDescent="0.25">
      <c r="A18" s="8" t="s">
        <v>58</v>
      </c>
      <c r="B18" s="2" t="s">
        <v>295</v>
      </c>
      <c r="C18" s="2" t="s">
        <v>296</v>
      </c>
      <c r="D18" s="2" t="s">
        <v>297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298</v>
      </c>
      <c r="L18" s="2" t="s">
        <v>299</v>
      </c>
      <c r="M18" s="3" t="s">
        <v>300</v>
      </c>
      <c r="N18" s="2" t="s">
        <v>301</v>
      </c>
      <c r="O18" s="3" t="s">
        <v>64</v>
      </c>
      <c r="P18" s="3" t="s">
        <v>83</v>
      </c>
      <c r="R18" s="3" t="s">
        <v>66</v>
      </c>
      <c r="S18" s="4">
        <v>2</v>
      </c>
      <c r="T18" s="4">
        <v>2</v>
      </c>
      <c r="U18" s="5" t="s">
        <v>302</v>
      </c>
      <c r="V18" s="5" t="s">
        <v>302</v>
      </c>
      <c r="W18" s="5" t="s">
        <v>100</v>
      </c>
      <c r="X18" s="5" t="s">
        <v>100</v>
      </c>
      <c r="Y18" s="4">
        <v>193</v>
      </c>
      <c r="Z18" s="4">
        <v>146</v>
      </c>
      <c r="AA18" s="4">
        <v>294</v>
      </c>
      <c r="AB18" s="4">
        <v>2</v>
      </c>
      <c r="AC18" s="4">
        <v>2</v>
      </c>
      <c r="AD18" s="4">
        <v>8</v>
      </c>
      <c r="AE18" s="4">
        <v>12</v>
      </c>
      <c r="AF18" s="4">
        <v>2</v>
      </c>
      <c r="AG18" s="4">
        <v>5</v>
      </c>
      <c r="AH18" s="4">
        <v>2</v>
      </c>
      <c r="AI18" s="4">
        <v>3</v>
      </c>
      <c r="AJ18" s="4">
        <v>4</v>
      </c>
      <c r="AK18" s="4">
        <v>6</v>
      </c>
      <c r="AL18" s="4">
        <v>1</v>
      </c>
      <c r="AM18" s="4">
        <v>1</v>
      </c>
      <c r="AN18" s="4">
        <v>0</v>
      </c>
      <c r="AO18" s="4">
        <v>0</v>
      </c>
      <c r="AP18" s="3" t="s">
        <v>58</v>
      </c>
      <c r="AQ18" s="3" t="s">
        <v>69</v>
      </c>
      <c r="AR18" s="6" t="str">
        <f>HYPERLINK("http://catalog.hathitrust.org/Record/001556483","HathiTrust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HYPERLINK("https://creighton-primo.hosted.exlibrisgroup.com/primo-explore/search?tab=default_tab&amp;search_scope=EVERYTHING&amp;vid=01CRU&amp;lang=en_US&amp;offset=0&amp;query=any,contains,991003822029702656","Catalog Record")</f>
        <v>Catalog Record</v>
      </c>
      <c r="AT18" s="6" t="str">
        <f>HYPERLINK("http://www.worldcat.org/oclc/1561297","WorldCat Record")</f>
        <v>WorldCat Record</v>
      </c>
      <c r="AU18" s="3" t="s">
        <v>303</v>
      </c>
      <c r="AV18" s="3" t="s">
        <v>304</v>
      </c>
      <c r="AW18" s="3" t="s">
        <v>305</v>
      </c>
      <c r="AX18" s="3" t="s">
        <v>305</v>
      </c>
      <c r="AY18" s="3" t="s">
        <v>306</v>
      </c>
      <c r="AZ18" s="3" t="s">
        <v>74</v>
      </c>
      <c r="BC18" s="3" t="s">
        <v>307</v>
      </c>
      <c r="BD18" s="3" t="s">
        <v>308</v>
      </c>
    </row>
    <row r="19" spans="1:56" ht="40.5" customHeight="1" x14ac:dyDescent="0.25">
      <c r="A19" s="8" t="s">
        <v>58</v>
      </c>
      <c r="B19" s="2" t="s">
        <v>309</v>
      </c>
      <c r="C19" s="2" t="s">
        <v>310</v>
      </c>
      <c r="D19" s="2" t="s">
        <v>311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312</v>
      </c>
      <c r="L19" s="2" t="s">
        <v>313</v>
      </c>
      <c r="M19" s="3" t="s">
        <v>314</v>
      </c>
      <c r="O19" s="3" t="s">
        <v>64</v>
      </c>
      <c r="P19" s="3" t="s">
        <v>83</v>
      </c>
      <c r="R19" s="3" t="s">
        <v>66</v>
      </c>
      <c r="S19" s="4">
        <v>5</v>
      </c>
      <c r="T19" s="4">
        <v>5</v>
      </c>
      <c r="U19" s="5" t="s">
        <v>315</v>
      </c>
      <c r="V19" s="5" t="s">
        <v>315</v>
      </c>
      <c r="W19" s="5" t="s">
        <v>316</v>
      </c>
      <c r="X19" s="5" t="s">
        <v>316</v>
      </c>
      <c r="Y19" s="4">
        <v>247</v>
      </c>
      <c r="Z19" s="4">
        <v>196</v>
      </c>
      <c r="AA19" s="4">
        <v>207</v>
      </c>
      <c r="AB19" s="4">
        <v>2</v>
      </c>
      <c r="AC19" s="4">
        <v>2</v>
      </c>
      <c r="AD19" s="4">
        <v>10</v>
      </c>
      <c r="AE19" s="4">
        <v>10</v>
      </c>
      <c r="AF19" s="4">
        <v>2</v>
      </c>
      <c r="AG19" s="4">
        <v>2</v>
      </c>
      <c r="AH19" s="4">
        <v>3</v>
      </c>
      <c r="AI19" s="4">
        <v>3</v>
      </c>
      <c r="AJ19" s="4">
        <v>7</v>
      </c>
      <c r="AK19" s="4">
        <v>7</v>
      </c>
      <c r="AL19" s="4">
        <v>1</v>
      </c>
      <c r="AM19" s="4">
        <v>1</v>
      </c>
      <c r="AN19" s="4">
        <v>0</v>
      </c>
      <c r="AO19" s="4">
        <v>0</v>
      </c>
      <c r="AP19" s="3" t="s">
        <v>58</v>
      </c>
      <c r="AQ19" s="3" t="s">
        <v>69</v>
      </c>
      <c r="AR19" s="6" t="str">
        <f>HYPERLINK("http://catalog.hathitrust.org/Record/001556524","HathiTrust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HYPERLINK("https://creighton-primo.hosted.exlibrisgroup.com/primo-explore/search?tab=default_tab&amp;search_scope=EVERYTHING&amp;vid=01CRU&amp;lang=en_US&amp;offset=0&amp;query=any,contains,991005264509702656","Catalog Record")</f>
        <v>Catalog Record</v>
      </c>
      <c r="AT19" s="6" t="str">
        <f>HYPERLINK("http://www.worldcat.org/oclc/28360","WorldCat Record")</f>
        <v>WorldCat Record</v>
      </c>
      <c r="AU19" s="3" t="s">
        <v>317</v>
      </c>
      <c r="AV19" s="3" t="s">
        <v>318</v>
      </c>
      <c r="AW19" s="3" t="s">
        <v>319</v>
      </c>
      <c r="AX19" s="3" t="s">
        <v>319</v>
      </c>
      <c r="AY19" s="3" t="s">
        <v>320</v>
      </c>
      <c r="AZ19" s="3" t="s">
        <v>74</v>
      </c>
      <c r="BB19" s="3" t="s">
        <v>321</v>
      </c>
      <c r="BC19" s="3" t="s">
        <v>322</v>
      </c>
      <c r="BD19" s="3" t="s">
        <v>323</v>
      </c>
    </row>
    <row r="20" spans="1:56" ht="40.5" customHeight="1" x14ac:dyDescent="0.25">
      <c r="A20" s="8" t="s">
        <v>58</v>
      </c>
      <c r="B20" s="2" t="s">
        <v>324</v>
      </c>
      <c r="C20" s="2" t="s">
        <v>325</v>
      </c>
      <c r="D20" s="2" t="s">
        <v>326</v>
      </c>
      <c r="F20" s="3" t="s">
        <v>58</v>
      </c>
      <c r="G20" s="3" t="s">
        <v>59</v>
      </c>
      <c r="H20" s="3" t="s">
        <v>69</v>
      </c>
      <c r="I20" s="3" t="s">
        <v>58</v>
      </c>
      <c r="J20" s="3" t="s">
        <v>60</v>
      </c>
      <c r="K20" s="2" t="s">
        <v>327</v>
      </c>
      <c r="L20" s="2" t="s">
        <v>328</v>
      </c>
      <c r="M20" s="3" t="s">
        <v>314</v>
      </c>
      <c r="O20" s="3" t="s">
        <v>64</v>
      </c>
      <c r="P20" s="3" t="s">
        <v>113</v>
      </c>
      <c r="Q20" s="2" t="s">
        <v>329</v>
      </c>
      <c r="R20" s="3" t="s">
        <v>66</v>
      </c>
      <c r="S20" s="4">
        <v>1</v>
      </c>
      <c r="T20" s="4">
        <v>3</v>
      </c>
      <c r="U20" s="5" t="s">
        <v>330</v>
      </c>
      <c r="V20" s="5" t="s">
        <v>330</v>
      </c>
      <c r="W20" s="5" t="s">
        <v>100</v>
      </c>
      <c r="X20" s="5" t="s">
        <v>100</v>
      </c>
      <c r="Y20" s="4">
        <v>157</v>
      </c>
      <c r="Z20" s="4">
        <v>114</v>
      </c>
      <c r="AA20" s="4">
        <v>114</v>
      </c>
      <c r="AB20" s="4">
        <v>2</v>
      </c>
      <c r="AC20" s="4">
        <v>2</v>
      </c>
      <c r="AD20" s="4">
        <v>3</v>
      </c>
      <c r="AE20" s="4">
        <v>3</v>
      </c>
      <c r="AF20" s="4">
        <v>2</v>
      </c>
      <c r="AG20" s="4">
        <v>2</v>
      </c>
      <c r="AH20" s="4">
        <v>0</v>
      </c>
      <c r="AI20" s="4">
        <v>0</v>
      </c>
      <c r="AJ20" s="4">
        <v>2</v>
      </c>
      <c r="AK20" s="4">
        <v>2</v>
      </c>
      <c r="AL20" s="4">
        <v>0</v>
      </c>
      <c r="AM20" s="4">
        <v>0</v>
      </c>
      <c r="AN20" s="4">
        <v>0</v>
      </c>
      <c r="AO20" s="4">
        <v>0</v>
      </c>
      <c r="AP20" s="3" t="s">
        <v>58</v>
      </c>
      <c r="AQ20" s="3" t="s">
        <v>58</v>
      </c>
      <c r="AS20" s="6" t="str">
        <f>HYPERLINK("https://creighton-primo.hosted.exlibrisgroup.com/primo-explore/search?tab=default_tab&amp;search_scope=EVERYTHING&amp;vid=01CRU&amp;lang=en_US&amp;offset=0&amp;query=any,contains,991001785789702656","Catalog Record")</f>
        <v>Catalog Record</v>
      </c>
      <c r="AT20" s="6" t="str">
        <f>HYPERLINK("http://www.worldcat.org/oclc/204389","WorldCat Record")</f>
        <v>WorldCat Record</v>
      </c>
      <c r="AU20" s="3" t="s">
        <v>331</v>
      </c>
      <c r="AV20" s="3" t="s">
        <v>332</v>
      </c>
      <c r="AW20" s="3" t="s">
        <v>333</v>
      </c>
      <c r="AX20" s="3" t="s">
        <v>333</v>
      </c>
      <c r="AY20" s="3" t="s">
        <v>334</v>
      </c>
      <c r="AZ20" s="3" t="s">
        <v>74</v>
      </c>
      <c r="BB20" s="3" t="s">
        <v>335</v>
      </c>
      <c r="BC20" s="3" t="s">
        <v>336</v>
      </c>
      <c r="BD20" s="3" t="s">
        <v>337</v>
      </c>
    </row>
    <row r="21" spans="1:56" ht="40.5" customHeight="1" x14ac:dyDescent="0.25">
      <c r="A21" s="8" t="s">
        <v>58</v>
      </c>
      <c r="B21" s="2" t="s">
        <v>338</v>
      </c>
      <c r="C21" s="2" t="s">
        <v>339</v>
      </c>
      <c r="D21" s="2" t="s">
        <v>340</v>
      </c>
      <c r="F21" s="3" t="s">
        <v>58</v>
      </c>
      <c r="G21" s="3" t="s">
        <v>59</v>
      </c>
      <c r="H21" s="3" t="s">
        <v>69</v>
      </c>
      <c r="I21" s="3" t="s">
        <v>58</v>
      </c>
      <c r="J21" s="3" t="s">
        <v>60</v>
      </c>
      <c r="K21" s="2" t="s">
        <v>341</v>
      </c>
      <c r="L21" s="2" t="s">
        <v>342</v>
      </c>
      <c r="M21" s="3" t="s">
        <v>343</v>
      </c>
      <c r="O21" s="3" t="s">
        <v>64</v>
      </c>
      <c r="P21" s="3" t="s">
        <v>186</v>
      </c>
      <c r="Q21" s="2" t="s">
        <v>344</v>
      </c>
      <c r="R21" s="3" t="s">
        <v>66</v>
      </c>
      <c r="S21" s="4">
        <v>4</v>
      </c>
      <c r="T21" s="4">
        <v>6</v>
      </c>
      <c r="U21" s="5" t="s">
        <v>345</v>
      </c>
      <c r="V21" s="5" t="s">
        <v>345</v>
      </c>
      <c r="W21" s="5" t="s">
        <v>100</v>
      </c>
      <c r="X21" s="5" t="s">
        <v>100</v>
      </c>
      <c r="Y21" s="4">
        <v>508</v>
      </c>
      <c r="Z21" s="4">
        <v>432</v>
      </c>
      <c r="AA21" s="4">
        <v>448</v>
      </c>
      <c r="AB21" s="4">
        <v>6</v>
      </c>
      <c r="AC21" s="4">
        <v>6</v>
      </c>
      <c r="AD21" s="4">
        <v>17</v>
      </c>
      <c r="AE21" s="4">
        <v>18</v>
      </c>
      <c r="AF21" s="4">
        <v>5</v>
      </c>
      <c r="AG21" s="4">
        <v>5</v>
      </c>
      <c r="AH21" s="4">
        <v>2</v>
      </c>
      <c r="AI21" s="4">
        <v>3</v>
      </c>
      <c r="AJ21" s="4">
        <v>11</v>
      </c>
      <c r="AK21" s="4">
        <v>11</v>
      </c>
      <c r="AL21" s="4">
        <v>4</v>
      </c>
      <c r="AM21" s="4">
        <v>4</v>
      </c>
      <c r="AN21" s="4">
        <v>0</v>
      </c>
      <c r="AO21" s="4">
        <v>0</v>
      </c>
      <c r="AP21" s="3" t="s">
        <v>58</v>
      </c>
      <c r="AQ21" s="3" t="s">
        <v>69</v>
      </c>
      <c r="AR21" s="6" t="str">
        <f>HYPERLINK("http://catalog.hathitrust.org/Record/001556544","HathiTrust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HYPERLINK("https://creighton-primo.hosted.exlibrisgroup.com/primo-explore/search?tab=default_tab&amp;search_scope=EVERYTHING&amp;vid=01CRU&amp;lang=en_US&amp;offset=0&amp;query=any,contains,991001779929702656","Catalog Record")</f>
        <v>Catalog Record</v>
      </c>
      <c r="AT21" s="6" t="str">
        <f>HYPERLINK("http://www.worldcat.org/oclc/326252","WorldCat Record")</f>
        <v>WorldCat Record</v>
      </c>
      <c r="AU21" s="3" t="s">
        <v>346</v>
      </c>
      <c r="AV21" s="3" t="s">
        <v>347</v>
      </c>
      <c r="AW21" s="3" t="s">
        <v>348</v>
      </c>
      <c r="AX21" s="3" t="s">
        <v>348</v>
      </c>
      <c r="AY21" s="3" t="s">
        <v>349</v>
      </c>
      <c r="AZ21" s="3" t="s">
        <v>74</v>
      </c>
      <c r="BC21" s="3" t="s">
        <v>350</v>
      </c>
      <c r="BD21" s="3" t="s">
        <v>351</v>
      </c>
    </row>
    <row r="22" spans="1:56" ht="40.5" customHeight="1" x14ac:dyDescent="0.25">
      <c r="A22" s="8" t="s">
        <v>58</v>
      </c>
      <c r="B22" s="2" t="s">
        <v>352</v>
      </c>
      <c r="C22" s="2" t="s">
        <v>353</v>
      </c>
      <c r="D22" s="2" t="s">
        <v>354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355</v>
      </c>
      <c r="L22" s="2" t="s">
        <v>356</v>
      </c>
      <c r="M22" s="3" t="s">
        <v>357</v>
      </c>
      <c r="O22" s="3" t="s">
        <v>64</v>
      </c>
      <c r="P22" s="3" t="s">
        <v>83</v>
      </c>
      <c r="R22" s="3" t="s">
        <v>66</v>
      </c>
      <c r="S22" s="4">
        <v>5</v>
      </c>
      <c r="T22" s="4">
        <v>5</v>
      </c>
      <c r="U22" s="5" t="s">
        <v>358</v>
      </c>
      <c r="V22" s="5" t="s">
        <v>358</v>
      </c>
      <c r="W22" s="5" t="s">
        <v>359</v>
      </c>
      <c r="X22" s="5" t="s">
        <v>359</v>
      </c>
      <c r="Y22" s="4">
        <v>348</v>
      </c>
      <c r="Z22" s="4">
        <v>274</v>
      </c>
      <c r="AA22" s="4">
        <v>281</v>
      </c>
      <c r="AB22" s="4">
        <v>3</v>
      </c>
      <c r="AC22" s="4">
        <v>3</v>
      </c>
      <c r="AD22" s="4">
        <v>9</v>
      </c>
      <c r="AE22" s="4">
        <v>9</v>
      </c>
      <c r="AF22" s="4">
        <v>3</v>
      </c>
      <c r="AG22" s="4">
        <v>3</v>
      </c>
      <c r="AH22" s="4">
        <v>2</v>
      </c>
      <c r="AI22" s="4">
        <v>2</v>
      </c>
      <c r="AJ22" s="4">
        <v>5</v>
      </c>
      <c r="AK22" s="4">
        <v>5</v>
      </c>
      <c r="AL22" s="4">
        <v>2</v>
      </c>
      <c r="AM22" s="4">
        <v>2</v>
      </c>
      <c r="AN22" s="4">
        <v>0</v>
      </c>
      <c r="AO22" s="4">
        <v>0</v>
      </c>
      <c r="AP22" s="3" t="s">
        <v>69</v>
      </c>
      <c r="AQ22" s="3" t="s">
        <v>58</v>
      </c>
      <c r="AR22" s="6" t="str">
        <f>HYPERLINK("http://catalog.hathitrust.org/Record/001577063","HathiTrust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HYPERLINK("https://creighton-primo.hosted.exlibrisgroup.com/primo-explore/search?tab=default_tab&amp;search_scope=EVERYTHING&amp;vid=01CRU&amp;lang=en_US&amp;offset=0&amp;query=any,contains,991002990409702656","Catalog Record")</f>
        <v>Catalog Record</v>
      </c>
      <c r="AT22" s="6" t="str">
        <f>HYPERLINK("http://www.worldcat.org/oclc/560310","WorldCat Record")</f>
        <v>WorldCat Record</v>
      </c>
      <c r="AU22" s="3" t="s">
        <v>360</v>
      </c>
      <c r="AV22" s="3" t="s">
        <v>361</v>
      </c>
      <c r="AW22" s="3" t="s">
        <v>362</v>
      </c>
      <c r="AX22" s="3" t="s">
        <v>362</v>
      </c>
      <c r="AY22" s="3" t="s">
        <v>363</v>
      </c>
      <c r="AZ22" s="3" t="s">
        <v>74</v>
      </c>
      <c r="BC22" s="3" t="s">
        <v>364</v>
      </c>
      <c r="BD22" s="3" t="s">
        <v>365</v>
      </c>
    </row>
    <row r="23" spans="1:56" ht="40.5" customHeight="1" x14ac:dyDescent="0.25">
      <c r="A23" s="8" t="s">
        <v>58</v>
      </c>
      <c r="B23" s="2" t="s">
        <v>366</v>
      </c>
      <c r="C23" s="2" t="s">
        <v>367</v>
      </c>
      <c r="D23" s="2" t="s">
        <v>368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369</v>
      </c>
      <c r="L23" s="2" t="s">
        <v>370</v>
      </c>
      <c r="M23" s="3" t="s">
        <v>258</v>
      </c>
      <c r="O23" s="3" t="s">
        <v>64</v>
      </c>
      <c r="P23" s="3" t="s">
        <v>113</v>
      </c>
      <c r="R23" s="3" t="s">
        <v>66</v>
      </c>
      <c r="S23" s="4">
        <v>12</v>
      </c>
      <c r="T23" s="4">
        <v>12</v>
      </c>
      <c r="U23" s="5" t="s">
        <v>371</v>
      </c>
      <c r="V23" s="5" t="s">
        <v>371</v>
      </c>
      <c r="W23" s="5" t="s">
        <v>372</v>
      </c>
      <c r="X23" s="5" t="s">
        <v>372</v>
      </c>
      <c r="Y23" s="4">
        <v>50</v>
      </c>
      <c r="Z23" s="4">
        <v>12</v>
      </c>
      <c r="AA23" s="4">
        <v>15</v>
      </c>
      <c r="AB23" s="4">
        <v>1</v>
      </c>
      <c r="AC23" s="4">
        <v>1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3" t="s">
        <v>58</v>
      </c>
      <c r="AQ23" s="3" t="s">
        <v>58</v>
      </c>
      <c r="AS23" s="6" t="str">
        <f>HYPERLINK("https://creighton-primo.hosted.exlibrisgroup.com/primo-explore/search?tab=default_tab&amp;search_scope=EVERYTHING&amp;vid=01CRU&amp;lang=en_US&amp;offset=0&amp;query=any,contains,991001573009702656","Catalog Record")</f>
        <v>Catalog Record</v>
      </c>
      <c r="AT23" s="6" t="str">
        <f>HYPERLINK("http://www.worldcat.org/oclc/20416680","WorldCat Record")</f>
        <v>WorldCat Record</v>
      </c>
      <c r="AU23" s="3" t="s">
        <v>373</v>
      </c>
      <c r="AV23" s="3" t="s">
        <v>374</v>
      </c>
      <c r="AW23" s="3" t="s">
        <v>375</v>
      </c>
      <c r="AX23" s="3" t="s">
        <v>375</v>
      </c>
      <c r="AY23" s="3" t="s">
        <v>376</v>
      </c>
      <c r="AZ23" s="3" t="s">
        <v>74</v>
      </c>
      <c r="BB23" s="3" t="s">
        <v>377</v>
      </c>
      <c r="BC23" s="3" t="s">
        <v>378</v>
      </c>
      <c r="BD23" s="3" t="s">
        <v>379</v>
      </c>
    </row>
    <row r="24" spans="1:56" ht="40.5" customHeight="1" x14ac:dyDescent="0.25">
      <c r="A24" s="8" t="s">
        <v>58</v>
      </c>
      <c r="B24" s="2" t="s">
        <v>380</v>
      </c>
      <c r="C24" s="2" t="s">
        <v>381</v>
      </c>
      <c r="D24" s="2" t="s">
        <v>382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383</v>
      </c>
      <c r="L24" s="2" t="s">
        <v>384</v>
      </c>
      <c r="M24" s="3" t="s">
        <v>385</v>
      </c>
      <c r="O24" s="3" t="s">
        <v>64</v>
      </c>
      <c r="P24" s="3" t="s">
        <v>83</v>
      </c>
      <c r="R24" s="3" t="s">
        <v>66</v>
      </c>
      <c r="S24" s="4">
        <v>2</v>
      </c>
      <c r="T24" s="4">
        <v>2</v>
      </c>
      <c r="U24" s="5" t="s">
        <v>386</v>
      </c>
      <c r="V24" s="5" t="s">
        <v>386</v>
      </c>
      <c r="W24" s="5" t="s">
        <v>359</v>
      </c>
      <c r="X24" s="5" t="s">
        <v>359</v>
      </c>
      <c r="Y24" s="4">
        <v>153</v>
      </c>
      <c r="Z24" s="4">
        <v>142</v>
      </c>
      <c r="AA24" s="4">
        <v>318</v>
      </c>
      <c r="AB24" s="4">
        <v>1</v>
      </c>
      <c r="AC24" s="4">
        <v>2</v>
      </c>
      <c r="AD24" s="4">
        <v>3</v>
      </c>
      <c r="AE24" s="4">
        <v>11</v>
      </c>
      <c r="AF24" s="4">
        <v>1</v>
      </c>
      <c r="AG24" s="4">
        <v>4</v>
      </c>
      <c r="AH24" s="4">
        <v>2</v>
      </c>
      <c r="AI24" s="4">
        <v>2</v>
      </c>
      <c r="AJ24" s="4">
        <v>1</v>
      </c>
      <c r="AK24" s="4">
        <v>7</v>
      </c>
      <c r="AL24" s="4">
        <v>0</v>
      </c>
      <c r="AM24" s="4">
        <v>1</v>
      </c>
      <c r="AN24" s="4">
        <v>0</v>
      </c>
      <c r="AO24" s="4">
        <v>0</v>
      </c>
      <c r="AP24" s="3" t="s">
        <v>58</v>
      </c>
      <c r="AQ24" s="3" t="s">
        <v>69</v>
      </c>
      <c r="AR24" s="6" t="str">
        <f>HYPERLINK("http://catalog.hathitrust.org/Record/005710052","HathiTrust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HYPERLINK("https://creighton-primo.hosted.exlibrisgroup.com/primo-explore/search?tab=default_tab&amp;search_scope=EVERYTHING&amp;vid=01CRU&amp;lang=en_US&amp;offset=0&amp;query=any,contains,991004371059702656","Catalog Record")</f>
        <v>Catalog Record</v>
      </c>
      <c r="AT24" s="6" t="str">
        <f>HYPERLINK("http://www.worldcat.org/oclc/3190507","WorldCat Record")</f>
        <v>WorldCat Record</v>
      </c>
      <c r="AU24" s="3" t="s">
        <v>387</v>
      </c>
      <c r="AV24" s="3" t="s">
        <v>388</v>
      </c>
      <c r="AW24" s="3" t="s">
        <v>389</v>
      </c>
      <c r="AX24" s="3" t="s">
        <v>389</v>
      </c>
      <c r="AY24" s="3" t="s">
        <v>390</v>
      </c>
      <c r="AZ24" s="3" t="s">
        <v>74</v>
      </c>
      <c r="BC24" s="3" t="s">
        <v>391</v>
      </c>
      <c r="BD24" s="3" t="s">
        <v>392</v>
      </c>
    </row>
    <row r="25" spans="1:56" ht="40.5" customHeight="1" x14ac:dyDescent="0.25">
      <c r="A25" s="8" t="s">
        <v>58</v>
      </c>
      <c r="B25" s="2" t="s">
        <v>393</v>
      </c>
      <c r="C25" s="2" t="s">
        <v>394</v>
      </c>
      <c r="D25" s="2" t="s">
        <v>395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396</v>
      </c>
      <c r="L25" s="2" t="s">
        <v>397</v>
      </c>
      <c r="M25" s="3" t="s">
        <v>398</v>
      </c>
      <c r="N25" s="2" t="s">
        <v>399</v>
      </c>
      <c r="O25" s="3" t="s">
        <v>64</v>
      </c>
      <c r="P25" s="3" t="s">
        <v>400</v>
      </c>
      <c r="R25" s="3" t="s">
        <v>66</v>
      </c>
      <c r="S25" s="4">
        <v>1</v>
      </c>
      <c r="T25" s="4">
        <v>1</v>
      </c>
      <c r="U25" s="5" t="s">
        <v>401</v>
      </c>
      <c r="V25" s="5" t="s">
        <v>401</v>
      </c>
      <c r="W25" s="5" t="s">
        <v>100</v>
      </c>
      <c r="X25" s="5" t="s">
        <v>100</v>
      </c>
      <c r="Y25" s="4">
        <v>121</v>
      </c>
      <c r="Z25" s="4">
        <v>108</v>
      </c>
      <c r="AA25" s="4">
        <v>118</v>
      </c>
      <c r="AB25" s="4">
        <v>2</v>
      </c>
      <c r="AC25" s="4">
        <v>2</v>
      </c>
      <c r="AD25" s="4">
        <v>4</v>
      </c>
      <c r="AE25" s="4">
        <v>4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0</v>
      </c>
      <c r="AO25" s="4">
        <v>0</v>
      </c>
      <c r="AP25" s="3" t="s">
        <v>69</v>
      </c>
      <c r="AQ25" s="3" t="s">
        <v>58</v>
      </c>
      <c r="AR25" s="6" t="str">
        <f>HYPERLINK("http://catalog.hathitrust.org/Record/001556555","HathiTrust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HYPERLINK("https://creighton-primo.hosted.exlibrisgroup.com/primo-explore/search?tab=default_tab&amp;search_scope=EVERYTHING&amp;vid=01CRU&amp;lang=en_US&amp;offset=0&amp;query=any,contains,991003021479702656","Catalog Record")</f>
        <v>Catalog Record</v>
      </c>
      <c r="AT25" s="6" t="str">
        <f>HYPERLINK("http://www.worldcat.org/oclc/586303","WorldCat Record")</f>
        <v>WorldCat Record</v>
      </c>
      <c r="AU25" s="3" t="s">
        <v>402</v>
      </c>
      <c r="AV25" s="3" t="s">
        <v>403</v>
      </c>
      <c r="AW25" s="3" t="s">
        <v>404</v>
      </c>
      <c r="AX25" s="3" t="s">
        <v>404</v>
      </c>
      <c r="AY25" s="3" t="s">
        <v>405</v>
      </c>
      <c r="AZ25" s="3" t="s">
        <v>74</v>
      </c>
      <c r="BC25" s="3" t="s">
        <v>406</v>
      </c>
      <c r="BD25" s="3" t="s">
        <v>407</v>
      </c>
    </row>
    <row r="26" spans="1:56" ht="40.5" customHeight="1" x14ac:dyDescent="0.25">
      <c r="A26" s="8" t="s">
        <v>58</v>
      </c>
      <c r="B26" s="2" t="s">
        <v>408</v>
      </c>
      <c r="C26" s="2" t="s">
        <v>409</v>
      </c>
      <c r="D26" s="2" t="s">
        <v>410</v>
      </c>
      <c r="F26" s="3" t="s">
        <v>58</v>
      </c>
      <c r="G26" s="3" t="s">
        <v>59</v>
      </c>
      <c r="H26" s="3" t="s">
        <v>58</v>
      </c>
      <c r="I26" s="3" t="s">
        <v>69</v>
      </c>
      <c r="J26" s="3" t="s">
        <v>60</v>
      </c>
      <c r="K26" s="2" t="s">
        <v>411</v>
      </c>
      <c r="L26" s="2" t="s">
        <v>412</v>
      </c>
      <c r="M26" s="3" t="s">
        <v>270</v>
      </c>
      <c r="N26" s="2" t="s">
        <v>271</v>
      </c>
      <c r="O26" s="3" t="s">
        <v>64</v>
      </c>
      <c r="P26" s="3" t="s">
        <v>113</v>
      </c>
      <c r="R26" s="3" t="s">
        <v>66</v>
      </c>
      <c r="S26" s="4">
        <v>40</v>
      </c>
      <c r="T26" s="4">
        <v>40</v>
      </c>
      <c r="U26" s="5" t="s">
        <v>413</v>
      </c>
      <c r="V26" s="5" t="s">
        <v>413</v>
      </c>
      <c r="W26" s="5" t="s">
        <v>414</v>
      </c>
      <c r="X26" s="5" t="s">
        <v>414</v>
      </c>
      <c r="Y26" s="4">
        <v>240</v>
      </c>
      <c r="Z26" s="4">
        <v>144</v>
      </c>
      <c r="AA26" s="4">
        <v>801</v>
      </c>
      <c r="AB26" s="4">
        <v>1</v>
      </c>
      <c r="AC26" s="4">
        <v>5</v>
      </c>
      <c r="AD26" s="4">
        <v>3</v>
      </c>
      <c r="AE26" s="4">
        <v>33</v>
      </c>
      <c r="AF26" s="4">
        <v>1</v>
      </c>
      <c r="AG26" s="4">
        <v>13</v>
      </c>
      <c r="AH26" s="4">
        <v>1</v>
      </c>
      <c r="AI26" s="4">
        <v>8</v>
      </c>
      <c r="AJ26" s="4">
        <v>3</v>
      </c>
      <c r="AK26" s="4">
        <v>17</v>
      </c>
      <c r="AL26" s="4">
        <v>0</v>
      </c>
      <c r="AM26" s="4">
        <v>3</v>
      </c>
      <c r="AN26" s="4">
        <v>0</v>
      </c>
      <c r="AO26" s="4">
        <v>0</v>
      </c>
      <c r="AP26" s="3" t="s">
        <v>58</v>
      </c>
      <c r="AQ26" s="3" t="s">
        <v>69</v>
      </c>
      <c r="AR26" s="6" t="str">
        <f>HYPERLINK("http://catalog.hathitrust.org/Record/003153792","HathiTrust Record")</f>
        <v>HathiTrust Record</v>
      </c>
      <c r="AS26" s="6" t="str">
        <f>HYPERLINK("https://creighton-primo.hosted.exlibrisgroup.com/primo-explore/search?tab=default_tab&amp;search_scope=EVERYTHING&amp;vid=01CRU&amp;lang=en_US&amp;offset=0&amp;query=any,contains,991005254889702656","Catalog Record")</f>
        <v>Catalog Record</v>
      </c>
      <c r="AT26" s="6" t="str">
        <f>HYPERLINK("http://www.worldcat.org/oclc/33819665","WorldCat Record")</f>
        <v>WorldCat Record</v>
      </c>
      <c r="AU26" s="3" t="s">
        <v>415</v>
      </c>
      <c r="AV26" s="3" t="s">
        <v>416</v>
      </c>
      <c r="AW26" s="3" t="s">
        <v>417</v>
      </c>
      <c r="AX26" s="3" t="s">
        <v>417</v>
      </c>
      <c r="AY26" s="3" t="s">
        <v>418</v>
      </c>
      <c r="AZ26" s="3" t="s">
        <v>74</v>
      </c>
      <c r="BB26" s="3" t="s">
        <v>419</v>
      </c>
      <c r="BC26" s="3" t="s">
        <v>420</v>
      </c>
      <c r="BD26" s="3" t="s">
        <v>421</v>
      </c>
    </row>
    <row r="27" spans="1:56" ht="40.5" customHeight="1" x14ac:dyDescent="0.25">
      <c r="A27" s="8" t="s">
        <v>58</v>
      </c>
      <c r="B27" s="2" t="s">
        <v>422</v>
      </c>
      <c r="C27" s="2" t="s">
        <v>423</v>
      </c>
      <c r="D27" s="2" t="s">
        <v>424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425</v>
      </c>
      <c r="L27" s="2" t="s">
        <v>426</v>
      </c>
      <c r="M27" s="3" t="s">
        <v>126</v>
      </c>
      <c r="O27" s="3" t="s">
        <v>64</v>
      </c>
      <c r="P27" s="3" t="s">
        <v>113</v>
      </c>
      <c r="Q27" s="2" t="s">
        <v>427</v>
      </c>
      <c r="R27" s="3" t="s">
        <v>66</v>
      </c>
      <c r="S27" s="4">
        <v>5</v>
      </c>
      <c r="T27" s="4">
        <v>5</v>
      </c>
      <c r="U27" s="5" t="s">
        <v>428</v>
      </c>
      <c r="V27" s="5" t="s">
        <v>428</v>
      </c>
      <c r="W27" s="5" t="s">
        <v>429</v>
      </c>
      <c r="X27" s="5" t="s">
        <v>429</v>
      </c>
      <c r="Y27" s="4">
        <v>305</v>
      </c>
      <c r="Z27" s="4">
        <v>215</v>
      </c>
      <c r="AA27" s="4">
        <v>237</v>
      </c>
      <c r="AB27" s="4">
        <v>2</v>
      </c>
      <c r="AC27" s="4">
        <v>2</v>
      </c>
      <c r="AD27" s="4">
        <v>11</v>
      </c>
      <c r="AE27" s="4">
        <v>11</v>
      </c>
      <c r="AF27" s="4">
        <v>3</v>
      </c>
      <c r="AG27" s="4">
        <v>3</v>
      </c>
      <c r="AH27" s="4">
        <v>5</v>
      </c>
      <c r="AI27" s="4">
        <v>5</v>
      </c>
      <c r="AJ27" s="4">
        <v>6</v>
      </c>
      <c r="AK27" s="4">
        <v>6</v>
      </c>
      <c r="AL27" s="4">
        <v>1</v>
      </c>
      <c r="AM27" s="4">
        <v>1</v>
      </c>
      <c r="AN27" s="4">
        <v>0</v>
      </c>
      <c r="AO27" s="4">
        <v>0</v>
      </c>
      <c r="AP27" s="3" t="s">
        <v>58</v>
      </c>
      <c r="AQ27" s="3" t="s">
        <v>58</v>
      </c>
      <c r="AS27" s="6" t="str">
        <f>HYPERLINK("https://creighton-primo.hosted.exlibrisgroup.com/primo-explore/search?tab=default_tab&amp;search_scope=EVERYTHING&amp;vid=01CRU&amp;lang=en_US&amp;offset=0&amp;query=any,contains,991002300609702656","Catalog Record")</f>
        <v>Catalog Record</v>
      </c>
      <c r="AT27" s="6" t="str">
        <f>HYPERLINK("http://www.worldcat.org/oclc/29846160","WorldCat Record")</f>
        <v>WorldCat Record</v>
      </c>
      <c r="AU27" s="3" t="s">
        <v>430</v>
      </c>
      <c r="AV27" s="3" t="s">
        <v>431</v>
      </c>
      <c r="AW27" s="3" t="s">
        <v>432</v>
      </c>
      <c r="AX27" s="3" t="s">
        <v>432</v>
      </c>
      <c r="AY27" s="3" t="s">
        <v>433</v>
      </c>
      <c r="AZ27" s="3" t="s">
        <v>74</v>
      </c>
      <c r="BB27" s="3" t="s">
        <v>434</v>
      </c>
      <c r="BC27" s="3" t="s">
        <v>435</v>
      </c>
      <c r="BD27" s="3" t="s">
        <v>436</v>
      </c>
    </row>
    <row r="28" spans="1:56" ht="40.5" customHeight="1" x14ac:dyDescent="0.25">
      <c r="A28" s="8" t="s">
        <v>58</v>
      </c>
      <c r="B28" s="2" t="s">
        <v>437</v>
      </c>
      <c r="C28" s="2" t="s">
        <v>438</v>
      </c>
      <c r="D28" s="2" t="s">
        <v>439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440</v>
      </c>
      <c r="L28" s="2" t="s">
        <v>441</v>
      </c>
      <c r="M28" s="3" t="s">
        <v>442</v>
      </c>
      <c r="O28" s="3" t="s">
        <v>64</v>
      </c>
      <c r="P28" s="3" t="s">
        <v>83</v>
      </c>
      <c r="R28" s="3" t="s">
        <v>66</v>
      </c>
      <c r="S28" s="4">
        <v>3</v>
      </c>
      <c r="T28" s="4">
        <v>3</v>
      </c>
      <c r="U28" s="5" t="s">
        <v>443</v>
      </c>
      <c r="V28" s="5" t="s">
        <v>443</v>
      </c>
      <c r="W28" s="5" t="s">
        <v>100</v>
      </c>
      <c r="X28" s="5" t="s">
        <v>100</v>
      </c>
      <c r="Y28" s="4">
        <v>243</v>
      </c>
      <c r="Z28" s="4">
        <v>204</v>
      </c>
      <c r="AA28" s="4">
        <v>219</v>
      </c>
      <c r="AB28" s="4">
        <v>3</v>
      </c>
      <c r="AC28" s="4">
        <v>3</v>
      </c>
      <c r="AD28" s="4">
        <v>11</v>
      </c>
      <c r="AE28" s="4">
        <v>12</v>
      </c>
      <c r="AF28" s="4">
        <v>3</v>
      </c>
      <c r="AG28" s="4">
        <v>3</v>
      </c>
      <c r="AH28" s="4">
        <v>4</v>
      </c>
      <c r="AI28" s="4">
        <v>4</v>
      </c>
      <c r="AJ28" s="4">
        <v>5</v>
      </c>
      <c r="AK28" s="4">
        <v>6</v>
      </c>
      <c r="AL28" s="4">
        <v>2</v>
      </c>
      <c r="AM28" s="4">
        <v>2</v>
      </c>
      <c r="AN28" s="4">
        <v>0</v>
      </c>
      <c r="AO28" s="4">
        <v>0</v>
      </c>
      <c r="AP28" s="3" t="s">
        <v>58</v>
      </c>
      <c r="AQ28" s="3" t="s">
        <v>58</v>
      </c>
      <c r="AR28" s="6" t="str">
        <f>HYPERLINK("http://catalog.hathitrust.org/Record/001556578","HathiTrust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HYPERLINK("https://creighton-primo.hosted.exlibrisgroup.com/primo-explore/search?tab=default_tab&amp;search_scope=EVERYTHING&amp;vid=01CRU&amp;lang=en_US&amp;offset=0&amp;query=any,contains,991005264519702656","Catalog Record")</f>
        <v>Catalog Record</v>
      </c>
      <c r="AT28" s="6" t="str">
        <f>HYPERLINK("http://www.worldcat.org/oclc/563440","WorldCat Record")</f>
        <v>WorldCat Record</v>
      </c>
      <c r="AU28" s="3" t="s">
        <v>444</v>
      </c>
      <c r="AV28" s="3" t="s">
        <v>445</v>
      </c>
      <c r="AW28" s="3" t="s">
        <v>446</v>
      </c>
      <c r="AX28" s="3" t="s">
        <v>446</v>
      </c>
      <c r="AY28" s="3" t="s">
        <v>447</v>
      </c>
      <c r="AZ28" s="3" t="s">
        <v>74</v>
      </c>
      <c r="BC28" s="3" t="s">
        <v>448</v>
      </c>
      <c r="BD28" s="3" t="s">
        <v>449</v>
      </c>
    </row>
    <row r="29" spans="1:56" ht="40.5" customHeight="1" x14ac:dyDescent="0.25">
      <c r="A29" s="8" t="s">
        <v>58</v>
      </c>
      <c r="B29" s="2" t="s">
        <v>450</v>
      </c>
      <c r="C29" s="2" t="s">
        <v>451</v>
      </c>
      <c r="D29" s="2" t="s">
        <v>452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453</v>
      </c>
      <c r="L29" s="2" t="s">
        <v>454</v>
      </c>
      <c r="M29" s="3" t="s">
        <v>171</v>
      </c>
      <c r="O29" s="3" t="s">
        <v>64</v>
      </c>
      <c r="P29" s="3" t="s">
        <v>113</v>
      </c>
      <c r="R29" s="3" t="s">
        <v>66</v>
      </c>
      <c r="S29" s="4">
        <v>2</v>
      </c>
      <c r="T29" s="4">
        <v>2</v>
      </c>
      <c r="U29" s="5" t="s">
        <v>345</v>
      </c>
      <c r="V29" s="5" t="s">
        <v>345</v>
      </c>
      <c r="W29" s="5" t="s">
        <v>455</v>
      </c>
      <c r="X29" s="5" t="s">
        <v>455</v>
      </c>
      <c r="Y29" s="4">
        <v>748</v>
      </c>
      <c r="Z29" s="4">
        <v>639</v>
      </c>
      <c r="AA29" s="4">
        <v>655</v>
      </c>
      <c r="AB29" s="4">
        <v>5</v>
      </c>
      <c r="AC29" s="4">
        <v>5</v>
      </c>
      <c r="AD29" s="4">
        <v>20</v>
      </c>
      <c r="AE29" s="4">
        <v>20</v>
      </c>
      <c r="AF29" s="4">
        <v>5</v>
      </c>
      <c r="AG29" s="4">
        <v>5</v>
      </c>
      <c r="AH29" s="4">
        <v>7</v>
      </c>
      <c r="AI29" s="4">
        <v>7</v>
      </c>
      <c r="AJ29" s="4">
        <v>9</v>
      </c>
      <c r="AK29" s="4">
        <v>9</v>
      </c>
      <c r="AL29" s="4">
        <v>4</v>
      </c>
      <c r="AM29" s="4">
        <v>4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HYPERLINK("https://creighton-primo.hosted.exlibrisgroup.com/primo-explore/search?tab=default_tab&amp;search_scope=EVERYTHING&amp;vid=01CRU&amp;lang=en_US&amp;offset=0&amp;query=any,contains,991002922409702656","Catalog Record")</f>
        <v>Catalog Record</v>
      </c>
      <c r="AT29" s="6" t="str">
        <f>HYPERLINK("http://www.worldcat.org/oclc/38841997","WorldCat Record")</f>
        <v>WorldCat Record</v>
      </c>
      <c r="AU29" s="3" t="s">
        <v>456</v>
      </c>
      <c r="AV29" s="3" t="s">
        <v>457</v>
      </c>
      <c r="AW29" s="3" t="s">
        <v>458</v>
      </c>
      <c r="AX29" s="3" t="s">
        <v>458</v>
      </c>
      <c r="AY29" s="3" t="s">
        <v>459</v>
      </c>
      <c r="AZ29" s="3" t="s">
        <v>74</v>
      </c>
      <c r="BB29" s="3" t="s">
        <v>460</v>
      </c>
      <c r="BC29" s="3" t="s">
        <v>461</v>
      </c>
      <c r="BD29" s="3" t="s">
        <v>462</v>
      </c>
    </row>
    <row r="30" spans="1:56" ht="40.5" customHeight="1" x14ac:dyDescent="0.25">
      <c r="A30" s="8" t="s">
        <v>58</v>
      </c>
      <c r="B30" s="2" t="s">
        <v>463</v>
      </c>
      <c r="C30" s="2" t="s">
        <v>464</v>
      </c>
      <c r="D30" s="2" t="s">
        <v>465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L30" s="2" t="s">
        <v>466</v>
      </c>
      <c r="M30" s="3" t="s">
        <v>63</v>
      </c>
      <c r="O30" s="3" t="s">
        <v>64</v>
      </c>
      <c r="P30" s="3" t="s">
        <v>83</v>
      </c>
      <c r="R30" s="3" t="s">
        <v>66</v>
      </c>
      <c r="S30" s="4">
        <v>2</v>
      </c>
      <c r="T30" s="4">
        <v>2</v>
      </c>
      <c r="U30" s="5" t="s">
        <v>467</v>
      </c>
      <c r="V30" s="5" t="s">
        <v>467</v>
      </c>
      <c r="W30" s="5" t="s">
        <v>245</v>
      </c>
      <c r="X30" s="5" t="s">
        <v>245</v>
      </c>
      <c r="Y30" s="4">
        <v>211</v>
      </c>
      <c r="Z30" s="4">
        <v>171</v>
      </c>
      <c r="AA30" s="4">
        <v>173</v>
      </c>
      <c r="AB30" s="4">
        <v>1</v>
      </c>
      <c r="AC30" s="4">
        <v>1</v>
      </c>
      <c r="AD30" s="4">
        <v>6</v>
      </c>
      <c r="AE30" s="4">
        <v>6</v>
      </c>
      <c r="AF30" s="4">
        <v>0</v>
      </c>
      <c r="AG30" s="4">
        <v>0</v>
      </c>
      <c r="AH30" s="4">
        <v>4</v>
      </c>
      <c r="AI30" s="4">
        <v>4</v>
      </c>
      <c r="AJ30" s="4">
        <v>4</v>
      </c>
      <c r="AK30" s="4">
        <v>4</v>
      </c>
      <c r="AL30" s="4">
        <v>0</v>
      </c>
      <c r="AM30" s="4">
        <v>0</v>
      </c>
      <c r="AN30" s="4">
        <v>0</v>
      </c>
      <c r="AO30" s="4">
        <v>0</v>
      </c>
      <c r="AP30" s="3" t="s">
        <v>58</v>
      </c>
      <c r="AQ30" s="3" t="s">
        <v>69</v>
      </c>
      <c r="AR30" s="6" t="str">
        <f>HYPERLINK("http://catalog.hathitrust.org/Record/000361613","HathiTrust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HYPERLINK("https://creighton-primo.hosted.exlibrisgroup.com/primo-explore/search?tab=default_tab&amp;search_scope=EVERYTHING&amp;vid=01CRU&amp;lang=en_US&amp;offset=0&amp;query=any,contains,991000430869702656","Catalog Record")</f>
        <v>Catalog Record</v>
      </c>
      <c r="AT30" s="6" t="str">
        <f>HYPERLINK("http://www.worldcat.org/oclc/10778678","WorldCat Record")</f>
        <v>WorldCat Record</v>
      </c>
      <c r="AU30" s="3" t="s">
        <v>468</v>
      </c>
      <c r="AV30" s="3" t="s">
        <v>469</v>
      </c>
      <c r="AW30" s="3" t="s">
        <v>470</v>
      </c>
      <c r="AX30" s="3" t="s">
        <v>470</v>
      </c>
      <c r="AY30" s="3" t="s">
        <v>471</v>
      </c>
      <c r="AZ30" s="3" t="s">
        <v>74</v>
      </c>
      <c r="BB30" s="3" t="s">
        <v>472</v>
      </c>
      <c r="BC30" s="3" t="s">
        <v>473</v>
      </c>
      <c r="BD30" s="3" t="s">
        <v>474</v>
      </c>
    </row>
    <row r="31" spans="1:56" ht="40.5" customHeight="1" x14ac:dyDescent="0.25">
      <c r="A31" s="8" t="s">
        <v>58</v>
      </c>
      <c r="B31" s="2" t="s">
        <v>475</v>
      </c>
      <c r="C31" s="2" t="s">
        <v>476</v>
      </c>
      <c r="D31" s="2" t="s">
        <v>477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478</v>
      </c>
      <c r="L31" s="2" t="s">
        <v>479</v>
      </c>
      <c r="M31" s="3" t="s">
        <v>480</v>
      </c>
      <c r="O31" s="3" t="s">
        <v>64</v>
      </c>
      <c r="P31" s="3" t="s">
        <v>83</v>
      </c>
      <c r="Q31" s="2" t="s">
        <v>481</v>
      </c>
      <c r="R31" s="3" t="s">
        <v>66</v>
      </c>
      <c r="S31" s="4">
        <v>7</v>
      </c>
      <c r="T31" s="4">
        <v>7</v>
      </c>
      <c r="U31" s="5" t="s">
        <v>482</v>
      </c>
      <c r="V31" s="5" t="s">
        <v>482</v>
      </c>
      <c r="W31" s="5" t="s">
        <v>483</v>
      </c>
      <c r="X31" s="5" t="s">
        <v>483</v>
      </c>
      <c r="Y31" s="4">
        <v>240</v>
      </c>
      <c r="Z31" s="4">
        <v>193</v>
      </c>
      <c r="AA31" s="4">
        <v>201</v>
      </c>
      <c r="AB31" s="4">
        <v>1</v>
      </c>
      <c r="AC31" s="4">
        <v>1</v>
      </c>
      <c r="AD31" s="4">
        <v>6</v>
      </c>
      <c r="AE31" s="4">
        <v>6</v>
      </c>
      <c r="AF31" s="4">
        <v>1</v>
      </c>
      <c r="AG31" s="4">
        <v>1</v>
      </c>
      <c r="AH31" s="4">
        <v>4</v>
      </c>
      <c r="AI31" s="4">
        <v>4</v>
      </c>
      <c r="AJ31" s="4">
        <v>4</v>
      </c>
      <c r="AK31" s="4">
        <v>4</v>
      </c>
      <c r="AL31" s="4">
        <v>0</v>
      </c>
      <c r="AM31" s="4">
        <v>0</v>
      </c>
      <c r="AN31" s="4">
        <v>0</v>
      </c>
      <c r="AO31" s="4">
        <v>0</v>
      </c>
      <c r="AP31" s="3" t="s">
        <v>58</v>
      </c>
      <c r="AQ31" s="3" t="s">
        <v>58</v>
      </c>
      <c r="AS31" s="6" t="str">
        <f>HYPERLINK("https://creighton-primo.hosted.exlibrisgroup.com/primo-explore/search?tab=default_tab&amp;search_scope=EVERYTHING&amp;vid=01CRU&amp;lang=en_US&amp;offset=0&amp;query=any,contains,991001604059702656","Catalog Record")</f>
        <v>Catalog Record</v>
      </c>
      <c r="AT31" s="6" t="str">
        <f>HYPERLINK("http://www.worldcat.org/oclc/20690340","WorldCat Record")</f>
        <v>WorldCat Record</v>
      </c>
      <c r="AU31" s="3" t="s">
        <v>484</v>
      </c>
      <c r="AV31" s="3" t="s">
        <v>485</v>
      </c>
      <c r="AW31" s="3" t="s">
        <v>486</v>
      </c>
      <c r="AX31" s="3" t="s">
        <v>486</v>
      </c>
      <c r="AY31" s="3" t="s">
        <v>487</v>
      </c>
      <c r="AZ31" s="3" t="s">
        <v>74</v>
      </c>
      <c r="BB31" s="3" t="s">
        <v>488</v>
      </c>
      <c r="BC31" s="3" t="s">
        <v>489</v>
      </c>
      <c r="BD31" s="3" t="s">
        <v>490</v>
      </c>
    </row>
    <row r="32" spans="1:56" ht="40.5" customHeight="1" x14ac:dyDescent="0.25">
      <c r="A32" s="8" t="s">
        <v>58</v>
      </c>
      <c r="B32" s="2" t="s">
        <v>491</v>
      </c>
      <c r="C32" s="2" t="s">
        <v>492</v>
      </c>
      <c r="D32" s="2" t="s">
        <v>493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494</v>
      </c>
      <c r="L32" s="2" t="s">
        <v>495</v>
      </c>
      <c r="M32" s="3" t="s">
        <v>171</v>
      </c>
      <c r="N32" s="2" t="s">
        <v>127</v>
      </c>
      <c r="O32" s="3" t="s">
        <v>64</v>
      </c>
      <c r="P32" s="3" t="s">
        <v>83</v>
      </c>
      <c r="R32" s="3" t="s">
        <v>66</v>
      </c>
      <c r="S32" s="4">
        <v>6</v>
      </c>
      <c r="T32" s="4">
        <v>6</v>
      </c>
      <c r="U32" s="5" t="s">
        <v>496</v>
      </c>
      <c r="V32" s="5" t="s">
        <v>496</v>
      </c>
      <c r="W32" s="5" t="s">
        <v>497</v>
      </c>
      <c r="X32" s="5" t="s">
        <v>497</v>
      </c>
      <c r="Y32" s="4">
        <v>720</v>
      </c>
      <c r="Z32" s="4">
        <v>637</v>
      </c>
      <c r="AA32" s="4">
        <v>666</v>
      </c>
      <c r="AB32" s="4">
        <v>3</v>
      </c>
      <c r="AC32" s="4">
        <v>3</v>
      </c>
      <c r="AD32" s="4">
        <v>31</v>
      </c>
      <c r="AE32" s="4">
        <v>31</v>
      </c>
      <c r="AF32" s="4">
        <v>12</v>
      </c>
      <c r="AG32" s="4">
        <v>12</v>
      </c>
      <c r="AH32" s="4">
        <v>6</v>
      </c>
      <c r="AI32" s="4">
        <v>6</v>
      </c>
      <c r="AJ32" s="4">
        <v>14</v>
      </c>
      <c r="AK32" s="4">
        <v>14</v>
      </c>
      <c r="AL32" s="4">
        <v>2</v>
      </c>
      <c r="AM32" s="4">
        <v>2</v>
      </c>
      <c r="AN32" s="4">
        <v>4</v>
      </c>
      <c r="AO32" s="4">
        <v>4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HYPERLINK("https://creighton-primo.hosted.exlibrisgroup.com/primo-explore/search?tab=default_tab&amp;search_scope=EVERYTHING&amp;vid=01CRU&amp;lang=en_US&amp;offset=0&amp;query=any,contains,991002894549702656","Catalog Record")</f>
        <v>Catalog Record</v>
      </c>
      <c r="AT32" s="6" t="str">
        <f>HYPERLINK("http://www.worldcat.org/oclc/38130670","WorldCat Record")</f>
        <v>WorldCat Record</v>
      </c>
      <c r="AU32" s="3" t="s">
        <v>498</v>
      </c>
      <c r="AV32" s="3" t="s">
        <v>499</v>
      </c>
      <c r="AW32" s="3" t="s">
        <v>500</v>
      </c>
      <c r="AX32" s="3" t="s">
        <v>500</v>
      </c>
      <c r="AY32" s="3" t="s">
        <v>501</v>
      </c>
      <c r="AZ32" s="3" t="s">
        <v>74</v>
      </c>
      <c r="BB32" s="3" t="s">
        <v>502</v>
      </c>
      <c r="BC32" s="3" t="s">
        <v>503</v>
      </c>
      <c r="BD32" s="3" t="s">
        <v>504</v>
      </c>
    </row>
    <row r="33" spans="1:56" ht="40.5" customHeight="1" x14ac:dyDescent="0.25">
      <c r="A33" s="8" t="s">
        <v>58</v>
      </c>
      <c r="B33" s="2" t="s">
        <v>505</v>
      </c>
      <c r="C33" s="2" t="s">
        <v>506</v>
      </c>
      <c r="D33" s="2" t="s">
        <v>507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508</v>
      </c>
      <c r="L33" s="2" t="s">
        <v>509</v>
      </c>
      <c r="M33" s="3" t="s">
        <v>258</v>
      </c>
      <c r="O33" s="3" t="s">
        <v>64</v>
      </c>
      <c r="P33" s="3" t="s">
        <v>113</v>
      </c>
      <c r="Q33" s="2" t="s">
        <v>510</v>
      </c>
      <c r="R33" s="3" t="s">
        <v>66</v>
      </c>
      <c r="S33" s="4">
        <v>4</v>
      </c>
      <c r="T33" s="4">
        <v>4</v>
      </c>
      <c r="U33" s="5" t="s">
        <v>511</v>
      </c>
      <c r="V33" s="5" t="s">
        <v>511</v>
      </c>
      <c r="W33" s="5" t="s">
        <v>512</v>
      </c>
      <c r="X33" s="5" t="s">
        <v>512</v>
      </c>
      <c r="Y33" s="4">
        <v>149</v>
      </c>
      <c r="Z33" s="4">
        <v>70</v>
      </c>
      <c r="AA33" s="4">
        <v>74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0</v>
      </c>
      <c r="AI33" s="4">
        <v>0</v>
      </c>
      <c r="AJ33" s="4">
        <v>1</v>
      </c>
      <c r="AK33" s="4">
        <v>1</v>
      </c>
      <c r="AL33" s="4">
        <v>0</v>
      </c>
      <c r="AM33" s="4">
        <v>0</v>
      </c>
      <c r="AN33" s="4">
        <v>0</v>
      </c>
      <c r="AO33" s="4">
        <v>0</v>
      </c>
      <c r="AP33" s="3" t="s">
        <v>58</v>
      </c>
      <c r="AQ33" s="3" t="s">
        <v>69</v>
      </c>
      <c r="AR33" s="6" t="str">
        <f>HYPERLINK("http://catalog.hathitrust.org/Record/012275735","HathiTrust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HYPERLINK("https://creighton-primo.hosted.exlibrisgroup.com/primo-explore/search?tab=default_tab&amp;search_scope=EVERYTHING&amp;vid=01CRU&amp;lang=en_US&amp;offset=0&amp;query=any,contains,991001455019702656","Catalog Record")</f>
        <v>Catalog Record</v>
      </c>
      <c r="AT33" s="6" t="str">
        <f>HYPERLINK("http://www.worldcat.org/oclc/19354039","WorldCat Record")</f>
        <v>WorldCat Record</v>
      </c>
      <c r="AU33" s="3" t="s">
        <v>513</v>
      </c>
      <c r="AV33" s="3" t="s">
        <v>514</v>
      </c>
      <c r="AW33" s="3" t="s">
        <v>515</v>
      </c>
      <c r="AX33" s="3" t="s">
        <v>515</v>
      </c>
      <c r="AY33" s="3" t="s">
        <v>516</v>
      </c>
      <c r="AZ33" s="3" t="s">
        <v>74</v>
      </c>
      <c r="BB33" s="3" t="s">
        <v>517</v>
      </c>
      <c r="BC33" s="3" t="s">
        <v>518</v>
      </c>
      <c r="BD33" s="3" t="s">
        <v>519</v>
      </c>
    </row>
    <row r="34" spans="1:56" ht="40.5" customHeight="1" x14ac:dyDescent="0.25">
      <c r="A34" s="8" t="s">
        <v>58</v>
      </c>
      <c r="B34" s="2" t="s">
        <v>520</v>
      </c>
      <c r="C34" s="2" t="s">
        <v>521</v>
      </c>
      <c r="D34" s="2" t="s">
        <v>522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523</v>
      </c>
      <c r="L34" s="2" t="s">
        <v>524</v>
      </c>
      <c r="M34" s="3" t="s">
        <v>525</v>
      </c>
      <c r="O34" s="3" t="s">
        <v>64</v>
      </c>
      <c r="P34" s="3" t="s">
        <v>113</v>
      </c>
      <c r="Q34" s="2" t="s">
        <v>526</v>
      </c>
      <c r="R34" s="3" t="s">
        <v>66</v>
      </c>
      <c r="S34" s="4">
        <v>7</v>
      </c>
      <c r="T34" s="4">
        <v>7</v>
      </c>
      <c r="U34" s="5" t="s">
        <v>527</v>
      </c>
      <c r="V34" s="5" t="s">
        <v>527</v>
      </c>
      <c r="W34" s="5" t="s">
        <v>528</v>
      </c>
      <c r="X34" s="5" t="s">
        <v>528</v>
      </c>
      <c r="Y34" s="4">
        <v>137</v>
      </c>
      <c r="Z34" s="4">
        <v>63</v>
      </c>
      <c r="AA34" s="4">
        <v>64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0</v>
      </c>
      <c r="AI34" s="4">
        <v>0</v>
      </c>
      <c r="AJ34" s="4">
        <v>1</v>
      </c>
      <c r="AK34" s="4">
        <v>1</v>
      </c>
      <c r="AL34" s="4">
        <v>0</v>
      </c>
      <c r="AM34" s="4">
        <v>0</v>
      </c>
      <c r="AN34" s="4">
        <v>0</v>
      </c>
      <c r="AO34" s="4">
        <v>0</v>
      </c>
      <c r="AP34" s="3" t="s">
        <v>58</v>
      </c>
      <c r="AQ34" s="3" t="s">
        <v>58</v>
      </c>
      <c r="AS34" s="6" t="str">
        <f>HYPERLINK("https://creighton-primo.hosted.exlibrisgroup.com/primo-explore/search?tab=default_tab&amp;search_scope=EVERYTHING&amp;vid=01CRU&amp;lang=en_US&amp;offset=0&amp;query=any,contains,991002078459702656","Catalog Record")</f>
        <v>Catalog Record</v>
      </c>
      <c r="AT34" s="6" t="str">
        <f>HYPERLINK("http://www.worldcat.org/oclc/26636406","WorldCat Record")</f>
        <v>WorldCat Record</v>
      </c>
      <c r="AU34" s="3" t="s">
        <v>529</v>
      </c>
      <c r="AV34" s="3" t="s">
        <v>530</v>
      </c>
      <c r="AW34" s="3" t="s">
        <v>531</v>
      </c>
      <c r="AX34" s="3" t="s">
        <v>531</v>
      </c>
      <c r="AY34" s="3" t="s">
        <v>532</v>
      </c>
      <c r="AZ34" s="3" t="s">
        <v>74</v>
      </c>
      <c r="BB34" s="3" t="s">
        <v>533</v>
      </c>
      <c r="BC34" s="3" t="s">
        <v>534</v>
      </c>
      <c r="BD34" s="3" t="s">
        <v>535</v>
      </c>
    </row>
    <row r="35" spans="1:56" ht="40.5" customHeight="1" x14ac:dyDescent="0.25">
      <c r="A35" s="8" t="s">
        <v>58</v>
      </c>
      <c r="B35" s="2" t="s">
        <v>536</v>
      </c>
      <c r="C35" s="2" t="s">
        <v>537</v>
      </c>
      <c r="D35" s="2" t="s">
        <v>538</v>
      </c>
      <c r="F35" s="3" t="s">
        <v>58</v>
      </c>
      <c r="G35" s="3" t="s">
        <v>59</v>
      </c>
      <c r="H35" s="3" t="s">
        <v>69</v>
      </c>
      <c r="I35" s="3" t="s">
        <v>58</v>
      </c>
      <c r="J35" s="3" t="s">
        <v>60</v>
      </c>
      <c r="L35" s="2" t="s">
        <v>539</v>
      </c>
      <c r="M35" s="3" t="s">
        <v>540</v>
      </c>
      <c r="O35" s="3" t="s">
        <v>64</v>
      </c>
      <c r="P35" s="3" t="s">
        <v>113</v>
      </c>
      <c r="Q35" s="2" t="s">
        <v>541</v>
      </c>
      <c r="R35" s="3" t="s">
        <v>66</v>
      </c>
      <c r="S35" s="4">
        <v>4</v>
      </c>
      <c r="T35" s="4">
        <v>8</v>
      </c>
      <c r="U35" s="5" t="s">
        <v>542</v>
      </c>
      <c r="V35" s="5" t="s">
        <v>542</v>
      </c>
      <c r="W35" s="5" t="s">
        <v>543</v>
      </c>
      <c r="X35" s="5" t="s">
        <v>543</v>
      </c>
      <c r="Y35" s="4">
        <v>72</v>
      </c>
      <c r="Z35" s="4">
        <v>39</v>
      </c>
      <c r="AA35" s="4">
        <v>44</v>
      </c>
      <c r="AB35" s="4">
        <v>2</v>
      </c>
      <c r="AC35" s="4">
        <v>2</v>
      </c>
      <c r="AD35" s="4">
        <v>1</v>
      </c>
      <c r="AE35" s="4">
        <v>1</v>
      </c>
      <c r="AF35" s="4">
        <v>0</v>
      </c>
      <c r="AG35" s="4">
        <v>0</v>
      </c>
      <c r="AH35" s="4">
        <v>1</v>
      </c>
      <c r="AI35" s="4">
        <v>1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3" t="s">
        <v>58</v>
      </c>
      <c r="AQ35" s="3" t="s">
        <v>58</v>
      </c>
      <c r="AS35" s="6" t="str">
        <f>HYPERLINK("https://creighton-primo.hosted.exlibrisgroup.com/primo-explore/search?tab=default_tab&amp;search_scope=EVERYTHING&amp;vid=01CRU&amp;lang=en_US&amp;offset=0&amp;query=any,contains,991001804419702656","Catalog Record")</f>
        <v>Catalog Record</v>
      </c>
      <c r="AT35" s="6" t="str">
        <f>HYPERLINK("http://www.worldcat.org/oclc/27978373","WorldCat Record")</f>
        <v>WorldCat Record</v>
      </c>
      <c r="AU35" s="3" t="s">
        <v>544</v>
      </c>
      <c r="AV35" s="3" t="s">
        <v>545</v>
      </c>
      <c r="AW35" s="3" t="s">
        <v>546</v>
      </c>
      <c r="AX35" s="3" t="s">
        <v>546</v>
      </c>
      <c r="AY35" s="3" t="s">
        <v>547</v>
      </c>
      <c r="AZ35" s="3" t="s">
        <v>74</v>
      </c>
      <c r="BB35" s="3" t="s">
        <v>548</v>
      </c>
      <c r="BC35" s="3" t="s">
        <v>549</v>
      </c>
      <c r="BD35" s="3" t="s">
        <v>550</v>
      </c>
    </row>
    <row r="36" spans="1:56" ht="40.5" customHeight="1" x14ac:dyDescent="0.25">
      <c r="A36" s="8" t="s">
        <v>58</v>
      </c>
      <c r="B36" s="2" t="s">
        <v>551</v>
      </c>
      <c r="C36" s="2" t="s">
        <v>552</v>
      </c>
      <c r="D36" s="2" t="s">
        <v>553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554</v>
      </c>
      <c r="L36" s="2" t="s">
        <v>555</v>
      </c>
      <c r="M36" s="3" t="s">
        <v>285</v>
      </c>
      <c r="O36" s="3" t="s">
        <v>64</v>
      </c>
      <c r="P36" s="3" t="s">
        <v>83</v>
      </c>
      <c r="Q36" s="2" t="s">
        <v>556</v>
      </c>
      <c r="R36" s="3" t="s">
        <v>66</v>
      </c>
      <c r="S36" s="4">
        <v>2</v>
      </c>
      <c r="T36" s="4">
        <v>2</v>
      </c>
      <c r="U36" s="5" t="s">
        <v>557</v>
      </c>
      <c r="V36" s="5" t="s">
        <v>557</v>
      </c>
      <c r="W36" s="5" t="s">
        <v>558</v>
      </c>
      <c r="X36" s="5" t="s">
        <v>558</v>
      </c>
      <c r="Y36" s="4">
        <v>62</v>
      </c>
      <c r="Z36" s="4">
        <v>46</v>
      </c>
      <c r="AA36" s="4">
        <v>47</v>
      </c>
      <c r="AB36" s="4">
        <v>1</v>
      </c>
      <c r="AC36" s="4">
        <v>1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3" t="s">
        <v>58</v>
      </c>
      <c r="AQ36" s="3" t="s">
        <v>58</v>
      </c>
      <c r="AS36" s="6" t="str">
        <f>HYPERLINK("https://creighton-primo.hosted.exlibrisgroup.com/primo-explore/search?tab=default_tab&amp;search_scope=EVERYTHING&amp;vid=01CRU&amp;lang=en_US&amp;offset=0&amp;query=any,contains,991002463649702656","Catalog Record")</f>
        <v>Catalog Record</v>
      </c>
      <c r="AT36" s="6" t="str">
        <f>HYPERLINK("http://www.worldcat.org/oclc/32094125","WorldCat Record")</f>
        <v>WorldCat Record</v>
      </c>
      <c r="AU36" s="3" t="s">
        <v>559</v>
      </c>
      <c r="AV36" s="3" t="s">
        <v>560</v>
      </c>
      <c r="AW36" s="3" t="s">
        <v>561</v>
      </c>
      <c r="AX36" s="3" t="s">
        <v>561</v>
      </c>
      <c r="AY36" s="3" t="s">
        <v>562</v>
      </c>
      <c r="AZ36" s="3" t="s">
        <v>74</v>
      </c>
      <c r="BB36" s="3" t="s">
        <v>563</v>
      </c>
      <c r="BC36" s="3" t="s">
        <v>564</v>
      </c>
      <c r="BD36" s="3" t="s">
        <v>565</v>
      </c>
    </row>
    <row r="37" spans="1:56" ht="40.5" customHeight="1" x14ac:dyDescent="0.25">
      <c r="A37" s="8" t="s">
        <v>58</v>
      </c>
      <c r="B37" s="2" t="s">
        <v>566</v>
      </c>
      <c r="C37" s="2" t="s">
        <v>567</v>
      </c>
      <c r="D37" s="2" t="s">
        <v>568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L37" s="2" t="s">
        <v>569</v>
      </c>
      <c r="M37" s="3" t="s">
        <v>540</v>
      </c>
      <c r="O37" s="3" t="s">
        <v>64</v>
      </c>
      <c r="P37" s="3" t="s">
        <v>113</v>
      </c>
      <c r="Q37" s="2" t="s">
        <v>570</v>
      </c>
      <c r="R37" s="3" t="s">
        <v>66</v>
      </c>
      <c r="S37" s="4">
        <v>9</v>
      </c>
      <c r="T37" s="4">
        <v>9</v>
      </c>
      <c r="U37" s="5" t="s">
        <v>315</v>
      </c>
      <c r="V37" s="5" t="s">
        <v>315</v>
      </c>
      <c r="W37" s="5" t="s">
        <v>68</v>
      </c>
      <c r="X37" s="5" t="s">
        <v>68</v>
      </c>
      <c r="Y37" s="4">
        <v>199</v>
      </c>
      <c r="Z37" s="4">
        <v>141</v>
      </c>
      <c r="AA37" s="4">
        <v>148</v>
      </c>
      <c r="AB37" s="4">
        <v>2</v>
      </c>
      <c r="AC37" s="4">
        <v>2</v>
      </c>
      <c r="AD37" s="4">
        <v>3</v>
      </c>
      <c r="AE37" s="4">
        <v>3</v>
      </c>
      <c r="AF37" s="4">
        <v>0</v>
      </c>
      <c r="AG37" s="4">
        <v>0</v>
      </c>
      <c r="AH37" s="4">
        <v>1</v>
      </c>
      <c r="AI37" s="4">
        <v>1</v>
      </c>
      <c r="AJ37" s="4">
        <v>2</v>
      </c>
      <c r="AK37" s="4">
        <v>2</v>
      </c>
      <c r="AL37" s="4">
        <v>1</v>
      </c>
      <c r="AM37" s="4">
        <v>1</v>
      </c>
      <c r="AN37" s="4">
        <v>0</v>
      </c>
      <c r="AO37" s="4">
        <v>0</v>
      </c>
      <c r="AP37" s="3" t="s">
        <v>58</v>
      </c>
      <c r="AQ37" s="3" t="s">
        <v>69</v>
      </c>
      <c r="AR37" s="6" t="str">
        <f>HYPERLINK("http://catalog.hathitrust.org/Record/002574822","HathiTrust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HYPERLINK("https://creighton-primo.hosted.exlibrisgroup.com/primo-explore/search?tab=default_tab&amp;search_scope=EVERYTHING&amp;vid=01CRU&amp;lang=en_US&amp;offset=0&amp;query=any,contains,991001936569702656","Catalog Record")</f>
        <v>Catalog Record</v>
      </c>
      <c r="AT37" s="6" t="str">
        <f>HYPERLINK("http://www.worldcat.org/oclc/24467919","WorldCat Record")</f>
        <v>WorldCat Record</v>
      </c>
      <c r="AU37" s="3" t="s">
        <v>571</v>
      </c>
      <c r="AV37" s="3" t="s">
        <v>572</v>
      </c>
      <c r="AW37" s="3" t="s">
        <v>573</v>
      </c>
      <c r="AX37" s="3" t="s">
        <v>573</v>
      </c>
      <c r="AY37" s="3" t="s">
        <v>574</v>
      </c>
      <c r="AZ37" s="3" t="s">
        <v>74</v>
      </c>
      <c r="BB37" s="3" t="s">
        <v>575</v>
      </c>
      <c r="BC37" s="3" t="s">
        <v>576</v>
      </c>
      <c r="BD37" s="3" t="s">
        <v>577</v>
      </c>
    </row>
    <row r="38" spans="1:56" ht="40.5" customHeight="1" x14ac:dyDescent="0.25">
      <c r="A38" s="8" t="s">
        <v>58</v>
      </c>
      <c r="B38" s="2" t="s">
        <v>578</v>
      </c>
      <c r="C38" s="2" t="s">
        <v>579</v>
      </c>
      <c r="D38" s="2" t="s">
        <v>580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L38" s="2" t="s">
        <v>581</v>
      </c>
      <c r="M38" s="3" t="s">
        <v>285</v>
      </c>
      <c r="O38" s="3" t="s">
        <v>64</v>
      </c>
      <c r="P38" s="3" t="s">
        <v>83</v>
      </c>
      <c r="R38" s="3" t="s">
        <v>66</v>
      </c>
      <c r="S38" s="4">
        <v>16</v>
      </c>
      <c r="T38" s="4">
        <v>16</v>
      </c>
      <c r="U38" s="5" t="s">
        <v>527</v>
      </c>
      <c r="V38" s="5" t="s">
        <v>527</v>
      </c>
      <c r="W38" s="5" t="s">
        <v>582</v>
      </c>
      <c r="X38" s="5" t="s">
        <v>582</v>
      </c>
      <c r="Y38" s="4">
        <v>200</v>
      </c>
      <c r="Z38" s="4">
        <v>141</v>
      </c>
      <c r="AA38" s="4">
        <v>148</v>
      </c>
      <c r="AB38" s="4">
        <v>2</v>
      </c>
      <c r="AC38" s="4">
        <v>2</v>
      </c>
      <c r="AD38" s="4">
        <v>6</v>
      </c>
      <c r="AE38" s="4">
        <v>6</v>
      </c>
      <c r="AF38" s="4">
        <v>1</v>
      </c>
      <c r="AG38" s="4">
        <v>1</v>
      </c>
      <c r="AH38" s="4">
        <v>1</v>
      </c>
      <c r="AI38" s="4">
        <v>1</v>
      </c>
      <c r="AJ38" s="4">
        <v>4</v>
      </c>
      <c r="AK38" s="4">
        <v>4</v>
      </c>
      <c r="AL38" s="4">
        <v>1</v>
      </c>
      <c r="AM38" s="4">
        <v>1</v>
      </c>
      <c r="AN38" s="4">
        <v>0</v>
      </c>
      <c r="AO38" s="4">
        <v>0</v>
      </c>
      <c r="AP38" s="3" t="s">
        <v>58</v>
      </c>
      <c r="AQ38" s="3" t="s">
        <v>69</v>
      </c>
      <c r="AR38" s="6" t="str">
        <f>HYPERLINK("http://catalog.hathitrust.org/Record/002976260","HathiTrust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HYPERLINK("https://creighton-primo.hosted.exlibrisgroup.com/primo-explore/search?tab=default_tab&amp;search_scope=EVERYTHING&amp;vid=01CRU&amp;lang=en_US&amp;offset=0&amp;query=any,contains,991002422519702656","Catalog Record")</f>
        <v>Catalog Record</v>
      </c>
      <c r="AT38" s="6" t="str">
        <f>HYPERLINK("http://www.worldcat.org/oclc/31604665","WorldCat Record")</f>
        <v>WorldCat Record</v>
      </c>
      <c r="AU38" s="3" t="s">
        <v>583</v>
      </c>
      <c r="AV38" s="3" t="s">
        <v>584</v>
      </c>
      <c r="AW38" s="3" t="s">
        <v>585</v>
      </c>
      <c r="AX38" s="3" t="s">
        <v>585</v>
      </c>
      <c r="AY38" s="3" t="s">
        <v>586</v>
      </c>
      <c r="AZ38" s="3" t="s">
        <v>74</v>
      </c>
      <c r="BB38" s="3" t="s">
        <v>587</v>
      </c>
      <c r="BC38" s="3" t="s">
        <v>588</v>
      </c>
      <c r="BD38" s="3" t="s">
        <v>589</v>
      </c>
    </row>
    <row r="39" spans="1:56" ht="40.5" customHeight="1" x14ac:dyDescent="0.25">
      <c r="A39" s="8" t="s">
        <v>58</v>
      </c>
      <c r="B39" s="2" t="s">
        <v>590</v>
      </c>
      <c r="C39" s="2" t="s">
        <v>591</v>
      </c>
      <c r="D39" s="2" t="s">
        <v>592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593</v>
      </c>
      <c r="M39" s="3" t="s">
        <v>594</v>
      </c>
      <c r="O39" s="3" t="s">
        <v>64</v>
      </c>
      <c r="P39" s="3" t="s">
        <v>83</v>
      </c>
      <c r="R39" s="3" t="s">
        <v>66</v>
      </c>
      <c r="S39" s="4">
        <v>3</v>
      </c>
      <c r="T39" s="4">
        <v>3</v>
      </c>
      <c r="U39" s="5" t="s">
        <v>595</v>
      </c>
      <c r="V39" s="5" t="s">
        <v>595</v>
      </c>
      <c r="W39" s="5" t="s">
        <v>596</v>
      </c>
      <c r="X39" s="5" t="s">
        <v>596</v>
      </c>
      <c r="Y39" s="4">
        <v>645</v>
      </c>
      <c r="Z39" s="4">
        <v>560</v>
      </c>
      <c r="AA39" s="4">
        <v>706</v>
      </c>
      <c r="AB39" s="4">
        <v>4</v>
      </c>
      <c r="AC39" s="4">
        <v>4</v>
      </c>
      <c r="AD39" s="4">
        <v>26</v>
      </c>
      <c r="AE39" s="4">
        <v>33</v>
      </c>
      <c r="AF39" s="4">
        <v>9</v>
      </c>
      <c r="AG39" s="4">
        <v>12</v>
      </c>
      <c r="AH39" s="4">
        <v>7</v>
      </c>
      <c r="AI39" s="4">
        <v>9</v>
      </c>
      <c r="AJ39" s="4">
        <v>14</v>
      </c>
      <c r="AK39" s="4">
        <v>17</v>
      </c>
      <c r="AL39" s="4">
        <v>3</v>
      </c>
      <c r="AM39" s="4">
        <v>3</v>
      </c>
      <c r="AN39" s="4">
        <v>0</v>
      </c>
      <c r="AO39" s="4">
        <v>0</v>
      </c>
      <c r="AP39" s="3" t="s">
        <v>58</v>
      </c>
      <c r="AQ39" s="3" t="s">
        <v>69</v>
      </c>
      <c r="AR39" s="6" t="str">
        <f>HYPERLINK("http://catalog.hathitrust.org/Record/000139178","HathiTrust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HYPERLINK("https://creighton-primo.hosted.exlibrisgroup.com/primo-explore/search?tab=default_tab&amp;search_scope=EVERYTHING&amp;vid=01CRU&amp;lang=en_US&amp;offset=0&amp;query=any,contains,991003341089702656","Catalog Record")</f>
        <v>Catalog Record</v>
      </c>
      <c r="AT39" s="6" t="str">
        <f>HYPERLINK("http://www.worldcat.org/oclc/712215","WorldCat Record")</f>
        <v>WorldCat Record</v>
      </c>
      <c r="AU39" s="3" t="s">
        <v>597</v>
      </c>
      <c r="AV39" s="3" t="s">
        <v>598</v>
      </c>
      <c r="AW39" s="3" t="s">
        <v>599</v>
      </c>
      <c r="AX39" s="3" t="s">
        <v>599</v>
      </c>
      <c r="AY39" s="3" t="s">
        <v>600</v>
      </c>
      <c r="AZ39" s="3" t="s">
        <v>74</v>
      </c>
      <c r="BC39" s="3" t="s">
        <v>601</v>
      </c>
      <c r="BD39" s="3" t="s">
        <v>602</v>
      </c>
    </row>
    <row r="40" spans="1:56" ht="40.5" customHeight="1" x14ac:dyDescent="0.25">
      <c r="A40" s="8" t="s">
        <v>58</v>
      </c>
      <c r="B40" s="2" t="s">
        <v>603</v>
      </c>
      <c r="C40" s="2" t="s">
        <v>604</v>
      </c>
      <c r="D40" s="2" t="s">
        <v>605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L40" s="2" t="s">
        <v>606</v>
      </c>
      <c r="M40" s="3" t="s">
        <v>525</v>
      </c>
      <c r="O40" s="3" t="s">
        <v>64</v>
      </c>
      <c r="P40" s="3" t="s">
        <v>607</v>
      </c>
      <c r="R40" s="3" t="s">
        <v>66</v>
      </c>
      <c r="S40" s="4">
        <v>1</v>
      </c>
      <c r="T40" s="4">
        <v>1</v>
      </c>
      <c r="U40" s="5" t="s">
        <v>608</v>
      </c>
      <c r="V40" s="5" t="s">
        <v>608</v>
      </c>
      <c r="W40" s="5" t="s">
        <v>609</v>
      </c>
      <c r="X40" s="5" t="s">
        <v>609</v>
      </c>
      <c r="Y40" s="4">
        <v>96</v>
      </c>
      <c r="Z40" s="4">
        <v>71</v>
      </c>
      <c r="AA40" s="4">
        <v>76</v>
      </c>
      <c r="AB40" s="4">
        <v>1</v>
      </c>
      <c r="AC40" s="4">
        <v>1</v>
      </c>
      <c r="AD40" s="4">
        <v>1</v>
      </c>
      <c r="AE40" s="4">
        <v>1</v>
      </c>
      <c r="AF40" s="4">
        <v>0</v>
      </c>
      <c r="AG40" s="4">
        <v>0</v>
      </c>
      <c r="AH40" s="4">
        <v>1</v>
      </c>
      <c r="AI40" s="4">
        <v>1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3" t="s">
        <v>58</v>
      </c>
      <c r="AQ40" s="3" t="s">
        <v>58</v>
      </c>
      <c r="AS40" s="6" t="str">
        <f>HYPERLINK("https://creighton-primo.hosted.exlibrisgroup.com/primo-explore/search?tab=default_tab&amp;search_scope=EVERYTHING&amp;vid=01CRU&amp;lang=en_US&amp;offset=0&amp;query=any,contains,991001761989702656","Catalog Record")</f>
        <v>Catalog Record</v>
      </c>
      <c r="AT40" s="6" t="str">
        <f>HYPERLINK("http://www.worldcat.org/oclc/22276332","WorldCat Record")</f>
        <v>WorldCat Record</v>
      </c>
      <c r="AU40" s="3" t="s">
        <v>610</v>
      </c>
      <c r="AV40" s="3" t="s">
        <v>611</v>
      </c>
      <c r="AW40" s="3" t="s">
        <v>612</v>
      </c>
      <c r="AX40" s="3" t="s">
        <v>612</v>
      </c>
      <c r="AY40" s="3" t="s">
        <v>613</v>
      </c>
      <c r="AZ40" s="3" t="s">
        <v>74</v>
      </c>
      <c r="BB40" s="3" t="s">
        <v>614</v>
      </c>
      <c r="BC40" s="3" t="s">
        <v>615</v>
      </c>
      <c r="BD40" s="3" t="s">
        <v>616</v>
      </c>
    </row>
    <row r="41" spans="1:56" ht="40.5" customHeight="1" x14ac:dyDescent="0.25">
      <c r="A41" s="8" t="s">
        <v>58</v>
      </c>
      <c r="B41" s="2" t="s">
        <v>617</v>
      </c>
      <c r="C41" s="2" t="s">
        <v>618</v>
      </c>
      <c r="D41" s="2" t="s">
        <v>619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L41" s="2" t="s">
        <v>620</v>
      </c>
      <c r="M41" s="3" t="s">
        <v>285</v>
      </c>
      <c r="O41" s="3" t="s">
        <v>64</v>
      </c>
      <c r="P41" s="3" t="s">
        <v>113</v>
      </c>
      <c r="Q41" s="2" t="s">
        <v>621</v>
      </c>
      <c r="R41" s="3" t="s">
        <v>66</v>
      </c>
      <c r="S41" s="4">
        <v>6</v>
      </c>
      <c r="T41" s="4">
        <v>6</v>
      </c>
      <c r="U41" s="5" t="s">
        <v>622</v>
      </c>
      <c r="V41" s="5" t="s">
        <v>622</v>
      </c>
      <c r="W41" s="5" t="s">
        <v>623</v>
      </c>
      <c r="X41" s="5" t="s">
        <v>623</v>
      </c>
      <c r="Y41" s="4">
        <v>174</v>
      </c>
      <c r="Z41" s="4">
        <v>114</v>
      </c>
      <c r="AA41" s="4">
        <v>119</v>
      </c>
      <c r="AB41" s="4">
        <v>1</v>
      </c>
      <c r="AC41" s="4">
        <v>1</v>
      </c>
      <c r="AD41" s="4">
        <v>2</v>
      </c>
      <c r="AE41" s="4">
        <v>2</v>
      </c>
      <c r="AF41" s="4">
        <v>1</v>
      </c>
      <c r="AG41" s="4">
        <v>1</v>
      </c>
      <c r="AH41" s="4">
        <v>0</v>
      </c>
      <c r="AI41" s="4">
        <v>0</v>
      </c>
      <c r="AJ41" s="4">
        <v>2</v>
      </c>
      <c r="AK41" s="4">
        <v>2</v>
      </c>
      <c r="AL41" s="4">
        <v>0</v>
      </c>
      <c r="AM41" s="4">
        <v>0</v>
      </c>
      <c r="AN41" s="4">
        <v>0</v>
      </c>
      <c r="AO41" s="4">
        <v>0</v>
      </c>
      <c r="AP41" s="3" t="s">
        <v>58</v>
      </c>
      <c r="AQ41" s="3" t="s">
        <v>58</v>
      </c>
      <c r="AS41" s="6" t="str">
        <f>HYPERLINK("https://creighton-primo.hosted.exlibrisgroup.com/primo-explore/search?tab=default_tab&amp;search_scope=EVERYTHING&amp;vid=01CRU&amp;lang=en_US&amp;offset=0&amp;query=any,contains,991002315389702656","Catalog Record")</f>
        <v>Catalog Record</v>
      </c>
      <c r="AT41" s="6" t="str">
        <f>HYPERLINK("http://www.worldcat.org/oclc/30036676","WorldCat Record")</f>
        <v>WorldCat Record</v>
      </c>
      <c r="AU41" s="3" t="s">
        <v>624</v>
      </c>
      <c r="AV41" s="3" t="s">
        <v>625</v>
      </c>
      <c r="AW41" s="3" t="s">
        <v>626</v>
      </c>
      <c r="AX41" s="3" t="s">
        <v>626</v>
      </c>
      <c r="AY41" s="3" t="s">
        <v>627</v>
      </c>
      <c r="AZ41" s="3" t="s">
        <v>74</v>
      </c>
      <c r="BB41" s="3" t="s">
        <v>628</v>
      </c>
      <c r="BC41" s="3" t="s">
        <v>629</v>
      </c>
      <c r="BD41" s="3" t="s">
        <v>630</v>
      </c>
    </row>
    <row r="42" spans="1:56" ht="40.5" customHeight="1" x14ac:dyDescent="0.25">
      <c r="A42" s="8" t="s">
        <v>58</v>
      </c>
      <c r="B42" s="2" t="s">
        <v>631</v>
      </c>
      <c r="C42" s="2" t="s">
        <v>632</v>
      </c>
      <c r="D42" s="2" t="s">
        <v>633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L42" s="2" t="s">
        <v>634</v>
      </c>
      <c r="M42" s="3" t="s">
        <v>201</v>
      </c>
      <c r="N42" s="2" t="s">
        <v>635</v>
      </c>
      <c r="O42" s="3" t="s">
        <v>64</v>
      </c>
      <c r="P42" s="3" t="s">
        <v>83</v>
      </c>
      <c r="R42" s="3" t="s">
        <v>66</v>
      </c>
      <c r="S42" s="4">
        <v>1</v>
      </c>
      <c r="T42" s="4">
        <v>1</v>
      </c>
      <c r="U42" s="5" t="s">
        <v>636</v>
      </c>
      <c r="V42" s="5" t="s">
        <v>636</v>
      </c>
      <c r="W42" s="5" t="s">
        <v>636</v>
      </c>
      <c r="X42" s="5" t="s">
        <v>636</v>
      </c>
      <c r="Y42" s="4">
        <v>184</v>
      </c>
      <c r="Z42" s="4">
        <v>135</v>
      </c>
      <c r="AA42" s="4">
        <v>145</v>
      </c>
      <c r="AB42" s="4">
        <v>1</v>
      </c>
      <c r="AC42" s="4">
        <v>1</v>
      </c>
      <c r="AD42" s="4">
        <v>5</v>
      </c>
      <c r="AE42" s="4">
        <v>5</v>
      </c>
      <c r="AF42" s="4">
        <v>0</v>
      </c>
      <c r="AG42" s="4">
        <v>0</v>
      </c>
      <c r="AH42" s="4">
        <v>3</v>
      </c>
      <c r="AI42" s="4">
        <v>3</v>
      </c>
      <c r="AJ42" s="4">
        <v>4</v>
      </c>
      <c r="AK42" s="4">
        <v>4</v>
      </c>
      <c r="AL42" s="4">
        <v>0</v>
      </c>
      <c r="AM42" s="4">
        <v>0</v>
      </c>
      <c r="AN42" s="4">
        <v>0</v>
      </c>
      <c r="AO42" s="4">
        <v>0</v>
      </c>
      <c r="AP42" s="3" t="s">
        <v>58</v>
      </c>
      <c r="AQ42" s="3" t="s">
        <v>69</v>
      </c>
      <c r="AR42" s="6" t="str">
        <f>HYPERLINK("http://catalog.hathitrust.org/Record/004063174","HathiTrust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HYPERLINK("https://creighton-primo.hosted.exlibrisgroup.com/primo-explore/search?tab=default_tab&amp;search_scope=EVERYTHING&amp;vid=01CRU&amp;lang=en_US&amp;offset=0&amp;query=any,contains,991003292879702656","Catalog Record")</f>
        <v>Catalog Record</v>
      </c>
      <c r="AT42" s="6" t="str">
        <f>HYPERLINK("http://www.worldcat.org/oclc/40964704","WorldCat Record")</f>
        <v>WorldCat Record</v>
      </c>
      <c r="AU42" s="3" t="s">
        <v>637</v>
      </c>
      <c r="AV42" s="3" t="s">
        <v>638</v>
      </c>
      <c r="AW42" s="3" t="s">
        <v>639</v>
      </c>
      <c r="AX42" s="3" t="s">
        <v>639</v>
      </c>
      <c r="AY42" s="3" t="s">
        <v>640</v>
      </c>
      <c r="AZ42" s="3" t="s">
        <v>74</v>
      </c>
      <c r="BB42" s="3" t="s">
        <v>641</v>
      </c>
      <c r="BC42" s="3" t="s">
        <v>642</v>
      </c>
      <c r="BD42" s="3" t="s">
        <v>643</v>
      </c>
    </row>
    <row r="43" spans="1:56" ht="40.5" customHeight="1" x14ac:dyDescent="0.25">
      <c r="A43" s="8" t="s">
        <v>58</v>
      </c>
      <c r="B43" s="2" t="s">
        <v>644</v>
      </c>
      <c r="C43" s="2" t="s">
        <v>645</v>
      </c>
      <c r="D43" s="2" t="s">
        <v>646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647</v>
      </c>
      <c r="L43" s="2" t="s">
        <v>648</v>
      </c>
      <c r="M43" s="3" t="s">
        <v>63</v>
      </c>
      <c r="O43" s="3" t="s">
        <v>64</v>
      </c>
      <c r="P43" s="3" t="s">
        <v>65</v>
      </c>
      <c r="R43" s="3" t="s">
        <v>66</v>
      </c>
      <c r="S43" s="4">
        <v>5</v>
      </c>
      <c r="T43" s="4">
        <v>5</v>
      </c>
      <c r="U43" s="5" t="s">
        <v>649</v>
      </c>
      <c r="V43" s="5" t="s">
        <v>649</v>
      </c>
      <c r="W43" s="5" t="s">
        <v>245</v>
      </c>
      <c r="X43" s="5" t="s">
        <v>245</v>
      </c>
      <c r="Y43" s="4">
        <v>722</v>
      </c>
      <c r="Z43" s="4">
        <v>671</v>
      </c>
      <c r="AA43" s="4">
        <v>677</v>
      </c>
      <c r="AB43" s="4">
        <v>4</v>
      </c>
      <c r="AC43" s="4">
        <v>4</v>
      </c>
      <c r="AD43" s="4">
        <v>21</v>
      </c>
      <c r="AE43" s="4">
        <v>21</v>
      </c>
      <c r="AF43" s="4">
        <v>5</v>
      </c>
      <c r="AG43" s="4">
        <v>5</v>
      </c>
      <c r="AH43" s="4">
        <v>5</v>
      </c>
      <c r="AI43" s="4">
        <v>5</v>
      </c>
      <c r="AJ43" s="4">
        <v>13</v>
      </c>
      <c r="AK43" s="4">
        <v>13</v>
      </c>
      <c r="AL43" s="4">
        <v>3</v>
      </c>
      <c r="AM43" s="4">
        <v>3</v>
      </c>
      <c r="AN43" s="4">
        <v>0</v>
      </c>
      <c r="AO43" s="4">
        <v>0</v>
      </c>
      <c r="AP43" s="3" t="s">
        <v>58</v>
      </c>
      <c r="AQ43" s="3" t="s">
        <v>69</v>
      </c>
      <c r="AR43" s="6" t="str">
        <f>HYPERLINK("http://catalog.hathitrust.org/Record/000248444","HathiTrust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HYPERLINK("https://creighton-primo.hosted.exlibrisgroup.com/primo-explore/search?tab=default_tab&amp;search_scope=EVERYTHING&amp;vid=01CRU&amp;lang=en_US&amp;offset=0&amp;query=any,contains,991000487439702656","Catalog Record")</f>
        <v>Catalog Record</v>
      </c>
      <c r="AT43" s="6" t="str">
        <f>HYPERLINK("http://www.worldcat.org/oclc/11089751","WorldCat Record")</f>
        <v>WorldCat Record</v>
      </c>
      <c r="AU43" s="3" t="s">
        <v>650</v>
      </c>
      <c r="AV43" s="3" t="s">
        <v>651</v>
      </c>
      <c r="AW43" s="3" t="s">
        <v>652</v>
      </c>
      <c r="AX43" s="3" t="s">
        <v>652</v>
      </c>
      <c r="AY43" s="3" t="s">
        <v>653</v>
      </c>
      <c r="AZ43" s="3" t="s">
        <v>74</v>
      </c>
      <c r="BB43" s="3" t="s">
        <v>654</v>
      </c>
      <c r="BC43" s="3" t="s">
        <v>655</v>
      </c>
      <c r="BD43" s="3" t="s">
        <v>656</v>
      </c>
    </row>
    <row r="44" spans="1:56" ht="40.5" customHeight="1" x14ac:dyDescent="0.25">
      <c r="A44" s="8" t="s">
        <v>58</v>
      </c>
      <c r="B44" s="2" t="s">
        <v>657</v>
      </c>
      <c r="C44" s="2" t="s">
        <v>658</v>
      </c>
      <c r="D44" s="2" t="s">
        <v>659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L44" s="2" t="s">
        <v>660</v>
      </c>
      <c r="M44" s="3" t="s">
        <v>285</v>
      </c>
      <c r="O44" s="3" t="s">
        <v>64</v>
      </c>
      <c r="P44" s="3" t="s">
        <v>83</v>
      </c>
      <c r="Q44" s="2" t="s">
        <v>661</v>
      </c>
      <c r="R44" s="3" t="s">
        <v>66</v>
      </c>
      <c r="S44" s="4">
        <v>2</v>
      </c>
      <c r="T44" s="4">
        <v>2</v>
      </c>
      <c r="U44" s="5" t="s">
        <v>662</v>
      </c>
      <c r="V44" s="5" t="s">
        <v>662</v>
      </c>
      <c r="W44" s="5" t="s">
        <v>663</v>
      </c>
      <c r="X44" s="5" t="s">
        <v>663</v>
      </c>
      <c r="Y44" s="4">
        <v>57</v>
      </c>
      <c r="Z44" s="4">
        <v>42</v>
      </c>
      <c r="AA44" s="4">
        <v>42</v>
      </c>
      <c r="AB44" s="4">
        <v>1</v>
      </c>
      <c r="AC44" s="4">
        <v>1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3" t="s">
        <v>58</v>
      </c>
      <c r="AQ44" s="3" t="s">
        <v>58</v>
      </c>
      <c r="AS44" s="6" t="str">
        <f>HYPERLINK("https://creighton-primo.hosted.exlibrisgroup.com/primo-explore/search?tab=default_tab&amp;search_scope=EVERYTHING&amp;vid=01CRU&amp;lang=en_US&amp;offset=0&amp;query=any,contains,991002449999702656","Catalog Record")</f>
        <v>Catalog Record</v>
      </c>
      <c r="AT44" s="6" t="str">
        <f>HYPERLINK("http://www.worldcat.org/oclc/31940361","WorldCat Record")</f>
        <v>WorldCat Record</v>
      </c>
      <c r="AU44" s="3" t="s">
        <v>664</v>
      </c>
      <c r="AV44" s="3" t="s">
        <v>665</v>
      </c>
      <c r="AW44" s="3" t="s">
        <v>666</v>
      </c>
      <c r="AX44" s="3" t="s">
        <v>666</v>
      </c>
      <c r="AY44" s="3" t="s">
        <v>667</v>
      </c>
      <c r="AZ44" s="3" t="s">
        <v>74</v>
      </c>
      <c r="BB44" s="3" t="s">
        <v>668</v>
      </c>
      <c r="BC44" s="3" t="s">
        <v>669</v>
      </c>
      <c r="BD44" s="3" t="s">
        <v>670</v>
      </c>
    </row>
    <row r="45" spans="1:56" ht="40.5" customHeight="1" x14ac:dyDescent="0.25">
      <c r="A45" s="8" t="s">
        <v>58</v>
      </c>
      <c r="B45" s="2" t="s">
        <v>671</v>
      </c>
      <c r="C45" s="2" t="s">
        <v>672</v>
      </c>
      <c r="D45" s="2" t="s">
        <v>673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674</v>
      </c>
      <c r="L45" s="2" t="s">
        <v>675</v>
      </c>
      <c r="M45" s="3" t="s">
        <v>676</v>
      </c>
      <c r="O45" s="3" t="s">
        <v>64</v>
      </c>
      <c r="P45" s="3" t="s">
        <v>83</v>
      </c>
      <c r="R45" s="3" t="s">
        <v>66</v>
      </c>
      <c r="S45" s="4">
        <v>5</v>
      </c>
      <c r="T45" s="4">
        <v>5</v>
      </c>
      <c r="U45" s="5" t="s">
        <v>677</v>
      </c>
      <c r="V45" s="5" t="s">
        <v>677</v>
      </c>
      <c r="W45" s="5" t="s">
        <v>678</v>
      </c>
      <c r="X45" s="5" t="s">
        <v>678</v>
      </c>
      <c r="Y45" s="4">
        <v>899</v>
      </c>
      <c r="Z45" s="4">
        <v>812</v>
      </c>
      <c r="AA45" s="4">
        <v>826</v>
      </c>
      <c r="AB45" s="4">
        <v>5</v>
      </c>
      <c r="AC45" s="4">
        <v>5</v>
      </c>
      <c r="AD45" s="4">
        <v>26</v>
      </c>
      <c r="AE45" s="4">
        <v>26</v>
      </c>
      <c r="AF45" s="4">
        <v>9</v>
      </c>
      <c r="AG45" s="4">
        <v>9</v>
      </c>
      <c r="AH45" s="4">
        <v>6</v>
      </c>
      <c r="AI45" s="4">
        <v>6</v>
      </c>
      <c r="AJ45" s="4">
        <v>14</v>
      </c>
      <c r="AK45" s="4">
        <v>14</v>
      </c>
      <c r="AL45" s="4">
        <v>4</v>
      </c>
      <c r="AM45" s="4">
        <v>4</v>
      </c>
      <c r="AN45" s="4">
        <v>0</v>
      </c>
      <c r="AO45" s="4">
        <v>0</v>
      </c>
      <c r="AP45" s="3" t="s">
        <v>58</v>
      </c>
      <c r="AQ45" s="3" t="s">
        <v>58</v>
      </c>
      <c r="AS45" s="6" t="str">
        <f>HYPERLINK("https://creighton-primo.hosted.exlibrisgroup.com/primo-explore/search?tab=default_tab&amp;search_scope=EVERYTHING&amp;vid=01CRU&amp;lang=en_US&amp;offset=0&amp;query=any,contains,991003604899702656","Catalog Record")</f>
        <v>Catalog Record</v>
      </c>
      <c r="AT45" s="6" t="str">
        <f>HYPERLINK("http://www.worldcat.org/oclc/44803079","WorldCat Record")</f>
        <v>WorldCat Record</v>
      </c>
      <c r="AU45" s="3" t="s">
        <v>679</v>
      </c>
      <c r="AV45" s="3" t="s">
        <v>680</v>
      </c>
      <c r="AW45" s="3" t="s">
        <v>681</v>
      </c>
      <c r="AX45" s="3" t="s">
        <v>681</v>
      </c>
      <c r="AY45" s="3" t="s">
        <v>682</v>
      </c>
      <c r="AZ45" s="3" t="s">
        <v>74</v>
      </c>
      <c r="BB45" s="3" t="s">
        <v>683</v>
      </c>
      <c r="BC45" s="3" t="s">
        <v>684</v>
      </c>
      <c r="BD45" s="3" t="s">
        <v>685</v>
      </c>
    </row>
    <row r="46" spans="1:56" ht="40.5" customHeight="1" x14ac:dyDescent="0.25">
      <c r="A46" s="8" t="s">
        <v>58</v>
      </c>
      <c r="B46" s="2" t="s">
        <v>686</v>
      </c>
      <c r="C46" s="2" t="s">
        <v>687</v>
      </c>
      <c r="D46" s="2" t="s">
        <v>688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689</v>
      </c>
      <c r="L46" s="2" t="s">
        <v>690</v>
      </c>
      <c r="M46" s="3" t="s">
        <v>215</v>
      </c>
      <c r="O46" s="3" t="s">
        <v>64</v>
      </c>
      <c r="P46" s="3" t="s">
        <v>83</v>
      </c>
      <c r="R46" s="3" t="s">
        <v>66</v>
      </c>
      <c r="S46" s="4">
        <v>3</v>
      </c>
      <c r="T46" s="4">
        <v>3</v>
      </c>
      <c r="U46" s="5" t="s">
        <v>691</v>
      </c>
      <c r="V46" s="5" t="s">
        <v>691</v>
      </c>
      <c r="W46" s="5" t="s">
        <v>692</v>
      </c>
      <c r="X46" s="5" t="s">
        <v>692</v>
      </c>
      <c r="Y46" s="4">
        <v>861</v>
      </c>
      <c r="Z46" s="4">
        <v>774</v>
      </c>
      <c r="AA46" s="4">
        <v>790</v>
      </c>
      <c r="AB46" s="4">
        <v>5</v>
      </c>
      <c r="AC46" s="4">
        <v>5</v>
      </c>
      <c r="AD46" s="4">
        <v>27</v>
      </c>
      <c r="AE46" s="4">
        <v>27</v>
      </c>
      <c r="AF46" s="4">
        <v>8</v>
      </c>
      <c r="AG46" s="4">
        <v>8</v>
      </c>
      <c r="AH46" s="4">
        <v>7</v>
      </c>
      <c r="AI46" s="4">
        <v>7</v>
      </c>
      <c r="AJ46" s="4">
        <v>11</v>
      </c>
      <c r="AK46" s="4">
        <v>11</v>
      </c>
      <c r="AL46" s="4">
        <v>4</v>
      </c>
      <c r="AM46" s="4">
        <v>4</v>
      </c>
      <c r="AN46" s="4">
        <v>1</v>
      </c>
      <c r="AO46" s="4">
        <v>1</v>
      </c>
      <c r="AP46" s="3" t="s">
        <v>58</v>
      </c>
      <c r="AQ46" s="3" t="s">
        <v>58</v>
      </c>
      <c r="AS46" s="6" t="str">
        <f>HYPERLINK("https://creighton-primo.hosted.exlibrisgroup.com/primo-explore/search?tab=default_tab&amp;search_scope=EVERYTHING&amp;vid=01CRU&amp;lang=en_US&amp;offset=0&amp;query=any,contains,991003292789702656","Catalog Record")</f>
        <v>Catalog Record</v>
      </c>
      <c r="AT46" s="6" t="str">
        <f>HYPERLINK("http://www.worldcat.org/oclc/40762839","WorldCat Record")</f>
        <v>WorldCat Record</v>
      </c>
      <c r="AU46" s="3" t="s">
        <v>693</v>
      </c>
      <c r="AV46" s="3" t="s">
        <v>694</v>
      </c>
      <c r="AW46" s="3" t="s">
        <v>695</v>
      </c>
      <c r="AX46" s="3" t="s">
        <v>695</v>
      </c>
      <c r="AY46" s="3" t="s">
        <v>696</v>
      </c>
      <c r="AZ46" s="3" t="s">
        <v>74</v>
      </c>
      <c r="BB46" s="3" t="s">
        <v>697</v>
      </c>
      <c r="BC46" s="3" t="s">
        <v>698</v>
      </c>
      <c r="BD46" s="3" t="s">
        <v>699</v>
      </c>
    </row>
    <row r="47" spans="1:56" ht="40.5" customHeight="1" x14ac:dyDescent="0.25">
      <c r="A47" s="8" t="s">
        <v>58</v>
      </c>
      <c r="B47" s="2" t="s">
        <v>700</v>
      </c>
      <c r="C47" s="2" t="s">
        <v>701</v>
      </c>
      <c r="D47" s="2" t="s">
        <v>702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L47" s="2" t="s">
        <v>703</v>
      </c>
      <c r="M47" s="3" t="s">
        <v>185</v>
      </c>
      <c r="O47" s="3" t="s">
        <v>64</v>
      </c>
      <c r="P47" s="3" t="s">
        <v>83</v>
      </c>
      <c r="R47" s="3" t="s">
        <v>66</v>
      </c>
      <c r="S47" s="4">
        <v>7</v>
      </c>
      <c r="T47" s="4">
        <v>7</v>
      </c>
      <c r="U47" s="5" t="s">
        <v>704</v>
      </c>
      <c r="V47" s="5" t="s">
        <v>704</v>
      </c>
      <c r="W47" s="5" t="s">
        <v>705</v>
      </c>
      <c r="X47" s="5" t="s">
        <v>705</v>
      </c>
      <c r="Y47" s="4">
        <v>198</v>
      </c>
      <c r="Z47" s="4">
        <v>141</v>
      </c>
      <c r="AA47" s="4">
        <v>143</v>
      </c>
      <c r="AB47" s="4">
        <v>2</v>
      </c>
      <c r="AC47" s="4">
        <v>2</v>
      </c>
      <c r="AD47" s="4">
        <v>6</v>
      </c>
      <c r="AE47" s="4">
        <v>6</v>
      </c>
      <c r="AF47" s="4">
        <v>1</v>
      </c>
      <c r="AG47" s="4">
        <v>1</v>
      </c>
      <c r="AH47" s="4">
        <v>2</v>
      </c>
      <c r="AI47" s="4">
        <v>2</v>
      </c>
      <c r="AJ47" s="4">
        <v>2</v>
      </c>
      <c r="AK47" s="4">
        <v>2</v>
      </c>
      <c r="AL47" s="4">
        <v>1</v>
      </c>
      <c r="AM47" s="4">
        <v>1</v>
      </c>
      <c r="AN47" s="4">
        <v>0</v>
      </c>
      <c r="AO47" s="4">
        <v>0</v>
      </c>
      <c r="AP47" s="3" t="s">
        <v>58</v>
      </c>
      <c r="AQ47" s="3" t="s">
        <v>69</v>
      </c>
      <c r="AR47" s="6" t="str">
        <f>HYPERLINK("http://catalog.hathitrust.org/Record/002738131","HathiTrust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HYPERLINK("https://creighton-primo.hosted.exlibrisgroup.com/primo-explore/search?tab=default_tab&amp;search_scope=EVERYTHING&amp;vid=01CRU&amp;lang=en_US&amp;offset=0&amp;query=any,contains,991002144969702656","Catalog Record")</f>
        <v>Catalog Record</v>
      </c>
      <c r="AT47" s="6" t="str">
        <f>HYPERLINK("http://www.worldcat.org/oclc/27640768","WorldCat Record")</f>
        <v>WorldCat Record</v>
      </c>
      <c r="AU47" s="3" t="s">
        <v>706</v>
      </c>
      <c r="AV47" s="3" t="s">
        <v>707</v>
      </c>
      <c r="AW47" s="3" t="s">
        <v>708</v>
      </c>
      <c r="AX47" s="3" t="s">
        <v>708</v>
      </c>
      <c r="AY47" s="3" t="s">
        <v>709</v>
      </c>
      <c r="AZ47" s="3" t="s">
        <v>74</v>
      </c>
      <c r="BB47" s="3" t="s">
        <v>710</v>
      </c>
      <c r="BC47" s="3" t="s">
        <v>711</v>
      </c>
      <c r="BD47" s="3" t="s">
        <v>712</v>
      </c>
    </row>
    <row r="48" spans="1:56" ht="40.5" customHeight="1" x14ac:dyDescent="0.25">
      <c r="A48" s="8" t="s">
        <v>58</v>
      </c>
      <c r="B48" s="2" t="s">
        <v>713</v>
      </c>
      <c r="C48" s="2" t="s">
        <v>714</v>
      </c>
      <c r="D48" s="2" t="s">
        <v>715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716</v>
      </c>
      <c r="L48" s="2" t="s">
        <v>717</v>
      </c>
      <c r="M48" s="3" t="s">
        <v>215</v>
      </c>
      <c r="N48" s="2" t="s">
        <v>127</v>
      </c>
      <c r="O48" s="3" t="s">
        <v>64</v>
      </c>
      <c r="P48" s="3" t="s">
        <v>83</v>
      </c>
      <c r="R48" s="3" t="s">
        <v>66</v>
      </c>
      <c r="S48" s="4">
        <v>1</v>
      </c>
      <c r="T48" s="4">
        <v>1</v>
      </c>
      <c r="U48" s="5" t="s">
        <v>718</v>
      </c>
      <c r="V48" s="5" t="s">
        <v>718</v>
      </c>
      <c r="W48" s="5" t="s">
        <v>718</v>
      </c>
      <c r="X48" s="5" t="s">
        <v>718</v>
      </c>
      <c r="Y48" s="4">
        <v>659</v>
      </c>
      <c r="Z48" s="4">
        <v>630</v>
      </c>
      <c r="AA48" s="4">
        <v>700</v>
      </c>
      <c r="AB48" s="4">
        <v>6</v>
      </c>
      <c r="AC48" s="4">
        <v>6</v>
      </c>
      <c r="AD48" s="4">
        <v>21</v>
      </c>
      <c r="AE48" s="4">
        <v>21</v>
      </c>
      <c r="AF48" s="4">
        <v>6</v>
      </c>
      <c r="AG48" s="4">
        <v>6</v>
      </c>
      <c r="AH48" s="4">
        <v>4</v>
      </c>
      <c r="AI48" s="4">
        <v>4</v>
      </c>
      <c r="AJ48" s="4">
        <v>12</v>
      </c>
      <c r="AK48" s="4">
        <v>12</v>
      </c>
      <c r="AL48" s="4">
        <v>4</v>
      </c>
      <c r="AM48" s="4">
        <v>4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HYPERLINK("https://creighton-primo.hosted.exlibrisgroup.com/primo-explore/search?tab=default_tab&amp;search_scope=EVERYTHING&amp;vid=01CRU&amp;lang=en_US&amp;offset=0&amp;query=any,contains,991003292759702656","Catalog Record")</f>
        <v>Catalog Record</v>
      </c>
      <c r="AT48" s="6" t="str">
        <f>HYPERLINK("http://www.worldcat.org/oclc/42889718","WorldCat Record")</f>
        <v>WorldCat Record</v>
      </c>
      <c r="AU48" s="3" t="s">
        <v>719</v>
      </c>
      <c r="AV48" s="3" t="s">
        <v>720</v>
      </c>
      <c r="AW48" s="3" t="s">
        <v>721</v>
      </c>
      <c r="AX48" s="3" t="s">
        <v>721</v>
      </c>
      <c r="AY48" s="3" t="s">
        <v>722</v>
      </c>
      <c r="AZ48" s="3" t="s">
        <v>74</v>
      </c>
      <c r="BB48" s="3" t="s">
        <v>723</v>
      </c>
      <c r="BC48" s="3" t="s">
        <v>724</v>
      </c>
      <c r="BD48" s="3" t="s">
        <v>725</v>
      </c>
    </row>
    <row r="49" spans="1:56" ht="40.5" customHeight="1" x14ac:dyDescent="0.25">
      <c r="A49" s="8" t="s">
        <v>58</v>
      </c>
      <c r="B49" s="2" t="s">
        <v>726</v>
      </c>
      <c r="C49" s="2" t="s">
        <v>727</v>
      </c>
      <c r="D49" s="2" t="s">
        <v>728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L49" s="2" t="s">
        <v>729</v>
      </c>
      <c r="M49" s="3" t="s">
        <v>285</v>
      </c>
      <c r="O49" s="3" t="s">
        <v>64</v>
      </c>
      <c r="P49" s="3" t="s">
        <v>83</v>
      </c>
      <c r="Q49" s="2" t="s">
        <v>730</v>
      </c>
      <c r="R49" s="3" t="s">
        <v>66</v>
      </c>
      <c r="S49" s="4">
        <v>1</v>
      </c>
      <c r="T49" s="4">
        <v>1</v>
      </c>
      <c r="U49" s="5" t="s">
        <v>731</v>
      </c>
      <c r="V49" s="5" t="s">
        <v>731</v>
      </c>
      <c r="W49" s="5" t="s">
        <v>732</v>
      </c>
      <c r="X49" s="5" t="s">
        <v>732</v>
      </c>
      <c r="Y49" s="4">
        <v>275</v>
      </c>
      <c r="Z49" s="4">
        <v>185</v>
      </c>
      <c r="AA49" s="4">
        <v>191</v>
      </c>
      <c r="AB49" s="4">
        <v>2</v>
      </c>
      <c r="AC49" s="4">
        <v>2</v>
      </c>
      <c r="AD49" s="4">
        <v>11</v>
      </c>
      <c r="AE49" s="4">
        <v>11</v>
      </c>
      <c r="AF49" s="4">
        <v>4</v>
      </c>
      <c r="AG49" s="4">
        <v>4</v>
      </c>
      <c r="AH49" s="4">
        <v>2</v>
      </c>
      <c r="AI49" s="4">
        <v>2</v>
      </c>
      <c r="AJ49" s="4">
        <v>6</v>
      </c>
      <c r="AK49" s="4">
        <v>6</v>
      </c>
      <c r="AL49" s="4">
        <v>1</v>
      </c>
      <c r="AM49" s="4">
        <v>1</v>
      </c>
      <c r="AN49" s="4">
        <v>0</v>
      </c>
      <c r="AO49" s="4">
        <v>0</v>
      </c>
      <c r="AP49" s="3" t="s">
        <v>58</v>
      </c>
      <c r="AQ49" s="3" t="s">
        <v>69</v>
      </c>
      <c r="AR49" s="6" t="str">
        <f>HYPERLINK("http://catalog.hathitrust.org/Record/002973277","HathiTrust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HYPERLINK("https://creighton-primo.hosted.exlibrisgroup.com/primo-explore/search?tab=default_tab&amp;search_scope=EVERYTHING&amp;vid=01CRU&amp;lang=en_US&amp;offset=0&amp;query=any,contains,991002423909702656","Catalog Record")</f>
        <v>Catalog Record</v>
      </c>
      <c r="AT49" s="6" t="str">
        <f>HYPERLINK("http://www.worldcat.org/oclc/31606281","WorldCat Record")</f>
        <v>WorldCat Record</v>
      </c>
      <c r="AU49" s="3" t="s">
        <v>733</v>
      </c>
      <c r="AV49" s="3" t="s">
        <v>734</v>
      </c>
      <c r="AW49" s="3" t="s">
        <v>735</v>
      </c>
      <c r="AX49" s="3" t="s">
        <v>735</v>
      </c>
      <c r="AY49" s="3" t="s">
        <v>736</v>
      </c>
      <c r="AZ49" s="3" t="s">
        <v>74</v>
      </c>
      <c r="BB49" s="3" t="s">
        <v>737</v>
      </c>
      <c r="BC49" s="3" t="s">
        <v>738</v>
      </c>
      <c r="BD49" s="3" t="s">
        <v>739</v>
      </c>
    </row>
    <row r="50" spans="1:56" ht="40.5" customHeight="1" x14ac:dyDescent="0.25">
      <c r="A50" s="8" t="s">
        <v>58</v>
      </c>
      <c r="B50" s="2" t="s">
        <v>740</v>
      </c>
      <c r="C50" s="2" t="s">
        <v>741</v>
      </c>
      <c r="D50" s="2" t="s">
        <v>742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743</v>
      </c>
      <c r="L50" s="2" t="s">
        <v>744</v>
      </c>
      <c r="M50" s="3" t="s">
        <v>745</v>
      </c>
      <c r="O50" s="3" t="s">
        <v>64</v>
      </c>
      <c r="P50" s="3" t="s">
        <v>83</v>
      </c>
      <c r="Q50" s="2" t="s">
        <v>746</v>
      </c>
      <c r="R50" s="3" t="s">
        <v>66</v>
      </c>
      <c r="S50" s="4">
        <v>2</v>
      </c>
      <c r="T50" s="4">
        <v>2</v>
      </c>
      <c r="U50" s="5" t="s">
        <v>747</v>
      </c>
      <c r="V50" s="5" t="s">
        <v>747</v>
      </c>
      <c r="W50" s="5" t="s">
        <v>100</v>
      </c>
      <c r="X50" s="5" t="s">
        <v>100</v>
      </c>
      <c r="Y50" s="4">
        <v>285</v>
      </c>
      <c r="Z50" s="4">
        <v>198</v>
      </c>
      <c r="AA50" s="4">
        <v>250</v>
      </c>
      <c r="AB50" s="4">
        <v>1</v>
      </c>
      <c r="AC50" s="4">
        <v>1</v>
      </c>
      <c r="AD50" s="4">
        <v>5</v>
      </c>
      <c r="AE50" s="4">
        <v>8</v>
      </c>
      <c r="AF50" s="4">
        <v>2</v>
      </c>
      <c r="AG50" s="4">
        <v>4</v>
      </c>
      <c r="AH50" s="4">
        <v>2</v>
      </c>
      <c r="AI50" s="4">
        <v>4</v>
      </c>
      <c r="AJ50" s="4">
        <v>3</v>
      </c>
      <c r="AK50" s="4">
        <v>3</v>
      </c>
      <c r="AL50" s="4">
        <v>0</v>
      </c>
      <c r="AM50" s="4">
        <v>0</v>
      </c>
      <c r="AN50" s="4">
        <v>0</v>
      </c>
      <c r="AO50" s="4">
        <v>0</v>
      </c>
      <c r="AP50" s="3" t="s">
        <v>58</v>
      </c>
      <c r="AQ50" s="3" t="s">
        <v>69</v>
      </c>
      <c r="AR50" s="6" t="str">
        <f>HYPERLINK("http://catalog.hathitrust.org/Record/001556700","HathiTrust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HYPERLINK("https://creighton-primo.hosted.exlibrisgroup.com/primo-explore/search?tab=default_tab&amp;search_scope=EVERYTHING&amp;vid=01CRU&amp;lang=en_US&amp;offset=0&amp;query=any,contains,991003367639702656","Catalog Record")</f>
        <v>Catalog Record</v>
      </c>
      <c r="AT50" s="6" t="str">
        <f>HYPERLINK("http://www.worldcat.org/oclc/902802","WorldCat Record")</f>
        <v>WorldCat Record</v>
      </c>
      <c r="AU50" s="3" t="s">
        <v>748</v>
      </c>
      <c r="AV50" s="3" t="s">
        <v>749</v>
      </c>
      <c r="AW50" s="3" t="s">
        <v>750</v>
      </c>
      <c r="AX50" s="3" t="s">
        <v>750</v>
      </c>
      <c r="AY50" s="3" t="s">
        <v>751</v>
      </c>
      <c r="AZ50" s="3" t="s">
        <v>74</v>
      </c>
      <c r="BB50" s="3" t="s">
        <v>752</v>
      </c>
      <c r="BC50" s="3" t="s">
        <v>753</v>
      </c>
      <c r="BD50" s="3" t="s">
        <v>754</v>
      </c>
    </row>
    <row r="51" spans="1:56" ht="40.5" customHeight="1" x14ac:dyDescent="0.25">
      <c r="A51" s="8" t="s">
        <v>58</v>
      </c>
      <c r="B51" s="2" t="s">
        <v>755</v>
      </c>
      <c r="C51" s="2" t="s">
        <v>756</v>
      </c>
      <c r="D51" s="2" t="s">
        <v>757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L51" s="2" t="s">
        <v>758</v>
      </c>
      <c r="M51" s="3" t="s">
        <v>525</v>
      </c>
      <c r="O51" s="3" t="s">
        <v>64</v>
      </c>
      <c r="P51" s="3" t="s">
        <v>113</v>
      </c>
      <c r="R51" s="3" t="s">
        <v>66</v>
      </c>
      <c r="S51" s="4">
        <v>3</v>
      </c>
      <c r="T51" s="4">
        <v>3</v>
      </c>
      <c r="U51" s="5" t="s">
        <v>759</v>
      </c>
      <c r="V51" s="5" t="s">
        <v>759</v>
      </c>
      <c r="W51" s="5" t="s">
        <v>760</v>
      </c>
      <c r="X51" s="5" t="s">
        <v>760</v>
      </c>
      <c r="Y51" s="4">
        <v>108</v>
      </c>
      <c r="Z51" s="4">
        <v>59</v>
      </c>
      <c r="AA51" s="4">
        <v>699</v>
      </c>
      <c r="AB51" s="4">
        <v>2</v>
      </c>
      <c r="AC51" s="4">
        <v>28</v>
      </c>
      <c r="AD51" s="4">
        <v>3</v>
      </c>
      <c r="AE51" s="4">
        <v>20</v>
      </c>
      <c r="AF51" s="4">
        <v>1</v>
      </c>
      <c r="AG51" s="4">
        <v>5</v>
      </c>
      <c r="AH51" s="4">
        <v>1</v>
      </c>
      <c r="AI51" s="4">
        <v>1</v>
      </c>
      <c r="AJ51" s="4">
        <v>1</v>
      </c>
      <c r="AK51" s="4">
        <v>4</v>
      </c>
      <c r="AL51" s="4">
        <v>1</v>
      </c>
      <c r="AM51" s="4">
        <v>13</v>
      </c>
      <c r="AN51" s="4">
        <v>0</v>
      </c>
      <c r="AO51" s="4">
        <v>0</v>
      </c>
      <c r="AP51" s="3" t="s">
        <v>58</v>
      </c>
      <c r="AQ51" s="3" t="s">
        <v>58</v>
      </c>
      <c r="AS51" s="6" t="str">
        <f>HYPERLINK("https://creighton-primo.hosted.exlibrisgroup.com/primo-explore/search?tab=default_tab&amp;search_scope=EVERYTHING&amp;vid=01CRU&amp;lang=en_US&amp;offset=0&amp;query=any,contains,991002058899702656","Catalog Record")</f>
        <v>Catalog Record</v>
      </c>
      <c r="AT51" s="6" t="str">
        <f>HYPERLINK("http://www.worldcat.org/oclc/28159700","WorldCat Record")</f>
        <v>WorldCat Record</v>
      </c>
      <c r="AU51" s="3" t="s">
        <v>761</v>
      </c>
      <c r="AV51" s="3" t="s">
        <v>762</v>
      </c>
      <c r="AW51" s="3" t="s">
        <v>763</v>
      </c>
      <c r="AX51" s="3" t="s">
        <v>763</v>
      </c>
      <c r="AY51" s="3" t="s">
        <v>764</v>
      </c>
      <c r="AZ51" s="3" t="s">
        <v>74</v>
      </c>
      <c r="BB51" s="3" t="s">
        <v>765</v>
      </c>
      <c r="BC51" s="3" t="s">
        <v>766</v>
      </c>
      <c r="BD51" s="3" t="s">
        <v>767</v>
      </c>
    </row>
    <row r="52" spans="1:56" ht="40.5" customHeight="1" x14ac:dyDescent="0.25">
      <c r="A52" s="8" t="s">
        <v>58</v>
      </c>
      <c r="B52" s="2" t="s">
        <v>768</v>
      </c>
      <c r="C52" s="2" t="s">
        <v>769</v>
      </c>
      <c r="D52" s="2" t="s">
        <v>770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771</v>
      </c>
      <c r="L52" s="2" t="s">
        <v>772</v>
      </c>
      <c r="M52" s="3" t="s">
        <v>243</v>
      </c>
      <c r="O52" s="3" t="s">
        <v>64</v>
      </c>
      <c r="P52" s="3" t="s">
        <v>186</v>
      </c>
      <c r="R52" s="3" t="s">
        <v>66</v>
      </c>
      <c r="S52" s="4">
        <v>10</v>
      </c>
      <c r="T52" s="4">
        <v>10</v>
      </c>
      <c r="U52" s="5" t="s">
        <v>773</v>
      </c>
      <c r="V52" s="5" t="s">
        <v>773</v>
      </c>
      <c r="W52" s="5" t="s">
        <v>245</v>
      </c>
      <c r="X52" s="5" t="s">
        <v>245</v>
      </c>
      <c r="Y52" s="4">
        <v>346</v>
      </c>
      <c r="Z52" s="4">
        <v>250</v>
      </c>
      <c r="AA52" s="4">
        <v>303</v>
      </c>
      <c r="AB52" s="4">
        <v>3</v>
      </c>
      <c r="AC52" s="4">
        <v>3</v>
      </c>
      <c r="AD52" s="4">
        <v>11</v>
      </c>
      <c r="AE52" s="4">
        <v>13</v>
      </c>
      <c r="AF52" s="4">
        <v>5</v>
      </c>
      <c r="AG52" s="4">
        <v>7</v>
      </c>
      <c r="AH52" s="4">
        <v>3</v>
      </c>
      <c r="AI52" s="4">
        <v>4</v>
      </c>
      <c r="AJ52" s="4">
        <v>4</v>
      </c>
      <c r="AK52" s="4">
        <v>5</v>
      </c>
      <c r="AL52" s="4">
        <v>2</v>
      </c>
      <c r="AM52" s="4">
        <v>2</v>
      </c>
      <c r="AN52" s="4">
        <v>0</v>
      </c>
      <c r="AO52" s="4">
        <v>0</v>
      </c>
      <c r="AP52" s="3" t="s">
        <v>58</v>
      </c>
      <c r="AQ52" s="3" t="s">
        <v>58</v>
      </c>
      <c r="AS52" s="6" t="str">
        <f>HYPERLINK("https://creighton-primo.hosted.exlibrisgroup.com/primo-explore/search?tab=default_tab&amp;search_scope=EVERYTHING&amp;vid=01CRU&amp;lang=en_US&amp;offset=0&amp;query=any,contains,991001022899702656","Catalog Record")</f>
        <v>Catalog Record</v>
      </c>
      <c r="AT52" s="6" t="str">
        <f>HYPERLINK("http://www.worldcat.org/oclc/15414965","WorldCat Record")</f>
        <v>WorldCat Record</v>
      </c>
      <c r="AU52" s="3" t="s">
        <v>774</v>
      </c>
      <c r="AV52" s="3" t="s">
        <v>775</v>
      </c>
      <c r="AW52" s="3" t="s">
        <v>776</v>
      </c>
      <c r="AX52" s="3" t="s">
        <v>776</v>
      </c>
      <c r="AY52" s="3" t="s">
        <v>777</v>
      </c>
      <c r="AZ52" s="3" t="s">
        <v>74</v>
      </c>
      <c r="BB52" s="3" t="s">
        <v>778</v>
      </c>
      <c r="BC52" s="3" t="s">
        <v>779</v>
      </c>
      <c r="BD52" s="3" t="s">
        <v>780</v>
      </c>
    </row>
    <row r="53" spans="1:56" ht="40.5" customHeight="1" x14ac:dyDescent="0.25">
      <c r="A53" s="8" t="s">
        <v>58</v>
      </c>
      <c r="B53" s="2" t="s">
        <v>781</v>
      </c>
      <c r="C53" s="2" t="s">
        <v>782</v>
      </c>
      <c r="D53" s="2" t="s">
        <v>783</v>
      </c>
      <c r="E53" s="3" t="s">
        <v>784</v>
      </c>
      <c r="F53" s="3" t="s">
        <v>69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771</v>
      </c>
      <c r="L53" s="2" t="s">
        <v>785</v>
      </c>
      <c r="M53" s="3" t="s">
        <v>525</v>
      </c>
      <c r="N53" s="2" t="s">
        <v>271</v>
      </c>
      <c r="O53" s="3" t="s">
        <v>64</v>
      </c>
      <c r="P53" s="3" t="s">
        <v>172</v>
      </c>
      <c r="R53" s="3" t="s">
        <v>66</v>
      </c>
      <c r="S53" s="4">
        <v>4</v>
      </c>
      <c r="T53" s="4">
        <v>10</v>
      </c>
      <c r="U53" s="5" t="s">
        <v>773</v>
      </c>
      <c r="V53" s="5" t="s">
        <v>773</v>
      </c>
      <c r="W53" s="5" t="s">
        <v>188</v>
      </c>
      <c r="X53" s="5" t="s">
        <v>188</v>
      </c>
      <c r="Y53" s="4">
        <v>278</v>
      </c>
      <c r="Z53" s="4">
        <v>222</v>
      </c>
      <c r="AA53" s="4">
        <v>257</v>
      </c>
      <c r="AB53" s="4">
        <v>3</v>
      </c>
      <c r="AC53" s="4">
        <v>3</v>
      </c>
      <c r="AD53" s="4">
        <v>8</v>
      </c>
      <c r="AE53" s="4">
        <v>10</v>
      </c>
      <c r="AF53" s="4">
        <v>1</v>
      </c>
      <c r="AG53" s="4">
        <v>2</v>
      </c>
      <c r="AH53" s="4">
        <v>3</v>
      </c>
      <c r="AI53" s="4">
        <v>4</v>
      </c>
      <c r="AJ53" s="4">
        <v>5</v>
      </c>
      <c r="AK53" s="4">
        <v>5</v>
      </c>
      <c r="AL53" s="4">
        <v>2</v>
      </c>
      <c r="AM53" s="4">
        <v>2</v>
      </c>
      <c r="AN53" s="4">
        <v>0</v>
      </c>
      <c r="AO53" s="4">
        <v>0</v>
      </c>
      <c r="AP53" s="3" t="s">
        <v>58</v>
      </c>
      <c r="AQ53" s="3" t="s">
        <v>69</v>
      </c>
      <c r="AR53" s="6" t="str">
        <f>HYPERLINK("http://catalog.hathitrust.org/Record/002503524","HathiTrust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HYPERLINK("https://creighton-primo.hosted.exlibrisgroup.com/primo-explore/search?tab=default_tab&amp;search_scope=EVERYTHING&amp;vid=01CRU&amp;lang=en_US&amp;offset=0&amp;query=any,contains,991001890729702656","Catalog Record")</f>
        <v>Catalog Record</v>
      </c>
      <c r="AT53" s="6" t="str">
        <f>HYPERLINK("http://www.worldcat.org/oclc/23868964","WorldCat Record")</f>
        <v>WorldCat Record</v>
      </c>
      <c r="AU53" s="3" t="s">
        <v>786</v>
      </c>
      <c r="AV53" s="3" t="s">
        <v>787</v>
      </c>
      <c r="AW53" s="3" t="s">
        <v>788</v>
      </c>
      <c r="AX53" s="3" t="s">
        <v>788</v>
      </c>
      <c r="AY53" s="3" t="s">
        <v>789</v>
      </c>
      <c r="AZ53" s="3" t="s">
        <v>74</v>
      </c>
      <c r="BB53" s="3" t="s">
        <v>790</v>
      </c>
      <c r="BC53" s="3" t="s">
        <v>791</v>
      </c>
      <c r="BD53" s="3" t="s">
        <v>792</v>
      </c>
    </row>
    <row r="54" spans="1:56" ht="40.5" customHeight="1" x14ac:dyDescent="0.25">
      <c r="A54" s="8" t="s">
        <v>58</v>
      </c>
      <c r="B54" s="2" t="s">
        <v>781</v>
      </c>
      <c r="C54" s="2" t="s">
        <v>782</v>
      </c>
      <c r="D54" s="2" t="s">
        <v>783</v>
      </c>
      <c r="E54" s="3" t="s">
        <v>793</v>
      </c>
      <c r="F54" s="3" t="s">
        <v>69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771</v>
      </c>
      <c r="L54" s="2" t="s">
        <v>785</v>
      </c>
      <c r="M54" s="3" t="s">
        <v>525</v>
      </c>
      <c r="N54" s="2" t="s">
        <v>271</v>
      </c>
      <c r="O54" s="3" t="s">
        <v>64</v>
      </c>
      <c r="P54" s="3" t="s">
        <v>172</v>
      </c>
      <c r="R54" s="3" t="s">
        <v>66</v>
      </c>
      <c r="S54" s="4">
        <v>6</v>
      </c>
      <c r="T54" s="4">
        <v>10</v>
      </c>
      <c r="U54" s="5" t="s">
        <v>747</v>
      </c>
      <c r="V54" s="5" t="s">
        <v>773</v>
      </c>
      <c r="W54" s="5" t="s">
        <v>794</v>
      </c>
      <c r="X54" s="5" t="s">
        <v>188</v>
      </c>
      <c r="Y54" s="4">
        <v>278</v>
      </c>
      <c r="Z54" s="4">
        <v>222</v>
      </c>
      <c r="AA54" s="4">
        <v>257</v>
      </c>
      <c r="AB54" s="4">
        <v>3</v>
      </c>
      <c r="AC54" s="4">
        <v>3</v>
      </c>
      <c r="AD54" s="4">
        <v>8</v>
      </c>
      <c r="AE54" s="4">
        <v>10</v>
      </c>
      <c r="AF54" s="4">
        <v>1</v>
      </c>
      <c r="AG54" s="4">
        <v>2</v>
      </c>
      <c r="AH54" s="4">
        <v>3</v>
      </c>
      <c r="AI54" s="4">
        <v>4</v>
      </c>
      <c r="AJ54" s="4">
        <v>5</v>
      </c>
      <c r="AK54" s="4">
        <v>5</v>
      </c>
      <c r="AL54" s="4">
        <v>2</v>
      </c>
      <c r="AM54" s="4">
        <v>2</v>
      </c>
      <c r="AN54" s="4">
        <v>0</v>
      </c>
      <c r="AO54" s="4">
        <v>0</v>
      </c>
      <c r="AP54" s="3" t="s">
        <v>58</v>
      </c>
      <c r="AQ54" s="3" t="s">
        <v>69</v>
      </c>
      <c r="AR54" s="6" t="str">
        <f>HYPERLINK("http://catalog.hathitrust.org/Record/002503524","HathiTrust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HYPERLINK("https://creighton-primo.hosted.exlibrisgroup.com/primo-explore/search?tab=default_tab&amp;search_scope=EVERYTHING&amp;vid=01CRU&amp;lang=en_US&amp;offset=0&amp;query=any,contains,991001890729702656","Catalog Record")</f>
        <v>Catalog Record</v>
      </c>
      <c r="AT54" s="6" t="str">
        <f>HYPERLINK("http://www.worldcat.org/oclc/23868964","WorldCat Record")</f>
        <v>WorldCat Record</v>
      </c>
      <c r="AU54" s="3" t="s">
        <v>786</v>
      </c>
      <c r="AV54" s="3" t="s">
        <v>787</v>
      </c>
      <c r="AW54" s="3" t="s">
        <v>788</v>
      </c>
      <c r="AX54" s="3" t="s">
        <v>788</v>
      </c>
      <c r="AY54" s="3" t="s">
        <v>789</v>
      </c>
      <c r="AZ54" s="3" t="s">
        <v>74</v>
      </c>
      <c r="BB54" s="3" t="s">
        <v>790</v>
      </c>
      <c r="BC54" s="3" t="s">
        <v>795</v>
      </c>
      <c r="BD54" s="3" t="s">
        <v>796</v>
      </c>
    </row>
    <row r="55" spans="1:56" ht="40.5" customHeight="1" x14ac:dyDescent="0.25">
      <c r="A55" s="8" t="s">
        <v>58</v>
      </c>
      <c r="B55" s="2" t="s">
        <v>797</v>
      </c>
      <c r="C55" s="2" t="s">
        <v>798</v>
      </c>
      <c r="D55" s="2" t="s">
        <v>799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L55" s="2" t="s">
        <v>800</v>
      </c>
      <c r="M55" s="3" t="s">
        <v>185</v>
      </c>
      <c r="N55" s="2" t="s">
        <v>271</v>
      </c>
      <c r="O55" s="3" t="s">
        <v>64</v>
      </c>
      <c r="P55" s="3" t="s">
        <v>113</v>
      </c>
      <c r="R55" s="3" t="s">
        <v>66</v>
      </c>
      <c r="S55" s="4">
        <v>8</v>
      </c>
      <c r="T55" s="4">
        <v>8</v>
      </c>
      <c r="U55" s="5" t="s">
        <v>801</v>
      </c>
      <c r="V55" s="5" t="s">
        <v>801</v>
      </c>
      <c r="W55" s="5" t="s">
        <v>802</v>
      </c>
      <c r="X55" s="5" t="s">
        <v>802</v>
      </c>
      <c r="Y55" s="4">
        <v>290</v>
      </c>
      <c r="Z55" s="4">
        <v>132</v>
      </c>
      <c r="AA55" s="4">
        <v>310</v>
      </c>
      <c r="AB55" s="4">
        <v>5</v>
      </c>
      <c r="AC55" s="4">
        <v>6</v>
      </c>
      <c r="AD55" s="4">
        <v>3</v>
      </c>
      <c r="AE55" s="4">
        <v>10</v>
      </c>
      <c r="AF55" s="4">
        <v>1</v>
      </c>
      <c r="AG55" s="4">
        <v>3</v>
      </c>
      <c r="AH55" s="4">
        <v>1</v>
      </c>
      <c r="AI55" s="4">
        <v>2</v>
      </c>
      <c r="AJ55" s="4">
        <v>2</v>
      </c>
      <c r="AK55" s="4">
        <v>7</v>
      </c>
      <c r="AL55" s="4">
        <v>1</v>
      </c>
      <c r="AM55" s="4">
        <v>2</v>
      </c>
      <c r="AN55" s="4">
        <v>0</v>
      </c>
      <c r="AO55" s="4">
        <v>0</v>
      </c>
      <c r="AP55" s="3" t="s">
        <v>58</v>
      </c>
      <c r="AQ55" s="3" t="s">
        <v>58</v>
      </c>
      <c r="AS55" s="6" t="str">
        <f>HYPERLINK("https://creighton-primo.hosted.exlibrisgroup.com/primo-explore/search?tab=default_tab&amp;search_scope=EVERYTHING&amp;vid=01CRU&amp;lang=en_US&amp;offset=0&amp;query=any,contains,991005416629702656","Catalog Record")</f>
        <v>Catalog Record</v>
      </c>
      <c r="AT55" s="6" t="str">
        <f>HYPERLINK("http://www.worldcat.org/oclc/27729119","WorldCat Record")</f>
        <v>WorldCat Record</v>
      </c>
      <c r="AU55" s="3" t="s">
        <v>803</v>
      </c>
      <c r="AV55" s="3" t="s">
        <v>804</v>
      </c>
      <c r="AW55" s="3" t="s">
        <v>805</v>
      </c>
      <c r="AX55" s="3" t="s">
        <v>805</v>
      </c>
      <c r="AY55" s="3" t="s">
        <v>806</v>
      </c>
      <c r="AZ55" s="3" t="s">
        <v>74</v>
      </c>
      <c r="BB55" s="3" t="s">
        <v>807</v>
      </c>
      <c r="BC55" s="3" t="s">
        <v>808</v>
      </c>
      <c r="BD55" s="3" t="s">
        <v>809</v>
      </c>
    </row>
    <row r="56" spans="1:56" ht="40.5" customHeight="1" x14ac:dyDescent="0.25">
      <c r="A56" s="8" t="s">
        <v>58</v>
      </c>
      <c r="B56" s="2" t="s">
        <v>810</v>
      </c>
      <c r="C56" s="2" t="s">
        <v>811</v>
      </c>
      <c r="D56" s="2" t="s">
        <v>812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813</v>
      </c>
      <c r="L56" s="2" t="s">
        <v>814</v>
      </c>
      <c r="M56" s="3" t="s">
        <v>815</v>
      </c>
      <c r="O56" s="3" t="s">
        <v>64</v>
      </c>
      <c r="P56" s="3" t="s">
        <v>186</v>
      </c>
      <c r="R56" s="3" t="s">
        <v>66</v>
      </c>
      <c r="S56" s="4">
        <v>1</v>
      </c>
      <c r="T56" s="4">
        <v>1</v>
      </c>
      <c r="U56" s="5" t="s">
        <v>816</v>
      </c>
      <c r="V56" s="5" t="s">
        <v>816</v>
      </c>
      <c r="W56" s="5" t="s">
        <v>816</v>
      </c>
      <c r="X56" s="5" t="s">
        <v>816</v>
      </c>
      <c r="Y56" s="4">
        <v>182</v>
      </c>
      <c r="Z56" s="4">
        <v>149</v>
      </c>
      <c r="AA56" s="4">
        <v>158</v>
      </c>
      <c r="AB56" s="4">
        <v>2</v>
      </c>
      <c r="AC56" s="4">
        <v>3</v>
      </c>
      <c r="AD56" s="4">
        <v>7</v>
      </c>
      <c r="AE56" s="4">
        <v>8</v>
      </c>
      <c r="AF56" s="4">
        <v>3</v>
      </c>
      <c r="AG56" s="4">
        <v>3</v>
      </c>
      <c r="AH56" s="4">
        <v>3</v>
      </c>
      <c r="AI56" s="4">
        <v>3</v>
      </c>
      <c r="AJ56" s="4">
        <v>2</v>
      </c>
      <c r="AK56" s="4">
        <v>2</v>
      </c>
      <c r="AL56" s="4">
        <v>1</v>
      </c>
      <c r="AM56" s="4">
        <v>2</v>
      </c>
      <c r="AN56" s="4">
        <v>0</v>
      </c>
      <c r="AO56" s="4">
        <v>0</v>
      </c>
      <c r="AP56" s="3" t="s">
        <v>58</v>
      </c>
      <c r="AQ56" s="3" t="s">
        <v>58</v>
      </c>
      <c r="AS56" s="6" t="str">
        <f>HYPERLINK("https://creighton-primo.hosted.exlibrisgroup.com/primo-explore/search?tab=default_tab&amp;search_scope=EVERYTHING&amp;vid=01CRU&amp;lang=en_US&amp;offset=0&amp;query=any,contains,991005278929702656","Catalog Record")</f>
        <v>Catalog Record</v>
      </c>
      <c r="AT56" s="6" t="str">
        <f>HYPERLINK("http://www.worldcat.org/oclc/136316476","WorldCat Record")</f>
        <v>WorldCat Record</v>
      </c>
      <c r="AU56" s="3" t="s">
        <v>817</v>
      </c>
      <c r="AV56" s="3" t="s">
        <v>818</v>
      </c>
      <c r="AW56" s="3" t="s">
        <v>819</v>
      </c>
      <c r="AX56" s="3" t="s">
        <v>819</v>
      </c>
      <c r="AY56" s="3" t="s">
        <v>820</v>
      </c>
      <c r="AZ56" s="3" t="s">
        <v>74</v>
      </c>
      <c r="BB56" s="3" t="s">
        <v>821</v>
      </c>
      <c r="BC56" s="3" t="s">
        <v>822</v>
      </c>
      <c r="BD56" s="3" t="s">
        <v>823</v>
      </c>
    </row>
    <row r="57" spans="1:56" ht="40.5" customHeight="1" x14ac:dyDescent="0.25">
      <c r="A57" s="8" t="s">
        <v>58</v>
      </c>
      <c r="B57" s="2" t="s">
        <v>824</v>
      </c>
      <c r="C57" s="2" t="s">
        <v>825</v>
      </c>
      <c r="D57" s="2" t="s">
        <v>826</v>
      </c>
      <c r="F57" s="3" t="s">
        <v>58</v>
      </c>
      <c r="G57" s="3" t="s">
        <v>59</v>
      </c>
      <c r="H57" s="3" t="s">
        <v>69</v>
      </c>
      <c r="I57" s="3" t="s">
        <v>58</v>
      </c>
      <c r="J57" s="3" t="s">
        <v>60</v>
      </c>
      <c r="K57" s="2" t="s">
        <v>827</v>
      </c>
      <c r="L57" s="2" t="s">
        <v>828</v>
      </c>
      <c r="M57" s="3" t="s">
        <v>829</v>
      </c>
      <c r="O57" s="3" t="s">
        <v>64</v>
      </c>
      <c r="P57" s="3" t="s">
        <v>186</v>
      </c>
      <c r="R57" s="3" t="s">
        <v>66</v>
      </c>
      <c r="S57" s="4">
        <v>3</v>
      </c>
      <c r="T57" s="4">
        <v>10</v>
      </c>
      <c r="U57" s="5" t="s">
        <v>830</v>
      </c>
      <c r="V57" s="5" t="s">
        <v>830</v>
      </c>
      <c r="W57" s="5" t="s">
        <v>245</v>
      </c>
      <c r="X57" s="5" t="s">
        <v>245</v>
      </c>
      <c r="Y57" s="4">
        <v>525</v>
      </c>
      <c r="Z57" s="4">
        <v>424</v>
      </c>
      <c r="AA57" s="4">
        <v>446</v>
      </c>
      <c r="AB57" s="4">
        <v>3</v>
      </c>
      <c r="AC57" s="4">
        <v>3</v>
      </c>
      <c r="AD57" s="4">
        <v>15</v>
      </c>
      <c r="AE57" s="4">
        <v>16</v>
      </c>
      <c r="AF57" s="4">
        <v>6</v>
      </c>
      <c r="AG57" s="4">
        <v>7</v>
      </c>
      <c r="AH57" s="4">
        <v>5</v>
      </c>
      <c r="AI57" s="4">
        <v>5</v>
      </c>
      <c r="AJ57" s="4">
        <v>8</v>
      </c>
      <c r="AK57" s="4">
        <v>9</v>
      </c>
      <c r="AL57" s="4">
        <v>1</v>
      </c>
      <c r="AM57" s="4">
        <v>1</v>
      </c>
      <c r="AN57" s="4">
        <v>0</v>
      </c>
      <c r="AO57" s="4">
        <v>0</v>
      </c>
      <c r="AP57" s="3" t="s">
        <v>58</v>
      </c>
      <c r="AQ57" s="3" t="s">
        <v>58</v>
      </c>
      <c r="AS57" s="6" t="str">
        <f>HYPERLINK("https://creighton-primo.hosted.exlibrisgroup.com/primo-explore/search?tab=default_tab&amp;search_scope=EVERYTHING&amp;vid=01CRU&amp;lang=en_US&amp;offset=0&amp;query=any,contains,991001802049702656","Catalog Record")</f>
        <v>Catalog Record</v>
      </c>
      <c r="AT57" s="6" t="str">
        <f>HYPERLINK("http://www.worldcat.org/oclc/14719427","WorldCat Record")</f>
        <v>WorldCat Record</v>
      </c>
      <c r="AU57" s="3" t="s">
        <v>831</v>
      </c>
      <c r="AV57" s="3" t="s">
        <v>832</v>
      </c>
      <c r="AW57" s="3" t="s">
        <v>833</v>
      </c>
      <c r="AX57" s="3" t="s">
        <v>833</v>
      </c>
      <c r="AY57" s="3" t="s">
        <v>834</v>
      </c>
      <c r="AZ57" s="3" t="s">
        <v>74</v>
      </c>
      <c r="BB57" s="3" t="s">
        <v>835</v>
      </c>
      <c r="BC57" s="3" t="s">
        <v>836</v>
      </c>
      <c r="BD57" s="3" t="s">
        <v>837</v>
      </c>
    </row>
    <row r="58" spans="1:56" ht="40.5" customHeight="1" x14ac:dyDescent="0.25">
      <c r="A58" s="8" t="s">
        <v>58</v>
      </c>
      <c r="B58" s="2" t="s">
        <v>838</v>
      </c>
      <c r="C58" s="2" t="s">
        <v>839</v>
      </c>
      <c r="D58" s="2" t="s">
        <v>840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L58" s="2" t="s">
        <v>841</v>
      </c>
      <c r="M58" s="3" t="s">
        <v>96</v>
      </c>
      <c r="O58" s="3" t="s">
        <v>64</v>
      </c>
      <c r="P58" s="3" t="s">
        <v>83</v>
      </c>
      <c r="Q58" s="2" t="s">
        <v>842</v>
      </c>
      <c r="R58" s="3" t="s">
        <v>66</v>
      </c>
      <c r="S58" s="4">
        <v>1</v>
      </c>
      <c r="T58" s="4">
        <v>1</v>
      </c>
      <c r="U58" s="5" t="s">
        <v>843</v>
      </c>
      <c r="V58" s="5" t="s">
        <v>843</v>
      </c>
      <c r="W58" s="5" t="s">
        <v>100</v>
      </c>
      <c r="X58" s="5" t="s">
        <v>100</v>
      </c>
      <c r="Y58" s="4">
        <v>371</v>
      </c>
      <c r="Z58" s="4">
        <v>268</v>
      </c>
      <c r="AA58" s="4">
        <v>274</v>
      </c>
      <c r="AB58" s="4">
        <v>1</v>
      </c>
      <c r="AC58" s="4">
        <v>1</v>
      </c>
      <c r="AD58" s="4">
        <v>9</v>
      </c>
      <c r="AE58" s="4">
        <v>9</v>
      </c>
      <c r="AF58" s="4">
        <v>3</v>
      </c>
      <c r="AG58" s="4">
        <v>3</v>
      </c>
      <c r="AH58" s="4">
        <v>3</v>
      </c>
      <c r="AI58" s="4">
        <v>3</v>
      </c>
      <c r="AJ58" s="4">
        <v>5</v>
      </c>
      <c r="AK58" s="4">
        <v>5</v>
      </c>
      <c r="AL58" s="4">
        <v>0</v>
      </c>
      <c r="AM58" s="4">
        <v>0</v>
      </c>
      <c r="AN58" s="4">
        <v>0</v>
      </c>
      <c r="AO58" s="4">
        <v>0</v>
      </c>
      <c r="AP58" s="3" t="s">
        <v>58</v>
      </c>
      <c r="AQ58" s="3" t="s">
        <v>69</v>
      </c>
      <c r="AR58" s="6" t="str">
        <f>HYPERLINK("http://catalog.hathitrust.org/Record/000032781","HathiTrust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HYPERLINK("https://creighton-primo.hosted.exlibrisgroup.com/primo-explore/search?tab=default_tab&amp;search_scope=EVERYTHING&amp;vid=01CRU&amp;lang=en_US&amp;offset=0&amp;query=any,contains,991003828349702656","Catalog Record")</f>
        <v>Catalog Record</v>
      </c>
      <c r="AT58" s="6" t="str">
        <f>HYPERLINK("http://www.worldcat.org/oclc/1582488","WorldCat Record")</f>
        <v>WorldCat Record</v>
      </c>
      <c r="AU58" s="3" t="s">
        <v>844</v>
      </c>
      <c r="AV58" s="3" t="s">
        <v>845</v>
      </c>
      <c r="AW58" s="3" t="s">
        <v>846</v>
      </c>
      <c r="AX58" s="3" t="s">
        <v>846</v>
      </c>
      <c r="AY58" s="3" t="s">
        <v>847</v>
      </c>
      <c r="AZ58" s="3" t="s">
        <v>74</v>
      </c>
      <c r="BB58" s="3" t="s">
        <v>848</v>
      </c>
      <c r="BC58" s="3" t="s">
        <v>849</v>
      </c>
      <c r="BD58" s="3" t="s">
        <v>850</v>
      </c>
    </row>
    <row r="59" spans="1:56" ht="40.5" customHeight="1" x14ac:dyDescent="0.25">
      <c r="A59" s="8" t="s">
        <v>58</v>
      </c>
      <c r="B59" s="2" t="s">
        <v>851</v>
      </c>
      <c r="C59" s="2" t="s">
        <v>852</v>
      </c>
      <c r="D59" s="2" t="s">
        <v>853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L59" s="2" t="s">
        <v>854</v>
      </c>
      <c r="M59" s="3" t="s">
        <v>480</v>
      </c>
      <c r="O59" s="3" t="s">
        <v>64</v>
      </c>
      <c r="P59" s="3" t="s">
        <v>83</v>
      </c>
      <c r="R59" s="3" t="s">
        <v>66</v>
      </c>
      <c r="S59" s="4">
        <v>1</v>
      </c>
      <c r="T59" s="4">
        <v>1</v>
      </c>
      <c r="U59" s="5" t="s">
        <v>855</v>
      </c>
      <c r="V59" s="5" t="s">
        <v>855</v>
      </c>
      <c r="W59" s="5" t="s">
        <v>856</v>
      </c>
      <c r="X59" s="5" t="s">
        <v>856</v>
      </c>
      <c r="Y59" s="4">
        <v>152</v>
      </c>
      <c r="Z59" s="4">
        <v>100</v>
      </c>
      <c r="AA59" s="4">
        <v>126</v>
      </c>
      <c r="AB59" s="4">
        <v>1</v>
      </c>
      <c r="AC59" s="4">
        <v>1</v>
      </c>
      <c r="AD59" s="4">
        <v>3</v>
      </c>
      <c r="AE59" s="4">
        <v>4</v>
      </c>
      <c r="AF59" s="4">
        <v>0</v>
      </c>
      <c r="AG59" s="4">
        <v>1</v>
      </c>
      <c r="AH59" s="4">
        <v>2</v>
      </c>
      <c r="AI59" s="4">
        <v>2</v>
      </c>
      <c r="AJ59" s="4">
        <v>1</v>
      </c>
      <c r="AK59" s="4">
        <v>2</v>
      </c>
      <c r="AL59" s="4">
        <v>0</v>
      </c>
      <c r="AM59" s="4">
        <v>0</v>
      </c>
      <c r="AN59" s="4">
        <v>0</v>
      </c>
      <c r="AO59" s="4">
        <v>0</v>
      </c>
      <c r="AP59" s="3" t="s">
        <v>58</v>
      </c>
      <c r="AQ59" s="3" t="s">
        <v>69</v>
      </c>
      <c r="AR59" s="6" t="str">
        <f>HYPERLINK("http://catalog.hathitrust.org/Record/002473522","HathiTrust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HYPERLINK("https://creighton-primo.hosted.exlibrisgroup.com/primo-explore/search?tab=default_tab&amp;search_scope=EVERYTHING&amp;vid=01CRU&amp;lang=en_US&amp;offset=0&amp;query=any,contains,991001688769702656","Catalog Record")</f>
        <v>Catalog Record</v>
      </c>
      <c r="AT59" s="6" t="str">
        <f>HYPERLINK("http://www.worldcat.org/oclc/21411432","WorldCat Record")</f>
        <v>WorldCat Record</v>
      </c>
      <c r="AU59" s="3" t="s">
        <v>857</v>
      </c>
      <c r="AV59" s="3" t="s">
        <v>858</v>
      </c>
      <c r="AW59" s="3" t="s">
        <v>859</v>
      </c>
      <c r="AX59" s="3" t="s">
        <v>859</v>
      </c>
      <c r="AY59" s="3" t="s">
        <v>860</v>
      </c>
      <c r="AZ59" s="3" t="s">
        <v>74</v>
      </c>
      <c r="BB59" s="3" t="s">
        <v>861</v>
      </c>
      <c r="BC59" s="3" t="s">
        <v>862</v>
      </c>
      <c r="BD59" s="3" t="s">
        <v>863</v>
      </c>
    </row>
    <row r="60" spans="1:56" ht="40.5" customHeight="1" x14ac:dyDescent="0.25">
      <c r="A60" s="8" t="s">
        <v>58</v>
      </c>
      <c r="B60" s="2" t="s">
        <v>864</v>
      </c>
      <c r="C60" s="2" t="s">
        <v>865</v>
      </c>
      <c r="D60" s="2" t="s">
        <v>866</v>
      </c>
      <c r="E60" s="3" t="s">
        <v>867</v>
      </c>
      <c r="F60" s="3" t="s">
        <v>58</v>
      </c>
      <c r="G60" s="3" t="s">
        <v>59</v>
      </c>
      <c r="H60" s="3" t="s">
        <v>69</v>
      </c>
      <c r="I60" s="3" t="s">
        <v>58</v>
      </c>
      <c r="J60" s="3" t="s">
        <v>60</v>
      </c>
      <c r="K60" s="2" t="s">
        <v>868</v>
      </c>
      <c r="L60" s="2" t="s">
        <v>869</v>
      </c>
      <c r="M60" s="3" t="s">
        <v>870</v>
      </c>
      <c r="O60" s="3" t="s">
        <v>64</v>
      </c>
      <c r="P60" s="3" t="s">
        <v>83</v>
      </c>
      <c r="Q60" s="2" t="s">
        <v>871</v>
      </c>
      <c r="R60" s="3" t="s">
        <v>66</v>
      </c>
      <c r="S60" s="4">
        <v>2</v>
      </c>
      <c r="T60" s="4">
        <v>2</v>
      </c>
      <c r="U60" s="5" t="s">
        <v>872</v>
      </c>
      <c r="V60" s="5" t="s">
        <v>872</v>
      </c>
      <c r="W60" s="5" t="s">
        <v>245</v>
      </c>
      <c r="X60" s="5" t="s">
        <v>245</v>
      </c>
      <c r="Y60" s="4">
        <v>247</v>
      </c>
      <c r="Z60" s="4">
        <v>177</v>
      </c>
      <c r="AA60" s="4">
        <v>183</v>
      </c>
      <c r="AB60" s="4">
        <v>2</v>
      </c>
      <c r="AC60" s="4">
        <v>2</v>
      </c>
      <c r="AD60" s="4">
        <v>5</v>
      </c>
      <c r="AE60" s="4">
        <v>5</v>
      </c>
      <c r="AF60" s="4">
        <v>1</v>
      </c>
      <c r="AG60" s="4">
        <v>1</v>
      </c>
      <c r="AH60" s="4">
        <v>2</v>
      </c>
      <c r="AI60" s="4">
        <v>2</v>
      </c>
      <c r="AJ60" s="4">
        <v>3</v>
      </c>
      <c r="AK60" s="4">
        <v>3</v>
      </c>
      <c r="AL60" s="4">
        <v>0</v>
      </c>
      <c r="AM60" s="4">
        <v>0</v>
      </c>
      <c r="AN60" s="4">
        <v>0</v>
      </c>
      <c r="AO60" s="4">
        <v>0</v>
      </c>
      <c r="AP60" s="3" t="s">
        <v>58</v>
      </c>
      <c r="AQ60" s="3" t="s">
        <v>69</v>
      </c>
      <c r="AR60" s="6" t="str">
        <f>HYPERLINK("http://catalog.hathitrust.org/Record/010517334","HathiTrust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HYPERLINK("https://creighton-primo.hosted.exlibrisgroup.com/primo-explore/search?tab=default_tab&amp;search_scope=EVERYTHING&amp;vid=01CRU&amp;lang=en_US&amp;offset=0&amp;query=any,contains,991001779719702656","Catalog Record")</f>
        <v>Catalog Record</v>
      </c>
      <c r="AT60" s="6" t="str">
        <f>HYPERLINK("http://www.worldcat.org/oclc/6708497","WorldCat Record")</f>
        <v>WorldCat Record</v>
      </c>
      <c r="AU60" s="3" t="s">
        <v>873</v>
      </c>
      <c r="AV60" s="3" t="s">
        <v>874</v>
      </c>
      <c r="AW60" s="3" t="s">
        <v>875</v>
      </c>
      <c r="AX60" s="3" t="s">
        <v>875</v>
      </c>
      <c r="AY60" s="3" t="s">
        <v>876</v>
      </c>
      <c r="AZ60" s="3" t="s">
        <v>74</v>
      </c>
      <c r="BB60" s="3" t="s">
        <v>877</v>
      </c>
      <c r="BC60" s="3" t="s">
        <v>878</v>
      </c>
      <c r="BD60" s="3" t="s">
        <v>879</v>
      </c>
    </row>
    <row r="61" spans="1:56" ht="40.5" customHeight="1" x14ac:dyDescent="0.25">
      <c r="A61" s="8" t="s">
        <v>58</v>
      </c>
      <c r="B61" s="2" t="s">
        <v>880</v>
      </c>
      <c r="C61" s="2" t="s">
        <v>881</v>
      </c>
      <c r="D61" s="2" t="s">
        <v>882</v>
      </c>
      <c r="E61" s="3" t="s">
        <v>793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L61" s="2" t="s">
        <v>883</v>
      </c>
      <c r="M61" s="3" t="s">
        <v>884</v>
      </c>
      <c r="O61" s="3" t="s">
        <v>64</v>
      </c>
      <c r="P61" s="3" t="s">
        <v>83</v>
      </c>
      <c r="Q61" s="2" t="s">
        <v>885</v>
      </c>
      <c r="R61" s="3" t="s">
        <v>66</v>
      </c>
      <c r="S61" s="4">
        <v>2</v>
      </c>
      <c r="T61" s="4">
        <v>2</v>
      </c>
      <c r="U61" s="5" t="s">
        <v>855</v>
      </c>
      <c r="V61" s="5" t="s">
        <v>855</v>
      </c>
      <c r="W61" s="5" t="s">
        <v>245</v>
      </c>
      <c r="X61" s="5" t="s">
        <v>245</v>
      </c>
      <c r="Y61" s="4">
        <v>123</v>
      </c>
      <c r="Z61" s="4">
        <v>97</v>
      </c>
      <c r="AA61" s="4">
        <v>97</v>
      </c>
      <c r="AB61" s="4">
        <v>1</v>
      </c>
      <c r="AC61" s="4">
        <v>1</v>
      </c>
      <c r="AD61" s="4">
        <v>2</v>
      </c>
      <c r="AE61" s="4">
        <v>2</v>
      </c>
      <c r="AF61" s="4">
        <v>0</v>
      </c>
      <c r="AG61" s="4">
        <v>0</v>
      </c>
      <c r="AH61" s="4">
        <v>1</v>
      </c>
      <c r="AI61" s="4">
        <v>1</v>
      </c>
      <c r="AJ61" s="4">
        <v>1</v>
      </c>
      <c r="AK61" s="4">
        <v>1</v>
      </c>
      <c r="AL61" s="4">
        <v>0</v>
      </c>
      <c r="AM61" s="4">
        <v>0</v>
      </c>
      <c r="AN61" s="4">
        <v>0</v>
      </c>
      <c r="AO61" s="4">
        <v>0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HYPERLINK("https://creighton-primo.hosted.exlibrisgroup.com/primo-explore/search?tab=default_tab&amp;search_scope=EVERYTHING&amp;vid=01CRU&amp;lang=en_US&amp;offset=0&amp;query=any,contains,991000592199702656","Catalog Record")</f>
        <v>Catalog Record</v>
      </c>
      <c r="AT61" s="6" t="str">
        <f>HYPERLINK("http://www.worldcat.org/oclc/11785696","WorldCat Record")</f>
        <v>WorldCat Record</v>
      </c>
      <c r="AU61" s="3" t="s">
        <v>886</v>
      </c>
      <c r="AV61" s="3" t="s">
        <v>887</v>
      </c>
      <c r="AW61" s="3" t="s">
        <v>888</v>
      </c>
      <c r="AX61" s="3" t="s">
        <v>888</v>
      </c>
      <c r="AY61" s="3" t="s">
        <v>889</v>
      </c>
      <c r="AZ61" s="3" t="s">
        <v>74</v>
      </c>
      <c r="BB61" s="3" t="s">
        <v>890</v>
      </c>
      <c r="BC61" s="3" t="s">
        <v>891</v>
      </c>
      <c r="BD61" s="3" t="s">
        <v>892</v>
      </c>
    </row>
    <row r="62" spans="1:56" ht="40.5" customHeight="1" x14ac:dyDescent="0.25">
      <c r="A62" s="8" t="s">
        <v>58</v>
      </c>
      <c r="B62" s="2" t="s">
        <v>893</v>
      </c>
      <c r="C62" s="2" t="s">
        <v>894</v>
      </c>
      <c r="D62" s="2" t="s">
        <v>895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896</v>
      </c>
      <c r="L62" s="2" t="s">
        <v>897</v>
      </c>
      <c r="M62" s="3" t="s">
        <v>258</v>
      </c>
      <c r="O62" s="3" t="s">
        <v>64</v>
      </c>
      <c r="P62" s="3" t="s">
        <v>83</v>
      </c>
      <c r="R62" s="3" t="s">
        <v>66</v>
      </c>
      <c r="S62" s="4">
        <v>4</v>
      </c>
      <c r="T62" s="4">
        <v>4</v>
      </c>
      <c r="U62" s="5" t="s">
        <v>898</v>
      </c>
      <c r="V62" s="5" t="s">
        <v>898</v>
      </c>
      <c r="W62" s="5" t="s">
        <v>899</v>
      </c>
      <c r="X62" s="5" t="s">
        <v>899</v>
      </c>
      <c r="Y62" s="4">
        <v>260</v>
      </c>
      <c r="Z62" s="4">
        <v>227</v>
      </c>
      <c r="AA62" s="4">
        <v>280</v>
      </c>
      <c r="AB62" s="4">
        <v>3</v>
      </c>
      <c r="AC62" s="4">
        <v>3</v>
      </c>
      <c r="AD62" s="4">
        <v>10</v>
      </c>
      <c r="AE62" s="4">
        <v>11</v>
      </c>
      <c r="AF62" s="4">
        <v>2</v>
      </c>
      <c r="AG62" s="4">
        <v>2</v>
      </c>
      <c r="AH62" s="4">
        <v>4</v>
      </c>
      <c r="AI62" s="4">
        <v>4</v>
      </c>
      <c r="AJ62" s="4">
        <v>4</v>
      </c>
      <c r="AK62" s="4">
        <v>5</v>
      </c>
      <c r="AL62" s="4">
        <v>2</v>
      </c>
      <c r="AM62" s="4">
        <v>2</v>
      </c>
      <c r="AN62" s="4">
        <v>0</v>
      </c>
      <c r="AO62" s="4">
        <v>0</v>
      </c>
      <c r="AP62" s="3" t="s">
        <v>58</v>
      </c>
      <c r="AQ62" s="3" t="s">
        <v>69</v>
      </c>
      <c r="AR62" s="6" t="str">
        <f>HYPERLINK("http://catalog.hathitrust.org/Record/007474452","HathiTrust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HYPERLINK("https://creighton-primo.hosted.exlibrisgroup.com/primo-explore/search?tab=default_tab&amp;search_scope=EVERYTHING&amp;vid=01CRU&amp;lang=en_US&amp;offset=0&amp;query=any,contains,991001394369702656","Catalog Record")</f>
        <v>Catalog Record</v>
      </c>
      <c r="AT62" s="6" t="str">
        <f>HYPERLINK("http://www.worldcat.org/oclc/18780386","WorldCat Record")</f>
        <v>WorldCat Record</v>
      </c>
      <c r="AU62" s="3" t="s">
        <v>900</v>
      </c>
      <c r="AV62" s="3" t="s">
        <v>901</v>
      </c>
      <c r="AW62" s="3" t="s">
        <v>902</v>
      </c>
      <c r="AX62" s="3" t="s">
        <v>902</v>
      </c>
      <c r="AY62" s="3" t="s">
        <v>903</v>
      </c>
      <c r="AZ62" s="3" t="s">
        <v>74</v>
      </c>
      <c r="BB62" s="3" t="s">
        <v>904</v>
      </c>
      <c r="BC62" s="3" t="s">
        <v>905</v>
      </c>
      <c r="BD62" s="3" t="s">
        <v>906</v>
      </c>
    </row>
    <row r="63" spans="1:56" ht="40.5" customHeight="1" x14ac:dyDescent="0.25">
      <c r="A63" s="8" t="s">
        <v>58</v>
      </c>
      <c r="B63" s="2" t="s">
        <v>907</v>
      </c>
      <c r="C63" s="2" t="s">
        <v>908</v>
      </c>
      <c r="D63" s="2" t="s">
        <v>909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910</v>
      </c>
      <c r="L63" s="2" t="s">
        <v>911</v>
      </c>
      <c r="M63" s="3" t="s">
        <v>525</v>
      </c>
      <c r="N63" s="2" t="s">
        <v>127</v>
      </c>
      <c r="O63" s="3" t="s">
        <v>64</v>
      </c>
      <c r="P63" s="3" t="s">
        <v>186</v>
      </c>
      <c r="R63" s="3" t="s">
        <v>66</v>
      </c>
      <c r="S63" s="4">
        <v>14</v>
      </c>
      <c r="T63" s="4">
        <v>14</v>
      </c>
      <c r="U63" s="5" t="s">
        <v>912</v>
      </c>
      <c r="V63" s="5" t="s">
        <v>912</v>
      </c>
      <c r="W63" s="5" t="s">
        <v>913</v>
      </c>
      <c r="X63" s="5" t="s">
        <v>913</v>
      </c>
      <c r="Y63" s="4">
        <v>1346</v>
      </c>
      <c r="Z63" s="4">
        <v>1263</v>
      </c>
      <c r="AA63" s="4">
        <v>1268</v>
      </c>
      <c r="AB63" s="4">
        <v>10</v>
      </c>
      <c r="AC63" s="4">
        <v>10</v>
      </c>
      <c r="AD63" s="4">
        <v>37</v>
      </c>
      <c r="AE63" s="4">
        <v>37</v>
      </c>
      <c r="AF63" s="4">
        <v>16</v>
      </c>
      <c r="AG63" s="4">
        <v>16</v>
      </c>
      <c r="AH63" s="4">
        <v>6</v>
      </c>
      <c r="AI63" s="4">
        <v>6</v>
      </c>
      <c r="AJ63" s="4">
        <v>17</v>
      </c>
      <c r="AK63" s="4">
        <v>17</v>
      </c>
      <c r="AL63" s="4">
        <v>7</v>
      </c>
      <c r="AM63" s="4">
        <v>7</v>
      </c>
      <c r="AN63" s="4">
        <v>1</v>
      </c>
      <c r="AO63" s="4">
        <v>1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HYPERLINK("https://creighton-primo.hosted.exlibrisgroup.com/primo-explore/search?tab=default_tab&amp;search_scope=EVERYTHING&amp;vid=01CRU&amp;lang=en_US&amp;offset=0&amp;query=any,contains,991001744719702656","Catalog Record")</f>
        <v>Catalog Record</v>
      </c>
      <c r="AT63" s="6" t="str">
        <f>HYPERLINK("http://www.worldcat.org/oclc/22111009","WorldCat Record")</f>
        <v>WorldCat Record</v>
      </c>
      <c r="AU63" s="3" t="s">
        <v>914</v>
      </c>
      <c r="AV63" s="3" t="s">
        <v>915</v>
      </c>
      <c r="AW63" s="3" t="s">
        <v>916</v>
      </c>
      <c r="AX63" s="3" t="s">
        <v>916</v>
      </c>
      <c r="AY63" s="3" t="s">
        <v>917</v>
      </c>
      <c r="AZ63" s="3" t="s">
        <v>74</v>
      </c>
      <c r="BB63" s="3" t="s">
        <v>918</v>
      </c>
      <c r="BC63" s="3" t="s">
        <v>919</v>
      </c>
      <c r="BD63" s="3" t="s">
        <v>920</v>
      </c>
    </row>
    <row r="64" spans="1:56" ht="40.5" customHeight="1" x14ac:dyDescent="0.25">
      <c r="A64" s="8" t="s">
        <v>58</v>
      </c>
      <c r="B64" s="2" t="s">
        <v>921</v>
      </c>
      <c r="C64" s="2" t="s">
        <v>922</v>
      </c>
      <c r="D64" s="2" t="s">
        <v>923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924</v>
      </c>
      <c r="L64" s="2" t="s">
        <v>925</v>
      </c>
      <c r="M64" s="3" t="s">
        <v>926</v>
      </c>
      <c r="O64" s="3" t="s">
        <v>64</v>
      </c>
      <c r="P64" s="3" t="s">
        <v>83</v>
      </c>
      <c r="Q64" s="2" t="s">
        <v>927</v>
      </c>
      <c r="R64" s="3" t="s">
        <v>66</v>
      </c>
      <c r="S64" s="4">
        <v>3</v>
      </c>
      <c r="T64" s="4">
        <v>3</v>
      </c>
      <c r="U64" s="5" t="s">
        <v>928</v>
      </c>
      <c r="V64" s="5" t="s">
        <v>928</v>
      </c>
      <c r="W64" s="5" t="s">
        <v>100</v>
      </c>
      <c r="X64" s="5" t="s">
        <v>100</v>
      </c>
      <c r="Y64" s="4">
        <v>671</v>
      </c>
      <c r="Z64" s="4">
        <v>643</v>
      </c>
      <c r="AA64" s="4">
        <v>709</v>
      </c>
      <c r="AB64" s="4">
        <v>7</v>
      </c>
      <c r="AC64" s="4">
        <v>7</v>
      </c>
      <c r="AD64" s="4">
        <v>17</v>
      </c>
      <c r="AE64" s="4">
        <v>18</v>
      </c>
      <c r="AF64" s="4">
        <v>5</v>
      </c>
      <c r="AG64" s="4">
        <v>6</v>
      </c>
      <c r="AH64" s="4">
        <v>2</v>
      </c>
      <c r="AI64" s="4">
        <v>2</v>
      </c>
      <c r="AJ64" s="4">
        <v>8</v>
      </c>
      <c r="AK64" s="4">
        <v>8</v>
      </c>
      <c r="AL64" s="4">
        <v>5</v>
      </c>
      <c r="AM64" s="4">
        <v>5</v>
      </c>
      <c r="AN64" s="4">
        <v>0</v>
      </c>
      <c r="AO64" s="4">
        <v>0</v>
      </c>
      <c r="AP64" s="3" t="s">
        <v>58</v>
      </c>
      <c r="AQ64" s="3" t="s">
        <v>58</v>
      </c>
      <c r="AS64" s="6" t="str">
        <f>HYPERLINK("https://creighton-primo.hosted.exlibrisgroup.com/primo-explore/search?tab=default_tab&amp;search_scope=EVERYTHING&amp;vid=01CRU&amp;lang=en_US&amp;offset=0&amp;query=any,contains,991002861259702656","Catalog Record")</f>
        <v>Catalog Record</v>
      </c>
      <c r="AT64" s="6" t="str">
        <f>HYPERLINK("http://www.worldcat.org/oclc/493155","WorldCat Record")</f>
        <v>WorldCat Record</v>
      </c>
      <c r="AU64" s="3" t="s">
        <v>929</v>
      </c>
      <c r="AV64" s="3" t="s">
        <v>930</v>
      </c>
      <c r="AW64" s="3" t="s">
        <v>931</v>
      </c>
      <c r="AX64" s="3" t="s">
        <v>931</v>
      </c>
      <c r="AY64" s="3" t="s">
        <v>932</v>
      </c>
      <c r="AZ64" s="3" t="s">
        <v>74</v>
      </c>
      <c r="BC64" s="3" t="s">
        <v>933</v>
      </c>
      <c r="BD64" s="3" t="s">
        <v>934</v>
      </c>
    </row>
    <row r="65" spans="1:56" ht="40.5" customHeight="1" x14ac:dyDescent="0.25">
      <c r="A65" s="8" t="s">
        <v>58</v>
      </c>
      <c r="B65" s="2" t="s">
        <v>935</v>
      </c>
      <c r="C65" s="2" t="s">
        <v>936</v>
      </c>
      <c r="D65" s="2" t="s">
        <v>937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K65" s="2" t="s">
        <v>924</v>
      </c>
      <c r="L65" s="2" t="s">
        <v>938</v>
      </c>
      <c r="M65" s="3" t="s">
        <v>926</v>
      </c>
      <c r="N65" s="2" t="s">
        <v>156</v>
      </c>
      <c r="O65" s="3" t="s">
        <v>64</v>
      </c>
      <c r="P65" s="3" t="s">
        <v>939</v>
      </c>
      <c r="R65" s="3" t="s">
        <v>66</v>
      </c>
      <c r="S65" s="4">
        <v>1</v>
      </c>
      <c r="T65" s="4">
        <v>1</v>
      </c>
      <c r="U65" s="5" t="s">
        <v>898</v>
      </c>
      <c r="V65" s="5" t="s">
        <v>898</v>
      </c>
      <c r="W65" s="5" t="s">
        <v>100</v>
      </c>
      <c r="X65" s="5" t="s">
        <v>100</v>
      </c>
      <c r="Y65" s="4">
        <v>105</v>
      </c>
      <c r="Z65" s="4">
        <v>54</v>
      </c>
      <c r="AA65" s="4">
        <v>431</v>
      </c>
      <c r="AB65" s="4">
        <v>1</v>
      </c>
      <c r="AC65" s="4">
        <v>3</v>
      </c>
      <c r="AD65" s="4">
        <v>2</v>
      </c>
      <c r="AE65" s="4">
        <v>16</v>
      </c>
      <c r="AF65" s="4">
        <v>1</v>
      </c>
      <c r="AG65" s="4">
        <v>6</v>
      </c>
      <c r="AH65" s="4">
        <v>1</v>
      </c>
      <c r="AI65" s="4">
        <v>5</v>
      </c>
      <c r="AJ65" s="4">
        <v>1</v>
      </c>
      <c r="AK65" s="4">
        <v>9</v>
      </c>
      <c r="AL65" s="4">
        <v>0</v>
      </c>
      <c r="AM65" s="4">
        <v>2</v>
      </c>
      <c r="AN65" s="4">
        <v>0</v>
      </c>
      <c r="AO65" s="4">
        <v>0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HYPERLINK("https://creighton-primo.hosted.exlibrisgroup.com/primo-explore/search?tab=default_tab&amp;search_scope=EVERYTHING&amp;vid=01CRU&amp;lang=en_US&amp;offset=0&amp;query=any,contains,991004570139702656","Catalog Record")</f>
        <v>Catalog Record</v>
      </c>
      <c r="AT65" s="6" t="str">
        <f>HYPERLINK("http://www.worldcat.org/oclc/4019489","WorldCat Record")</f>
        <v>WorldCat Record</v>
      </c>
      <c r="AU65" s="3" t="s">
        <v>940</v>
      </c>
      <c r="AV65" s="3" t="s">
        <v>941</v>
      </c>
      <c r="AW65" s="3" t="s">
        <v>942</v>
      </c>
      <c r="AX65" s="3" t="s">
        <v>942</v>
      </c>
      <c r="AY65" s="3" t="s">
        <v>943</v>
      </c>
      <c r="AZ65" s="3" t="s">
        <v>74</v>
      </c>
      <c r="BC65" s="3" t="s">
        <v>944</v>
      </c>
      <c r="BD65" s="3" t="s">
        <v>945</v>
      </c>
    </row>
    <row r="66" spans="1:56" ht="40.5" customHeight="1" x14ac:dyDescent="0.25">
      <c r="A66" s="8" t="s">
        <v>58</v>
      </c>
      <c r="B66" s="2" t="s">
        <v>946</v>
      </c>
      <c r="C66" s="2" t="s">
        <v>947</v>
      </c>
      <c r="D66" s="2" t="s">
        <v>948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L66" s="2" t="s">
        <v>949</v>
      </c>
      <c r="M66" s="3" t="s">
        <v>950</v>
      </c>
      <c r="O66" s="3" t="s">
        <v>64</v>
      </c>
      <c r="P66" s="3" t="s">
        <v>83</v>
      </c>
      <c r="Q66" s="2" t="s">
        <v>842</v>
      </c>
      <c r="R66" s="3" t="s">
        <v>66</v>
      </c>
      <c r="S66" s="4">
        <v>3</v>
      </c>
      <c r="T66" s="4">
        <v>3</v>
      </c>
      <c r="U66" s="5" t="s">
        <v>951</v>
      </c>
      <c r="V66" s="5" t="s">
        <v>951</v>
      </c>
      <c r="W66" s="5" t="s">
        <v>100</v>
      </c>
      <c r="X66" s="5" t="s">
        <v>100</v>
      </c>
      <c r="Y66" s="4">
        <v>448</v>
      </c>
      <c r="Z66" s="4">
        <v>337</v>
      </c>
      <c r="AA66" s="4">
        <v>349</v>
      </c>
      <c r="AB66" s="4">
        <v>1</v>
      </c>
      <c r="AC66" s="4">
        <v>1</v>
      </c>
      <c r="AD66" s="4">
        <v>11</v>
      </c>
      <c r="AE66" s="4">
        <v>11</v>
      </c>
      <c r="AF66" s="4">
        <v>3</v>
      </c>
      <c r="AG66" s="4">
        <v>3</v>
      </c>
      <c r="AH66" s="4">
        <v>5</v>
      </c>
      <c r="AI66" s="4">
        <v>5</v>
      </c>
      <c r="AJ66" s="4">
        <v>5</v>
      </c>
      <c r="AK66" s="4">
        <v>5</v>
      </c>
      <c r="AL66" s="4">
        <v>0</v>
      </c>
      <c r="AM66" s="4">
        <v>0</v>
      </c>
      <c r="AN66" s="4">
        <v>0</v>
      </c>
      <c r="AO66" s="4">
        <v>0</v>
      </c>
      <c r="AP66" s="3" t="s">
        <v>58</v>
      </c>
      <c r="AQ66" s="3" t="s">
        <v>69</v>
      </c>
      <c r="AR66" s="6" t="str">
        <f>HYPERLINK("http://catalog.hathitrust.org/Record/001556720","HathiTrust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HYPERLINK("https://creighton-primo.hosted.exlibrisgroup.com/primo-explore/search?tab=default_tab&amp;search_scope=EVERYTHING&amp;vid=01CRU&amp;lang=en_US&amp;offset=0&amp;query=any,contains,991005353819702656","Catalog Record")</f>
        <v>Catalog Record</v>
      </c>
      <c r="AT66" s="6" t="str">
        <f>HYPERLINK("http://www.worldcat.org/oclc/220264","WorldCat Record")</f>
        <v>WorldCat Record</v>
      </c>
      <c r="AU66" s="3" t="s">
        <v>952</v>
      </c>
      <c r="AV66" s="3" t="s">
        <v>953</v>
      </c>
      <c r="AW66" s="3" t="s">
        <v>954</v>
      </c>
      <c r="AX66" s="3" t="s">
        <v>954</v>
      </c>
      <c r="AY66" s="3" t="s">
        <v>955</v>
      </c>
      <c r="AZ66" s="3" t="s">
        <v>74</v>
      </c>
      <c r="BC66" s="3" t="s">
        <v>956</v>
      </c>
      <c r="BD66" s="3" t="s">
        <v>957</v>
      </c>
    </row>
    <row r="67" spans="1:56" ht="40.5" customHeight="1" x14ac:dyDescent="0.25">
      <c r="A67" s="8" t="s">
        <v>58</v>
      </c>
      <c r="B67" s="2" t="s">
        <v>958</v>
      </c>
      <c r="C67" s="2" t="s">
        <v>959</v>
      </c>
      <c r="D67" s="2" t="s">
        <v>960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868</v>
      </c>
      <c r="L67" s="2" t="s">
        <v>961</v>
      </c>
      <c r="M67" s="3" t="s">
        <v>314</v>
      </c>
      <c r="O67" s="3" t="s">
        <v>64</v>
      </c>
      <c r="P67" s="3" t="s">
        <v>83</v>
      </c>
      <c r="R67" s="3" t="s">
        <v>66</v>
      </c>
      <c r="S67" s="4">
        <v>4</v>
      </c>
      <c r="T67" s="4">
        <v>4</v>
      </c>
      <c r="U67" s="5" t="s">
        <v>962</v>
      </c>
      <c r="V67" s="5" t="s">
        <v>962</v>
      </c>
      <c r="W67" s="5" t="s">
        <v>100</v>
      </c>
      <c r="X67" s="5" t="s">
        <v>100</v>
      </c>
      <c r="Y67" s="4">
        <v>569</v>
      </c>
      <c r="Z67" s="4">
        <v>398</v>
      </c>
      <c r="AA67" s="4">
        <v>406</v>
      </c>
      <c r="AB67" s="4">
        <v>5</v>
      </c>
      <c r="AC67" s="4">
        <v>5</v>
      </c>
      <c r="AD67" s="4">
        <v>18</v>
      </c>
      <c r="AE67" s="4">
        <v>18</v>
      </c>
      <c r="AF67" s="4">
        <v>7</v>
      </c>
      <c r="AG67" s="4">
        <v>7</v>
      </c>
      <c r="AH67" s="4">
        <v>3</v>
      </c>
      <c r="AI67" s="4">
        <v>3</v>
      </c>
      <c r="AJ67" s="4">
        <v>9</v>
      </c>
      <c r="AK67" s="4">
        <v>9</v>
      </c>
      <c r="AL67" s="4">
        <v>4</v>
      </c>
      <c r="AM67" s="4">
        <v>4</v>
      </c>
      <c r="AN67" s="4">
        <v>0</v>
      </c>
      <c r="AO67" s="4">
        <v>0</v>
      </c>
      <c r="AP67" s="3" t="s">
        <v>58</v>
      </c>
      <c r="AQ67" s="3" t="s">
        <v>69</v>
      </c>
      <c r="AR67" s="6" t="str">
        <f>HYPERLINK("http://catalog.hathitrust.org/Record/001556727","HathiTrust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HYPERLINK("https://creighton-primo.hosted.exlibrisgroup.com/primo-explore/search?tab=default_tab&amp;search_scope=EVERYTHING&amp;vid=01CRU&amp;lang=en_US&amp;offset=0&amp;query=any,contains,991000083139702656","Catalog Record")</f>
        <v>Catalog Record</v>
      </c>
      <c r="AT67" s="6" t="str">
        <f>HYPERLINK("http://www.worldcat.org/oclc/32481","WorldCat Record")</f>
        <v>WorldCat Record</v>
      </c>
      <c r="AU67" s="3" t="s">
        <v>963</v>
      </c>
      <c r="AV67" s="3" t="s">
        <v>964</v>
      </c>
      <c r="AW67" s="3" t="s">
        <v>965</v>
      </c>
      <c r="AX67" s="3" t="s">
        <v>965</v>
      </c>
      <c r="AY67" s="3" t="s">
        <v>966</v>
      </c>
      <c r="AZ67" s="3" t="s">
        <v>74</v>
      </c>
      <c r="BC67" s="3" t="s">
        <v>967</v>
      </c>
      <c r="BD67" s="3" t="s">
        <v>968</v>
      </c>
    </row>
    <row r="68" spans="1:56" ht="40.5" customHeight="1" x14ac:dyDescent="0.25">
      <c r="A68" s="8" t="s">
        <v>58</v>
      </c>
      <c r="B68" s="2" t="s">
        <v>969</v>
      </c>
      <c r="C68" s="2" t="s">
        <v>970</v>
      </c>
      <c r="D68" s="2" t="s">
        <v>971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868</v>
      </c>
      <c r="L68" s="2" t="s">
        <v>883</v>
      </c>
      <c r="M68" s="3" t="s">
        <v>884</v>
      </c>
      <c r="O68" s="3" t="s">
        <v>64</v>
      </c>
      <c r="P68" s="3" t="s">
        <v>83</v>
      </c>
      <c r="Q68" s="2" t="s">
        <v>972</v>
      </c>
      <c r="R68" s="3" t="s">
        <v>66</v>
      </c>
      <c r="S68" s="4">
        <v>4</v>
      </c>
      <c r="T68" s="4">
        <v>4</v>
      </c>
      <c r="U68" s="5" t="s">
        <v>973</v>
      </c>
      <c r="V68" s="5" t="s">
        <v>973</v>
      </c>
      <c r="W68" s="5" t="s">
        <v>974</v>
      </c>
      <c r="X68" s="5" t="s">
        <v>974</v>
      </c>
      <c r="Y68" s="4">
        <v>460</v>
      </c>
      <c r="Z68" s="4">
        <v>370</v>
      </c>
      <c r="AA68" s="4">
        <v>387</v>
      </c>
      <c r="AB68" s="4">
        <v>3</v>
      </c>
      <c r="AC68" s="4">
        <v>3</v>
      </c>
      <c r="AD68" s="4">
        <v>14</v>
      </c>
      <c r="AE68" s="4">
        <v>15</v>
      </c>
      <c r="AF68" s="4">
        <v>5</v>
      </c>
      <c r="AG68" s="4">
        <v>6</v>
      </c>
      <c r="AH68" s="4">
        <v>4</v>
      </c>
      <c r="AI68" s="4">
        <v>4</v>
      </c>
      <c r="AJ68" s="4">
        <v>6</v>
      </c>
      <c r="AK68" s="4">
        <v>7</v>
      </c>
      <c r="AL68" s="4">
        <v>2</v>
      </c>
      <c r="AM68" s="4">
        <v>2</v>
      </c>
      <c r="AN68" s="4">
        <v>0</v>
      </c>
      <c r="AO68" s="4">
        <v>0</v>
      </c>
      <c r="AP68" s="3" t="s">
        <v>58</v>
      </c>
      <c r="AQ68" s="3" t="s">
        <v>69</v>
      </c>
      <c r="AR68" s="6" t="str">
        <f>HYPERLINK("http://catalog.hathitrust.org/Record/000572806","HathiTrust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HYPERLINK("https://creighton-primo.hosted.exlibrisgroup.com/primo-explore/search?tab=default_tab&amp;search_scope=EVERYTHING&amp;vid=01CRU&amp;lang=en_US&amp;offset=0&amp;query=any,contains,991000562559702656","Catalog Record")</f>
        <v>Catalog Record</v>
      </c>
      <c r="AT68" s="6" t="str">
        <f>HYPERLINK("http://www.worldcat.org/oclc/11599265","WorldCat Record")</f>
        <v>WorldCat Record</v>
      </c>
      <c r="AU68" s="3" t="s">
        <v>975</v>
      </c>
      <c r="AV68" s="3" t="s">
        <v>976</v>
      </c>
      <c r="AW68" s="3" t="s">
        <v>977</v>
      </c>
      <c r="AX68" s="3" t="s">
        <v>977</v>
      </c>
      <c r="AY68" s="3" t="s">
        <v>978</v>
      </c>
      <c r="AZ68" s="3" t="s">
        <v>74</v>
      </c>
      <c r="BB68" s="3" t="s">
        <v>979</v>
      </c>
      <c r="BC68" s="3" t="s">
        <v>980</v>
      </c>
      <c r="BD68" s="3" t="s">
        <v>981</v>
      </c>
    </row>
    <row r="69" spans="1:56" ht="40.5" customHeight="1" x14ac:dyDescent="0.25">
      <c r="A69" s="8" t="s">
        <v>58</v>
      </c>
      <c r="B69" s="2" t="s">
        <v>982</v>
      </c>
      <c r="C69" s="2" t="s">
        <v>983</v>
      </c>
      <c r="D69" s="2" t="s">
        <v>984</v>
      </c>
      <c r="F69" s="3" t="s">
        <v>58</v>
      </c>
      <c r="G69" s="3" t="s">
        <v>59</v>
      </c>
      <c r="H69" s="3" t="s">
        <v>69</v>
      </c>
      <c r="I69" s="3" t="s">
        <v>58</v>
      </c>
      <c r="J69" s="3" t="s">
        <v>60</v>
      </c>
      <c r="K69" s="2" t="s">
        <v>985</v>
      </c>
      <c r="L69" s="2" t="s">
        <v>986</v>
      </c>
      <c r="M69" s="3" t="s">
        <v>540</v>
      </c>
      <c r="O69" s="3" t="s">
        <v>64</v>
      </c>
      <c r="P69" s="3" t="s">
        <v>83</v>
      </c>
      <c r="R69" s="3" t="s">
        <v>66</v>
      </c>
      <c r="S69" s="4">
        <v>20</v>
      </c>
      <c r="T69" s="4">
        <v>32</v>
      </c>
      <c r="U69" s="5" t="s">
        <v>731</v>
      </c>
      <c r="V69" s="5" t="s">
        <v>731</v>
      </c>
      <c r="W69" s="5" t="s">
        <v>987</v>
      </c>
      <c r="X69" s="5" t="s">
        <v>988</v>
      </c>
      <c r="Y69" s="4">
        <v>1007</v>
      </c>
      <c r="Z69" s="4">
        <v>873</v>
      </c>
      <c r="AA69" s="4">
        <v>916</v>
      </c>
      <c r="AB69" s="4">
        <v>7</v>
      </c>
      <c r="AC69" s="4">
        <v>7</v>
      </c>
      <c r="AD69" s="4">
        <v>26</v>
      </c>
      <c r="AE69" s="4">
        <v>26</v>
      </c>
      <c r="AF69" s="4">
        <v>8</v>
      </c>
      <c r="AG69" s="4">
        <v>8</v>
      </c>
      <c r="AH69" s="4">
        <v>4</v>
      </c>
      <c r="AI69" s="4">
        <v>4</v>
      </c>
      <c r="AJ69" s="4">
        <v>16</v>
      </c>
      <c r="AK69" s="4">
        <v>16</v>
      </c>
      <c r="AL69" s="4">
        <v>4</v>
      </c>
      <c r="AM69" s="4">
        <v>4</v>
      </c>
      <c r="AN69" s="4">
        <v>0</v>
      </c>
      <c r="AO69" s="4">
        <v>0</v>
      </c>
      <c r="AP69" s="3" t="s">
        <v>58</v>
      </c>
      <c r="AQ69" s="3" t="s">
        <v>58</v>
      </c>
      <c r="AS69" s="6" t="str">
        <f>HYPERLINK("https://creighton-primo.hosted.exlibrisgroup.com/primo-explore/search?tab=default_tab&amp;search_scope=EVERYTHING&amp;vid=01CRU&amp;lang=en_US&amp;offset=0&amp;query=any,contains,991001796729702656","Catalog Record")</f>
        <v>Catalog Record</v>
      </c>
      <c r="AT69" s="6" t="str">
        <f>HYPERLINK("http://www.worldcat.org/oclc/23868127","WorldCat Record")</f>
        <v>WorldCat Record</v>
      </c>
      <c r="AU69" s="3" t="s">
        <v>989</v>
      </c>
      <c r="AV69" s="3" t="s">
        <v>990</v>
      </c>
      <c r="AW69" s="3" t="s">
        <v>991</v>
      </c>
      <c r="AX69" s="3" t="s">
        <v>991</v>
      </c>
      <c r="AY69" s="3" t="s">
        <v>992</v>
      </c>
      <c r="AZ69" s="3" t="s">
        <v>74</v>
      </c>
      <c r="BB69" s="3" t="s">
        <v>993</v>
      </c>
      <c r="BC69" s="3" t="s">
        <v>994</v>
      </c>
      <c r="BD69" s="3" t="s">
        <v>995</v>
      </c>
    </row>
    <row r="70" spans="1:56" ht="40.5" customHeight="1" x14ac:dyDescent="0.25">
      <c r="A70" s="8" t="s">
        <v>58</v>
      </c>
      <c r="B70" s="2" t="s">
        <v>996</v>
      </c>
      <c r="C70" s="2" t="s">
        <v>997</v>
      </c>
      <c r="D70" s="2" t="s">
        <v>998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999</v>
      </c>
      <c r="L70" s="2" t="s">
        <v>1000</v>
      </c>
      <c r="M70" s="3" t="s">
        <v>1001</v>
      </c>
      <c r="O70" s="3" t="s">
        <v>64</v>
      </c>
      <c r="P70" s="3" t="s">
        <v>939</v>
      </c>
      <c r="Q70" s="2" t="s">
        <v>1002</v>
      </c>
      <c r="R70" s="3" t="s">
        <v>66</v>
      </c>
      <c r="S70" s="4">
        <v>2</v>
      </c>
      <c r="T70" s="4">
        <v>2</v>
      </c>
      <c r="U70" s="5" t="s">
        <v>1003</v>
      </c>
      <c r="V70" s="5" t="s">
        <v>1003</v>
      </c>
      <c r="W70" s="5" t="s">
        <v>100</v>
      </c>
      <c r="X70" s="5" t="s">
        <v>100</v>
      </c>
      <c r="Y70" s="4">
        <v>132</v>
      </c>
      <c r="Z70" s="4">
        <v>106</v>
      </c>
      <c r="AA70" s="4">
        <v>167</v>
      </c>
      <c r="AB70" s="4">
        <v>1</v>
      </c>
      <c r="AC70" s="4">
        <v>1</v>
      </c>
      <c r="AD70" s="4">
        <v>5</v>
      </c>
      <c r="AE70" s="4">
        <v>5</v>
      </c>
      <c r="AF70" s="4">
        <v>2</v>
      </c>
      <c r="AG70" s="4">
        <v>2</v>
      </c>
      <c r="AH70" s="4">
        <v>1</v>
      </c>
      <c r="AI70" s="4">
        <v>1</v>
      </c>
      <c r="AJ70" s="4">
        <v>4</v>
      </c>
      <c r="AK70" s="4">
        <v>4</v>
      </c>
      <c r="AL70" s="4">
        <v>0</v>
      </c>
      <c r="AM70" s="4">
        <v>0</v>
      </c>
      <c r="AN70" s="4">
        <v>0</v>
      </c>
      <c r="AO70" s="4">
        <v>0</v>
      </c>
      <c r="AP70" s="3" t="s">
        <v>58</v>
      </c>
      <c r="AQ70" s="3" t="s">
        <v>58</v>
      </c>
      <c r="AR70" s="6" t="str">
        <f>HYPERLINK("http://catalog.hathitrust.org/Record/001556755","HathiTrust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HYPERLINK("https://creighton-primo.hosted.exlibrisgroup.com/primo-explore/search?tab=default_tab&amp;search_scope=EVERYTHING&amp;vid=01CRU&amp;lang=en_US&amp;offset=0&amp;query=any,contains,991003295099702656","Catalog Record")</f>
        <v>Catalog Record</v>
      </c>
      <c r="AT70" s="6" t="str">
        <f>HYPERLINK("http://www.worldcat.org/oclc/14660074","WorldCat Record")</f>
        <v>WorldCat Record</v>
      </c>
      <c r="AU70" s="3" t="s">
        <v>1004</v>
      </c>
      <c r="AV70" s="3" t="s">
        <v>1005</v>
      </c>
      <c r="AW70" s="3" t="s">
        <v>1006</v>
      </c>
      <c r="AX70" s="3" t="s">
        <v>1006</v>
      </c>
      <c r="AY70" s="3" t="s">
        <v>1007</v>
      </c>
      <c r="AZ70" s="3" t="s">
        <v>74</v>
      </c>
      <c r="BC70" s="3" t="s">
        <v>1008</v>
      </c>
      <c r="BD70" s="3" t="s">
        <v>1009</v>
      </c>
    </row>
    <row r="71" spans="1:56" ht="40.5" customHeight="1" x14ac:dyDescent="0.25">
      <c r="A71" s="8" t="s">
        <v>58</v>
      </c>
      <c r="B71" s="2" t="s">
        <v>1010</v>
      </c>
      <c r="C71" s="2" t="s">
        <v>1011</v>
      </c>
      <c r="D71" s="2" t="s">
        <v>1012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1013</v>
      </c>
      <c r="L71" s="2" t="s">
        <v>1014</v>
      </c>
      <c r="M71" s="3" t="s">
        <v>926</v>
      </c>
      <c r="O71" s="3" t="s">
        <v>64</v>
      </c>
      <c r="P71" s="3" t="s">
        <v>83</v>
      </c>
      <c r="R71" s="3" t="s">
        <v>66</v>
      </c>
      <c r="S71" s="4">
        <v>3</v>
      </c>
      <c r="T71" s="4">
        <v>3</v>
      </c>
      <c r="U71" s="5" t="s">
        <v>595</v>
      </c>
      <c r="V71" s="5" t="s">
        <v>595</v>
      </c>
      <c r="W71" s="5" t="s">
        <v>100</v>
      </c>
      <c r="X71" s="5" t="s">
        <v>100</v>
      </c>
      <c r="Y71" s="4">
        <v>395</v>
      </c>
      <c r="Z71" s="4">
        <v>285</v>
      </c>
      <c r="AA71" s="4">
        <v>292</v>
      </c>
      <c r="AB71" s="4">
        <v>2</v>
      </c>
      <c r="AC71" s="4">
        <v>2</v>
      </c>
      <c r="AD71" s="4">
        <v>13</v>
      </c>
      <c r="AE71" s="4">
        <v>13</v>
      </c>
      <c r="AF71" s="4">
        <v>6</v>
      </c>
      <c r="AG71" s="4">
        <v>6</v>
      </c>
      <c r="AH71" s="4">
        <v>3</v>
      </c>
      <c r="AI71" s="4">
        <v>3</v>
      </c>
      <c r="AJ71" s="4">
        <v>6</v>
      </c>
      <c r="AK71" s="4">
        <v>6</v>
      </c>
      <c r="AL71" s="4">
        <v>1</v>
      </c>
      <c r="AM71" s="4">
        <v>1</v>
      </c>
      <c r="AN71" s="4">
        <v>0</v>
      </c>
      <c r="AO71" s="4">
        <v>0</v>
      </c>
      <c r="AP71" s="3" t="s">
        <v>58</v>
      </c>
      <c r="AQ71" s="3" t="s">
        <v>69</v>
      </c>
      <c r="AR71" s="6" t="str">
        <f>HYPERLINK("http://catalog.hathitrust.org/Record/001556759","HathiTrust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HYPERLINK("https://creighton-primo.hosted.exlibrisgroup.com/primo-explore/search?tab=default_tab&amp;search_scope=EVERYTHING&amp;vid=01CRU&amp;lang=en_US&amp;offset=0&amp;query=any,contains,991003247559702656","Catalog Record")</f>
        <v>Catalog Record</v>
      </c>
      <c r="AT71" s="6" t="str">
        <f>HYPERLINK("http://www.worldcat.org/oclc/772462","WorldCat Record")</f>
        <v>WorldCat Record</v>
      </c>
      <c r="AU71" s="3" t="s">
        <v>1015</v>
      </c>
      <c r="AV71" s="3" t="s">
        <v>1016</v>
      </c>
      <c r="AW71" s="3" t="s">
        <v>1017</v>
      </c>
      <c r="AX71" s="3" t="s">
        <v>1017</v>
      </c>
      <c r="AY71" s="3" t="s">
        <v>1018</v>
      </c>
      <c r="AZ71" s="3" t="s">
        <v>74</v>
      </c>
      <c r="BC71" s="3" t="s">
        <v>1019</v>
      </c>
      <c r="BD71" s="3" t="s">
        <v>1020</v>
      </c>
    </row>
    <row r="72" spans="1:56" ht="40.5" customHeight="1" x14ac:dyDescent="0.25">
      <c r="A72" s="8" t="s">
        <v>58</v>
      </c>
      <c r="B72" s="2" t="s">
        <v>1021</v>
      </c>
      <c r="C72" s="2" t="s">
        <v>1022</v>
      </c>
      <c r="D72" s="2" t="s">
        <v>1023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1024</v>
      </c>
      <c r="L72" s="2" t="s">
        <v>1025</v>
      </c>
      <c r="M72" s="3" t="s">
        <v>442</v>
      </c>
      <c r="N72" s="2" t="s">
        <v>1026</v>
      </c>
      <c r="O72" s="3" t="s">
        <v>64</v>
      </c>
      <c r="P72" s="3" t="s">
        <v>83</v>
      </c>
      <c r="R72" s="3" t="s">
        <v>66</v>
      </c>
      <c r="S72" s="4">
        <v>9</v>
      </c>
      <c r="T72" s="4">
        <v>9</v>
      </c>
      <c r="U72" s="5" t="s">
        <v>1027</v>
      </c>
      <c r="V72" s="5" t="s">
        <v>1027</v>
      </c>
      <c r="W72" s="5" t="s">
        <v>1028</v>
      </c>
      <c r="X72" s="5" t="s">
        <v>1028</v>
      </c>
      <c r="Y72" s="4">
        <v>794</v>
      </c>
      <c r="Z72" s="4">
        <v>759</v>
      </c>
      <c r="AA72" s="4">
        <v>819</v>
      </c>
      <c r="AB72" s="4">
        <v>7</v>
      </c>
      <c r="AC72" s="4">
        <v>7</v>
      </c>
      <c r="AD72" s="4">
        <v>25</v>
      </c>
      <c r="AE72" s="4">
        <v>28</v>
      </c>
      <c r="AF72" s="4">
        <v>9</v>
      </c>
      <c r="AG72" s="4">
        <v>12</v>
      </c>
      <c r="AH72" s="4">
        <v>3</v>
      </c>
      <c r="AI72" s="4">
        <v>3</v>
      </c>
      <c r="AJ72" s="4">
        <v>10</v>
      </c>
      <c r="AK72" s="4">
        <v>12</v>
      </c>
      <c r="AL72" s="4">
        <v>6</v>
      </c>
      <c r="AM72" s="4">
        <v>6</v>
      </c>
      <c r="AN72" s="4">
        <v>0</v>
      </c>
      <c r="AO72" s="4">
        <v>0</v>
      </c>
      <c r="AP72" s="3" t="s">
        <v>58</v>
      </c>
      <c r="AQ72" s="3" t="s">
        <v>69</v>
      </c>
      <c r="AR72" s="6" t="str">
        <f>HYPERLINK("http://catalog.hathitrust.org/Record/001556771","HathiTrust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HYPERLINK("https://creighton-primo.hosted.exlibrisgroup.com/primo-explore/search?tab=default_tab&amp;search_scope=EVERYTHING&amp;vid=01CRU&amp;lang=en_US&amp;offset=0&amp;query=any,contains,991002834399702656","Catalog Record")</f>
        <v>Catalog Record</v>
      </c>
      <c r="AT72" s="6" t="str">
        <f>HYPERLINK("http://www.worldcat.org/oclc/479276","WorldCat Record")</f>
        <v>WorldCat Record</v>
      </c>
      <c r="AU72" s="3" t="s">
        <v>1029</v>
      </c>
      <c r="AV72" s="3" t="s">
        <v>1030</v>
      </c>
      <c r="AW72" s="3" t="s">
        <v>1031</v>
      </c>
      <c r="AX72" s="3" t="s">
        <v>1031</v>
      </c>
      <c r="AY72" s="3" t="s">
        <v>1032</v>
      </c>
      <c r="AZ72" s="3" t="s">
        <v>74</v>
      </c>
      <c r="BC72" s="3" t="s">
        <v>1033</v>
      </c>
      <c r="BD72" s="3" t="s">
        <v>1034</v>
      </c>
    </row>
    <row r="73" spans="1:56" ht="40.5" customHeight="1" x14ac:dyDescent="0.25">
      <c r="A73" s="8" t="s">
        <v>58</v>
      </c>
      <c r="B73" s="2" t="s">
        <v>1035</v>
      </c>
      <c r="C73" s="2" t="s">
        <v>1036</v>
      </c>
      <c r="D73" s="2" t="s">
        <v>1037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1038</v>
      </c>
      <c r="L73" s="2" t="s">
        <v>1039</v>
      </c>
      <c r="M73" s="3" t="s">
        <v>285</v>
      </c>
      <c r="O73" s="3" t="s">
        <v>64</v>
      </c>
      <c r="P73" s="3" t="s">
        <v>607</v>
      </c>
      <c r="R73" s="3" t="s">
        <v>66</v>
      </c>
      <c r="S73" s="4">
        <v>16</v>
      </c>
      <c r="T73" s="4">
        <v>16</v>
      </c>
      <c r="U73" s="5" t="s">
        <v>1003</v>
      </c>
      <c r="V73" s="5" t="s">
        <v>1003</v>
      </c>
      <c r="W73" s="5" t="s">
        <v>1040</v>
      </c>
      <c r="X73" s="5" t="s">
        <v>1040</v>
      </c>
      <c r="Y73" s="4">
        <v>309</v>
      </c>
      <c r="Z73" s="4">
        <v>247</v>
      </c>
      <c r="AA73" s="4">
        <v>248</v>
      </c>
      <c r="AB73" s="4">
        <v>3</v>
      </c>
      <c r="AC73" s="4">
        <v>3</v>
      </c>
      <c r="AD73" s="4">
        <v>9</v>
      </c>
      <c r="AE73" s="4">
        <v>9</v>
      </c>
      <c r="AF73" s="4">
        <v>3</v>
      </c>
      <c r="AG73" s="4">
        <v>3</v>
      </c>
      <c r="AH73" s="4">
        <v>0</v>
      </c>
      <c r="AI73" s="4">
        <v>0</v>
      </c>
      <c r="AJ73" s="4">
        <v>5</v>
      </c>
      <c r="AK73" s="4">
        <v>5</v>
      </c>
      <c r="AL73" s="4">
        <v>2</v>
      </c>
      <c r="AM73" s="4">
        <v>2</v>
      </c>
      <c r="AN73" s="4">
        <v>0</v>
      </c>
      <c r="AO73" s="4">
        <v>0</v>
      </c>
      <c r="AP73" s="3" t="s">
        <v>58</v>
      </c>
      <c r="AQ73" s="3" t="s">
        <v>58</v>
      </c>
      <c r="AS73" s="6" t="str">
        <f>HYPERLINK("https://creighton-primo.hosted.exlibrisgroup.com/primo-explore/search?tab=default_tab&amp;search_scope=EVERYTHING&amp;vid=01CRU&amp;lang=en_US&amp;offset=0&amp;query=any,contains,991002441519702656","Catalog Record")</f>
        <v>Catalog Record</v>
      </c>
      <c r="AT73" s="6" t="str">
        <f>HYPERLINK("http://www.worldcat.org/oclc/31819705","WorldCat Record")</f>
        <v>WorldCat Record</v>
      </c>
      <c r="AU73" s="3" t="s">
        <v>1041</v>
      </c>
      <c r="AV73" s="3" t="s">
        <v>1042</v>
      </c>
      <c r="AW73" s="3" t="s">
        <v>1043</v>
      </c>
      <c r="AX73" s="3" t="s">
        <v>1043</v>
      </c>
      <c r="AY73" s="3" t="s">
        <v>1044</v>
      </c>
      <c r="AZ73" s="3" t="s">
        <v>74</v>
      </c>
      <c r="BB73" s="3" t="s">
        <v>1045</v>
      </c>
      <c r="BC73" s="3" t="s">
        <v>1046</v>
      </c>
      <c r="BD73" s="3" t="s">
        <v>1047</v>
      </c>
    </row>
    <row r="74" spans="1:56" ht="40.5" customHeight="1" x14ac:dyDescent="0.25">
      <c r="A74" s="8" t="s">
        <v>58</v>
      </c>
      <c r="B74" s="2" t="s">
        <v>1048</v>
      </c>
      <c r="C74" s="2" t="s">
        <v>1049</v>
      </c>
      <c r="D74" s="2" t="s">
        <v>1050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1051</v>
      </c>
      <c r="L74" s="2" t="s">
        <v>1052</v>
      </c>
      <c r="M74" s="3" t="s">
        <v>215</v>
      </c>
      <c r="O74" s="3" t="s">
        <v>64</v>
      </c>
      <c r="P74" s="3" t="s">
        <v>113</v>
      </c>
      <c r="R74" s="3" t="s">
        <v>66</v>
      </c>
      <c r="S74" s="4">
        <v>4</v>
      </c>
      <c r="T74" s="4">
        <v>4</v>
      </c>
      <c r="U74" s="5" t="s">
        <v>1003</v>
      </c>
      <c r="V74" s="5" t="s">
        <v>1003</v>
      </c>
      <c r="W74" s="5" t="s">
        <v>1053</v>
      </c>
      <c r="X74" s="5" t="s">
        <v>1053</v>
      </c>
      <c r="Y74" s="4">
        <v>1145</v>
      </c>
      <c r="Z74" s="4">
        <v>968</v>
      </c>
      <c r="AA74" s="4">
        <v>1082</v>
      </c>
      <c r="AB74" s="4">
        <v>9</v>
      </c>
      <c r="AC74" s="4">
        <v>11</v>
      </c>
      <c r="AD74" s="4">
        <v>32</v>
      </c>
      <c r="AE74" s="4">
        <v>33</v>
      </c>
      <c r="AF74" s="4">
        <v>13</v>
      </c>
      <c r="AG74" s="4">
        <v>13</v>
      </c>
      <c r="AH74" s="4">
        <v>7</v>
      </c>
      <c r="AI74" s="4">
        <v>7</v>
      </c>
      <c r="AJ74" s="4">
        <v>13</v>
      </c>
      <c r="AK74" s="4">
        <v>13</v>
      </c>
      <c r="AL74" s="4">
        <v>7</v>
      </c>
      <c r="AM74" s="4">
        <v>8</v>
      </c>
      <c r="AN74" s="4">
        <v>0</v>
      </c>
      <c r="AO74" s="4">
        <v>0</v>
      </c>
      <c r="AP74" s="3" t="s">
        <v>58</v>
      </c>
      <c r="AQ74" s="3" t="s">
        <v>69</v>
      </c>
      <c r="AR74" s="6" t="str">
        <f>HYPERLINK("http://catalog.hathitrust.org/Record/004200544","HathiTrust Record")</f>
        <v>HathiTrust Record</v>
      </c>
      <c r="AS74" s="6" t="str">
        <f>HYPERLINK("https://creighton-primo.hosted.exlibrisgroup.com/primo-explore/search?tab=default_tab&amp;search_scope=EVERYTHING&amp;vid=01CRU&amp;lang=en_US&amp;offset=0&amp;query=any,contains,991003666419702656","Catalog Record")</f>
        <v>Catalog Record</v>
      </c>
      <c r="AT74" s="6" t="str">
        <f>HYPERLINK("http://www.worldcat.org/oclc/44185293","WorldCat Record")</f>
        <v>WorldCat Record</v>
      </c>
      <c r="AU74" s="3" t="s">
        <v>1054</v>
      </c>
      <c r="AV74" s="3" t="s">
        <v>1055</v>
      </c>
      <c r="AW74" s="3" t="s">
        <v>1056</v>
      </c>
      <c r="AX74" s="3" t="s">
        <v>1056</v>
      </c>
      <c r="AY74" s="3" t="s">
        <v>1057</v>
      </c>
      <c r="AZ74" s="3" t="s">
        <v>74</v>
      </c>
      <c r="BB74" s="3" t="s">
        <v>1058</v>
      </c>
      <c r="BC74" s="3" t="s">
        <v>1059</v>
      </c>
      <c r="BD74" s="3" t="s">
        <v>1060</v>
      </c>
    </row>
    <row r="75" spans="1:56" ht="40.5" customHeight="1" x14ac:dyDescent="0.25">
      <c r="A75" s="8" t="s">
        <v>58</v>
      </c>
      <c r="B75" s="2" t="s">
        <v>1061</v>
      </c>
      <c r="C75" s="2" t="s">
        <v>1062</v>
      </c>
      <c r="D75" s="2" t="s">
        <v>1063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1064</v>
      </c>
      <c r="L75" s="2" t="s">
        <v>1065</v>
      </c>
      <c r="M75" s="3" t="s">
        <v>480</v>
      </c>
      <c r="O75" s="3" t="s">
        <v>64</v>
      </c>
      <c r="P75" s="3" t="s">
        <v>83</v>
      </c>
      <c r="R75" s="3" t="s">
        <v>66</v>
      </c>
      <c r="S75" s="4">
        <v>25</v>
      </c>
      <c r="T75" s="4">
        <v>25</v>
      </c>
      <c r="U75" s="5" t="s">
        <v>1003</v>
      </c>
      <c r="V75" s="5" t="s">
        <v>1003</v>
      </c>
      <c r="W75" s="5" t="s">
        <v>1066</v>
      </c>
      <c r="X75" s="5" t="s">
        <v>1066</v>
      </c>
      <c r="Y75" s="4">
        <v>518</v>
      </c>
      <c r="Z75" s="4">
        <v>486</v>
      </c>
      <c r="AA75" s="4">
        <v>491</v>
      </c>
      <c r="AB75" s="4">
        <v>3</v>
      </c>
      <c r="AC75" s="4">
        <v>3</v>
      </c>
      <c r="AD75" s="4">
        <v>10</v>
      </c>
      <c r="AE75" s="4">
        <v>10</v>
      </c>
      <c r="AF75" s="4">
        <v>4</v>
      </c>
      <c r="AG75" s="4">
        <v>4</v>
      </c>
      <c r="AH75" s="4">
        <v>2</v>
      </c>
      <c r="AI75" s="4">
        <v>2</v>
      </c>
      <c r="AJ75" s="4">
        <v>7</v>
      </c>
      <c r="AK75" s="4">
        <v>7</v>
      </c>
      <c r="AL75" s="4">
        <v>1</v>
      </c>
      <c r="AM75" s="4">
        <v>1</v>
      </c>
      <c r="AN75" s="4">
        <v>1</v>
      </c>
      <c r="AO75" s="4">
        <v>1</v>
      </c>
      <c r="AP75" s="3" t="s">
        <v>58</v>
      </c>
      <c r="AQ75" s="3" t="s">
        <v>58</v>
      </c>
      <c r="AS75" s="6" t="str">
        <f>HYPERLINK("https://creighton-primo.hosted.exlibrisgroup.com/primo-explore/search?tab=default_tab&amp;search_scope=EVERYTHING&amp;vid=01CRU&amp;lang=en_US&amp;offset=0&amp;query=any,contains,991001655219702656","Catalog Record")</f>
        <v>Catalog Record</v>
      </c>
      <c r="AT75" s="6" t="str">
        <f>HYPERLINK("http://www.worldcat.org/oclc/21119105","WorldCat Record")</f>
        <v>WorldCat Record</v>
      </c>
      <c r="AU75" s="3" t="s">
        <v>1067</v>
      </c>
      <c r="AV75" s="3" t="s">
        <v>1068</v>
      </c>
      <c r="AW75" s="3" t="s">
        <v>1069</v>
      </c>
      <c r="AX75" s="3" t="s">
        <v>1069</v>
      </c>
      <c r="AY75" s="3" t="s">
        <v>1070</v>
      </c>
      <c r="AZ75" s="3" t="s">
        <v>74</v>
      </c>
      <c r="BB75" s="3" t="s">
        <v>1071</v>
      </c>
      <c r="BC75" s="3" t="s">
        <v>1072</v>
      </c>
      <c r="BD75" s="3" t="s">
        <v>1073</v>
      </c>
    </row>
    <row r="76" spans="1:56" ht="40.5" customHeight="1" x14ac:dyDescent="0.25">
      <c r="A76" s="8" t="s">
        <v>58</v>
      </c>
      <c r="B76" s="2" t="s">
        <v>1074</v>
      </c>
      <c r="C76" s="2" t="s">
        <v>1075</v>
      </c>
      <c r="D76" s="2" t="s">
        <v>1076</v>
      </c>
      <c r="F76" s="3" t="s">
        <v>58</v>
      </c>
      <c r="G76" s="3" t="s">
        <v>59</v>
      </c>
      <c r="H76" s="3" t="s">
        <v>69</v>
      </c>
      <c r="I76" s="3" t="s">
        <v>58</v>
      </c>
      <c r="J76" s="3" t="s">
        <v>60</v>
      </c>
      <c r="K76" s="2" t="s">
        <v>1077</v>
      </c>
      <c r="L76" s="2" t="s">
        <v>1078</v>
      </c>
      <c r="M76" s="3" t="s">
        <v>185</v>
      </c>
      <c r="N76" s="2" t="s">
        <v>127</v>
      </c>
      <c r="O76" s="3" t="s">
        <v>64</v>
      </c>
      <c r="P76" s="3" t="s">
        <v>83</v>
      </c>
      <c r="R76" s="3" t="s">
        <v>66</v>
      </c>
      <c r="S76" s="4">
        <v>11</v>
      </c>
      <c r="T76" s="4">
        <v>17</v>
      </c>
      <c r="U76" s="5" t="s">
        <v>1079</v>
      </c>
      <c r="V76" s="5" t="s">
        <v>1080</v>
      </c>
      <c r="W76" s="5" t="s">
        <v>1081</v>
      </c>
      <c r="X76" s="5" t="s">
        <v>1081</v>
      </c>
      <c r="Y76" s="4">
        <v>768</v>
      </c>
      <c r="Z76" s="4">
        <v>725</v>
      </c>
      <c r="AA76" s="4">
        <v>732</v>
      </c>
      <c r="AB76" s="4">
        <v>5</v>
      </c>
      <c r="AC76" s="4">
        <v>5</v>
      </c>
      <c r="AD76" s="4">
        <v>21</v>
      </c>
      <c r="AE76" s="4">
        <v>21</v>
      </c>
      <c r="AF76" s="4">
        <v>7</v>
      </c>
      <c r="AG76" s="4">
        <v>7</v>
      </c>
      <c r="AH76" s="4">
        <v>4</v>
      </c>
      <c r="AI76" s="4">
        <v>4</v>
      </c>
      <c r="AJ76" s="4">
        <v>12</v>
      </c>
      <c r="AK76" s="4">
        <v>12</v>
      </c>
      <c r="AL76" s="4">
        <v>2</v>
      </c>
      <c r="AM76" s="4">
        <v>2</v>
      </c>
      <c r="AN76" s="4">
        <v>1</v>
      </c>
      <c r="AO76" s="4">
        <v>1</v>
      </c>
      <c r="AP76" s="3" t="s">
        <v>58</v>
      </c>
      <c r="AQ76" s="3" t="s">
        <v>69</v>
      </c>
      <c r="AR76" s="6" t="str">
        <f>HYPERLINK("http://catalog.hathitrust.org/Record/002736425","HathiTrust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HYPERLINK("https://creighton-primo.hosted.exlibrisgroup.com/primo-explore/search?tab=default_tab&amp;search_scope=EVERYTHING&amp;vid=01CRU&amp;lang=en_US&amp;offset=0&amp;query=any,contains,991001802569702656","Catalog Record")</f>
        <v>Catalog Record</v>
      </c>
      <c r="AT76" s="6" t="str">
        <f>HYPERLINK("http://www.worldcat.org/oclc/25914047","WorldCat Record")</f>
        <v>WorldCat Record</v>
      </c>
      <c r="AU76" s="3" t="s">
        <v>1082</v>
      </c>
      <c r="AV76" s="3" t="s">
        <v>1083</v>
      </c>
      <c r="AW76" s="3" t="s">
        <v>1084</v>
      </c>
      <c r="AX76" s="3" t="s">
        <v>1084</v>
      </c>
      <c r="AY76" s="3" t="s">
        <v>1085</v>
      </c>
      <c r="AZ76" s="3" t="s">
        <v>74</v>
      </c>
      <c r="BB76" s="3" t="s">
        <v>1086</v>
      </c>
      <c r="BC76" s="3" t="s">
        <v>1087</v>
      </c>
      <c r="BD76" s="3" t="s">
        <v>1088</v>
      </c>
    </row>
    <row r="77" spans="1:56" ht="40.5" customHeight="1" x14ac:dyDescent="0.25">
      <c r="A77" s="8" t="s">
        <v>58</v>
      </c>
      <c r="B77" s="2" t="s">
        <v>1089</v>
      </c>
      <c r="C77" s="2" t="s">
        <v>1090</v>
      </c>
      <c r="D77" s="2" t="s">
        <v>1091</v>
      </c>
      <c r="E77" s="3" t="s">
        <v>1092</v>
      </c>
      <c r="F77" s="3" t="s">
        <v>58</v>
      </c>
      <c r="G77" s="3" t="s">
        <v>59</v>
      </c>
      <c r="H77" s="3" t="s">
        <v>69</v>
      </c>
      <c r="I77" s="3" t="s">
        <v>58</v>
      </c>
      <c r="J77" s="3" t="s">
        <v>60</v>
      </c>
      <c r="L77" s="2" t="s">
        <v>1093</v>
      </c>
      <c r="M77" s="3" t="s">
        <v>1094</v>
      </c>
      <c r="N77" s="2" t="s">
        <v>271</v>
      </c>
      <c r="O77" s="3" t="s">
        <v>64</v>
      </c>
      <c r="P77" s="3" t="s">
        <v>83</v>
      </c>
      <c r="Q77" s="2" t="s">
        <v>1095</v>
      </c>
      <c r="R77" s="3" t="s">
        <v>66</v>
      </c>
      <c r="S77" s="4">
        <v>3</v>
      </c>
      <c r="T77" s="4">
        <v>4</v>
      </c>
      <c r="U77" s="5" t="s">
        <v>1096</v>
      </c>
      <c r="V77" s="5" t="s">
        <v>1096</v>
      </c>
      <c r="W77" s="5" t="s">
        <v>245</v>
      </c>
      <c r="X77" s="5" t="s">
        <v>245</v>
      </c>
      <c r="Y77" s="4">
        <v>203</v>
      </c>
      <c r="Z77" s="4">
        <v>149</v>
      </c>
      <c r="AA77" s="4">
        <v>156</v>
      </c>
      <c r="AB77" s="4">
        <v>2</v>
      </c>
      <c r="AC77" s="4">
        <v>2</v>
      </c>
      <c r="AD77" s="4">
        <v>5</v>
      </c>
      <c r="AE77" s="4">
        <v>5</v>
      </c>
      <c r="AF77" s="4">
        <v>1</v>
      </c>
      <c r="AG77" s="4">
        <v>1</v>
      </c>
      <c r="AH77" s="4">
        <v>2</v>
      </c>
      <c r="AI77" s="4">
        <v>2</v>
      </c>
      <c r="AJ77" s="4">
        <v>4</v>
      </c>
      <c r="AK77" s="4">
        <v>4</v>
      </c>
      <c r="AL77" s="4">
        <v>0</v>
      </c>
      <c r="AM77" s="4">
        <v>0</v>
      </c>
      <c r="AN77" s="4">
        <v>0</v>
      </c>
      <c r="AO77" s="4">
        <v>0</v>
      </c>
      <c r="AP77" s="3" t="s">
        <v>58</v>
      </c>
      <c r="AQ77" s="3" t="s">
        <v>69</v>
      </c>
      <c r="AR77" s="6" t="str">
        <f>HYPERLINK("http://catalog.hathitrust.org/Record/000160387","HathiTrust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HYPERLINK("https://creighton-primo.hosted.exlibrisgroup.com/primo-explore/search?tab=default_tab&amp;search_scope=EVERYTHING&amp;vid=01CRU&amp;lang=en_US&amp;offset=0&amp;query=any,contains,991001785939702656","Catalog Record")</f>
        <v>Catalog Record</v>
      </c>
      <c r="AT77" s="6" t="str">
        <f>HYPERLINK("http://www.worldcat.org/oclc/8431508","WorldCat Record")</f>
        <v>WorldCat Record</v>
      </c>
      <c r="AU77" s="3" t="s">
        <v>1097</v>
      </c>
      <c r="AV77" s="3" t="s">
        <v>1098</v>
      </c>
      <c r="AW77" s="3" t="s">
        <v>1099</v>
      </c>
      <c r="AX77" s="3" t="s">
        <v>1099</v>
      </c>
      <c r="AY77" s="3" t="s">
        <v>1100</v>
      </c>
      <c r="AZ77" s="3" t="s">
        <v>74</v>
      </c>
      <c r="BB77" s="3" t="s">
        <v>1101</v>
      </c>
      <c r="BC77" s="3" t="s">
        <v>1102</v>
      </c>
      <c r="BD77" s="3" t="s">
        <v>1103</v>
      </c>
    </row>
    <row r="78" spans="1:56" ht="40.5" customHeight="1" x14ac:dyDescent="0.25">
      <c r="A78" s="8" t="s">
        <v>58</v>
      </c>
      <c r="B78" s="2" t="s">
        <v>1104</v>
      </c>
      <c r="C78" s="2" t="s">
        <v>1105</v>
      </c>
      <c r="D78" s="2" t="s">
        <v>1106</v>
      </c>
      <c r="F78" s="3" t="s">
        <v>58</v>
      </c>
      <c r="G78" s="3" t="s">
        <v>59</v>
      </c>
      <c r="H78" s="3" t="s">
        <v>69</v>
      </c>
      <c r="I78" s="3" t="s">
        <v>58</v>
      </c>
      <c r="J78" s="3" t="s">
        <v>60</v>
      </c>
      <c r="K78" s="2" t="s">
        <v>1107</v>
      </c>
      <c r="L78" s="2" t="s">
        <v>1108</v>
      </c>
      <c r="M78" s="3" t="s">
        <v>155</v>
      </c>
      <c r="O78" s="3" t="s">
        <v>64</v>
      </c>
      <c r="P78" s="3" t="s">
        <v>83</v>
      </c>
      <c r="Q78" s="2" t="s">
        <v>842</v>
      </c>
      <c r="R78" s="3" t="s">
        <v>66</v>
      </c>
      <c r="S78" s="4">
        <v>3</v>
      </c>
      <c r="T78" s="4">
        <v>4</v>
      </c>
      <c r="U78" s="5" t="s">
        <v>1096</v>
      </c>
      <c r="V78" s="5" t="s">
        <v>1096</v>
      </c>
      <c r="W78" s="5" t="s">
        <v>100</v>
      </c>
      <c r="X78" s="5" t="s">
        <v>100</v>
      </c>
      <c r="Y78" s="4">
        <v>487</v>
      </c>
      <c r="Z78" s="4">
        <v>391</v>
      </c>
      <c r="AA78" s="4">
        <v>403</v>
      </c>
      <c r="AB78" s="4">
        <v>4</v>
      </c>
      <c r="AC78" s="4">
        <v>4</v>
      </c>
      <c r="AD78" s="4">
        <v>12</v>
      </c>
      <c r="AE78" s="4">
        <v>12</v>
      </c>
      <c r="AF78" s="4">
        <v>1</v>
      </c>
      <c r="AG78" s="4">
        <v>1</v>
      </c>
      <c r="AH78" s="4">
        <v>4</v>
      </c>
      <c r="AI78" s="4">
        <v>4</v>
      </c>
      <c r="AJ78" s="4">
        <v>8</v>
      </c>
      <c r="AK78" s="4">
        <v>8</v>
      </c>
      <c r="AL78" s="4">
        <v>2</v>
      </c>
      <c r="AM78" s="4">
        <v>2</v>
      </c>
      <c r="AN78" s="4">
        <v>0</v>
      </c>
      <c r="AO78" s="4">
        <v>0</v>
      </c>
      <c r="AP78" s="3" t="s">
        <v>58</v>
      </c>
      <c r="AQ78" s="3" t="s">
        <v>69</v>
      </c>
      <c r="AR78" s="6" t="str">
        <f>HYPERLINK("http://catalog.hathitrust.org/Record/001556777","HathiTrust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HYPERLINK("https://creighton-primo.hosted.exlibrisgroup.com/primo-explore/search?tab=default_tab&amp;search_scope=EVERYTHING&amp;vid=01CRU&amp;lang=en_US&amp;offset=0&amp;query=any,contains,991001778989702656","Catalog Record")</f>
        <v>Catalog Record</v>
      </c>
      <c r="AT78" s="6" t="str">
        <f>HYPERLINK("http://www.worldcat.org/oclc/723865","WorldCat Record")</f>
        <v>WorldCat Record</v>
      </c>
      <c r="AU78" s="3" t="s">
        <v>1109</v>
      </c>
      <c r="AV78" s="3" t="s">
        <v>1110</v>
      </c>
      <c r="AW78" s="3" t="s">
        <v>1111</v>
      </c>
      <c r="AX78" s="3" t="s">
        <v>1111</v>
      </c>
      <c r="AY78" s="3" t="s">
        <v>1112</v>
      </c>
      <c r="AZ78" s="3" t="s">
        <v>74</v>
      </c>
      <c r="BB78" s="3" t="s">
        <v>1113</v>
      </c>
      <c r="BC78" s="3" t="s">
        <v>1114</v>
      </c>
      <c r="BD78" s="3" t="s">
        <v>1115</v>
      </c>
    </row>
    <row r="79" spans="1:56" ht="40.5" customHeight="1" x14ac:dyDescent="0.25">
      <c r="A79" s="8" t="s">
        <v>58</v>
      </c>
      <c r="B79" s="2" t="s">
        <v>1116</v>
      </c>
      <c r="C79" s="2" t="s">
        <v>1117</v>
      </c>
      <c r="D79" s="2" t="s">
        <v>1118</v>
      </c>
      <c r="E79" s="3" t="s">
        <v>1119</v>
      </c>
      <c r="F79" s="3" t="s">
        <v>69</v>
      </c>
      <c r="G79" s="3" t="s">
        <v>59</v>
      </c>
      <c r="H79" s="3" t="s">
        <v>58</v>
      </c>
      <c r="I79" s="3" t="s">
        <v>58</v>
      </c>
      <c r="J79" s="3" t="s">
        <v>60</v>
      </c>
      <c r="L79" s="2" t="s">
        <v>1120</v>
      </c>
      <c r="M79" s="3" t="s">
        <v>1121</v>
      </c>
      <c r="O79" s="3" t="s">
        <v>64</v>
      </c>
      <c r="P79" s="3" t="s">
        <v>83</v>
      </c>
      <c r="Q79" s="2" t="s">
        <v>1122</v>
      </c>
      <c r="R79" s="3" t="s">
        <v>66</v>
      </c>
      <c r="S79" s="4">
        <v>1</v>
      </c>
      <c r="T79" s="4">
        <v>1</v>
      </c>
      <c r="U79" s="5" t="s">
        <v>928</v>
      </c>
      <c r="V79" s="5" t="s">
        <v>928</v>
      </c>
      <c r="W79" s="5" t="s">
        <v>245</v>
      </c>
      <c r="X79" s="5" t="s">
        <v>245</v>
      </c>
      <c r="Y79" s="4">
        <v>260</v>
      </c>
      <c r="Z79" s="4">
        <v>201</v>
      </c>
      <c r="AA79" s="4">
        <v>208</v>
      </c>
      <c r="AB79" s="4">
        <v>1</v>
      </c>
      <c r="AC79" s="4">
        <v>1</v>
      </c>
      <c r="AD79" s="4">
        <v>6</v>
      </c>
      <c r="AE79" s="4">
        <v>6</v>
      </c>
      <c r="AF79" s="4">
        <v>1</v>
      </c>
      <c r="AG79" s="4">
        <v>1</v>
      </c>
      <c r="AH79" s="4">
        <v>3</v>
      </c>
      <c r="AI79" s="4">
        <v>3</v>
      </c>
      <c r="AJ79" s="4">
        <v>4</v>
      </c>
      <c r="AK79" s="4">
        <v>4</v>
      </c>
      <c r="AL79" s="4">
        <v>0</v>
      </c>
      <c r="AM79" s="4">
        <v>0</v>
      </c>
      <c r="AN79" s="4">
        <v>0</v>
      </c>
      <c r="AO79" s="4">
        <v>0</v>
      </c>
      <c r="AP79" s="3" t="s">
        <v>58</v>
      </c>
      <c r="AQ79" s="3" t="s">
        <v>69</v>
      </c>
      <c r="AR79" s="6" t="str">
        <f>HYPERLINK("http://catalog.hathitrust.org/Record/000368163","HathiTrust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HYPERLINK("https://creighton-primo.hosted.exlibrisgroup.com/primo-explore/search?tab=default_tab&amp;search_scope=EVERYTHING&amp;vid=01CRU&amp;lang=en_US&amp;offset=0&amp;query=any,contains,991004993219702656","Catalog Record")</f>
        <v>Catalog Record</v>
      </c>
      <c r="AT79" s="6" t="str">
        <f>HYPERLINK("http://www.worldcat.org/oclc/6487905","WorldCat Record")</f>
        <v>WorldCat Record</v>
      </c>
      <c r="AU79" s="3" t="s">
        <v>1123</v>
      </c>
      <c r="AV79" s="3" t="s">
        <v>1124</v>
      </c>
      <c r="AW79" s="3" t="s">
        <v>1125</v>
      </c>
      <c r="AX79" s="3" t="s">
        <v>1125</v>
      </c>
      <c r="AY79" s="3" t="s">
        <v>1126</v>
      </c>
      <c r="AZ79" s="3" t="s">
        <v>74</v>
      </c>
      <c r="BB79" s="3" t="s">
        <v>1127</v>
      </c>
      <c r="BC79" s="3" t="s">
        <v>1128</v>
      </c>
      <c r="BD79" s="3" t="s">
        <v>1129</v>
      </c>
    </row>
    <row r="80" spans="1:56" ht="40.5" customHeight="1" x14ac:dyDescent="0.25">
      <c r="A80" s="8" t="s">
        <v>58</v>
      </c>
      <c r="B80" s="2" t="s">
        <v>1116</v>
      </c>
      <c r="C80" s="2" t="s">
        <v>1117</v>
      </c>
      <c r="D80" s="2" t="s">
        <v>1118</v>
      </c>
      <c r="E80" s="3" t="s">
        <v>793</v>
      </c>
      <c r="F80" s="3" t="s">
        <v>69</v>
      </c>
      <c r="G80" s="3" t="s">
        <v>59</v>
      </c>
      <c r="H80" s="3" t="s">
        <v>58</v>
      </c>
      <c r="I80" s="3" t="s">
        <v>58</v>
      </c>
      <c r="J80" s="3" t="s">
        <v>60</v>
      </c>
      <c r="L80" s="2" t="s">
        <v>1120</v>
      </c>
      <c r="M80" s="3" t="s">
        <v>1121</v>
      </c>
      <c r="O80" s="3" t="s">
        <v>64</v>
      </c>
      <c r="P80" s="3" t="s">
        <v>83</v>
      </c>
      <c r="Q80" s="2" t="s">
        <v>1122</v>
      </c>
      <c r="R80" s="3" t="s">
        <v>66</v>
      </c>
      <c r="S80" s="4">
        <v>0</v>
      </c>
      <c r="T80" s="4">
        <v>1</v>
      </c>
      <c r="V80" s="5" t="s">
        <v>928</v>
      </c>
      <c r="W80" s="5" t="s">
        <v>245</v>
      </c>
      <c r="X80" s="5" t="s">
        <v>245</v>
      </c>
      <c r="Y80" s="4">
        <v>260</v>
      </c>
      <c r="Z80" s="4">
        <v>201</v>
      </c>
      <c r="AA80" s="4">
        <v>208</v>
      </c>
      <c r="AB80" s="4">
        <v>1</v>
      </c>
      <c r="AC80" s="4">
        <v>1</v>
      </c>
      <c r="AD80" s="4">
        <v>6</v>
      </c>
      <c r="AE80" s="4">
        <v>6</v>
      </c>
      <c r="AF80" s="4">
        <v>1</v>
      </c>
      <c r="AG80" s="4">
        <v>1</v>
      </c>
      <c r="AH80" s="4">
        <v>3</v>
      </c>
      <c r="AI80" s="4">
        <v>3</v>
      </c>
      <c r="AJ80" s="4">
        <v>4</v>
      </c>
      <c r="AK80" s="4">
        <v>4</v>
      </c>
      <c r="AL80" s="4">
        <v>0</v>
      </c>
      <c r="AM80" s="4">
        <v>0</v>
      </c>
      <c r="AN80" s="4">
        <v>0</v>
      </c>
      <c r="AO80" s="4">
        <v>0</v>
      </c>
      <c r="AP80" s="3" t="s">
        <v>58</v>
      </c>
      <c r="AQ80" s="3" t="s">
        <v>69</v>
      </c>
      <c r="AR80" s="6" t="str">
        <f>HYPERLINK("http://catalog.hathitrust.org/Record/000368163","HathiTrust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HYPERLINK("https://creighton-primo.hosted.exlibrisgroup.com/primo-explore/search?tab=default_tab&amp;search_scope=EVERYTHING&amp;vid=01CRU&amp;lang=en_US&amp;offset=0&amp;query=any,contains,991004993219702656","Catalog Record")</f>
        <v>Catalog Record</v>
      </c>
      <c r="AT80" s="6" t="str">
        <f>HYPERLINK("http://www.worldcat.org/oclc/6487905","WorldCat Record")</f>
        <v>WorldCat Record</v>
      </c>
      <c r="AU80" s="3" t="s">
        <v>1123</v>
      </c>
      <c r="AV80" s="3" t="s">
        <v>1124</v>
      </c>
      <c r="AW80" s="3" t="s">
        <v>1125</v>
      </c>
      <c r="AX80" s="3" t="s">
        <v>1125</v>
      </c>
      <c r="AY80" s="3" t="s">
        <v>1126</v>
      </c>
      <c r="AZ80" s="3" t="s">
        <v>74</v>
      </c>
      <c r="BB80" s="3" t="s">
        <v>1127</v>
      </c>
      <c r="BC80" s="3" t="s">
        <v>1130</v>
      </c>
      <c r="BD80" s="3" t="s">
        <v>1131</v>
      </c>
    </row>
    <row r="81" spans="1:56" ht="40.5" customHeight="1" x14ac:dyDescent="0.25">
      <c r="A81" s="8" t="s">
        <v>58</v>
      </c>
      <c r="B81" s="2" t="s">
        <v>1132</v>
      </c>
      <c r="C81" s="2" t="s">
        <v>1133</v>
      </c>
      <c r="D81" s="2" t="s">
        <v>1134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L81" s="2" t="s">
        <v>1135</v>
      </c>
      <c r="M81" s="3" t="s">
        <v>243</v>
      </c>
      <c r="O81" s="3" t="s">
        <v>64</v>
      </c>
      <c r="P81" s="3" t="s">
        <v>202</v>
      </c>
      <c r="R81" s="3" t="s">
        <v>66</v>
      </c>
      <c r="S81" s="4">
        <v>4</v>
      </c>
      <c r="T81" s="4">
        <v>4</v>
      </c>
      <c r="U81" s="5" t="s">
        <v>962</v>
      </c>
      <c r="V81" s="5" t="s">
        <v>962</v>
      </c>
      <c r="W81" s="5" t="s">
        <v>1028</v>
      </c>
      <c r="X81" s="5" t="s">
        <v>1028</v>
      </c>
      <c r="Y81" s="4">
        <v>97</v>
      </c>
      <c r="Z81" s="4">
        <v>62</v>
      </c>
      <c r="AA81" s="4">
        <v>70</v>
      </c>
      <c r="AB81" s="4">
        <v>1</v>
      </c>
      <c r="AC81" s="4">
        <v>1</v>
      </c>
      <c r="AD81" s="4">
        <v>1</v>
      </c>
      <c r="AE81" s="4">
        <v>1</v>
      </c>
      <c r="AF81" s="4">
        <v>0</v>
      </c>
      <c r="AG81" s="4">
        <v>0</v>
      </c>
      <c r="AH81" s="4">
        <v>1</v>
      </c>
      <c r="AI81" s="4">
        <v>1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3" t="s">
        <v>58</v>
      </c>
      <c r="AQ81" s="3" t="s">
        <v>69</v>
      </c>
      <c r="AR81" s="6" t="str">
        <f>HYPERLINK("http://catalog.hathitrust.org/Record/000868399","HathiTrust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HYPERLINK("https://creighton-primo.hosted.exlibrisgroup.com/primo-explore/search?tab=default_tab&amp;search_scope=EVERYTHING&amp;vid=01CRU&amp;lang=en_US&amp;offset=0&amp;query=any,contains,991001000139702656","Catalog Record")</f>
        <v>Catalog Record</v>
      </c>
      <c r="AT81" s="6" t="str">
        <f>HYPERLINK("http://www.worldcat.org/oclc/15197002","WorldCat Record")</f>
        <v>WorldCat Record</v>
      </c>
      <c r="AU81" s="3" t="s">
        <v>1136</v>
      </c>
      <c r="AV81" s="3" t="s">
        <v>1137</v>
      </c>
      <c r="AW81" s="3" t="s">
        <v>1138</v>
      </c>
      <c r="AX81" s="3" t="s">
        <v>1138</v>
      </c>
      <c r="AY81" s="3" t="s">
        <v>1139</v>
      </c>
      <c r="AZ81" s="3" t="s">
        <v>74</v>
      </c>
      <c r="BB81" s="3" t="s">
        <v>1140</v>
      </c>
      <c r="BC81" s="3" t="s">
        <v>1141</v>
      </c>
      <c r="BD81" s="3" t="s">
        <v>1142</v>
      </c>
    </row>
    <row r="82" spans="1:56" ht="40.5" customHeight="1" x14ac:dyDescent="0.25">
      <c r="A82" s="8" t="s">
        <v>58</v>
      </c>
      <c r="B82" s="2" t="s">
        <v>1143</v>
      </c>
      <c r="C82" s="2" t="s">
        <v>1144</v>
      </c>
      <c r="D82" s="2" t="s">
        <v>1145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L82" s="2" t="s">
        <v>1146</v>
      </c>
      <c r="M82" s="3" t="s">
        <v>525</v>
      </c>
      <c r="O82" s="3" t="s">
        <v>64</v>
      </c>
      <c r="P82" s="3" t="s">
        <v>607</v>
      </c>
      <c r="R82" s="3" t="s">
        <v>66</v>
      </c>
      <c r="S82" s="4">
        <v>4</v>
      </c>
      <c r="T82" s="4">
        <v>4</v>
      </c>
      <c r="U82" s="5" t="s">
        <v>1147</v>
      </c>
      <c r="V82" s="5" t="s">
        <v>1147</v>
      </c>
      <c r="W82" s="5" t="s">
        <v>609</v>
      </c>
      <c r="X82" s="5" t="s">
        <v>609</v>
      </c>
      <c r="Y82" s="4">
        <v>109</v>
      </c>
      <c r="Z82" s="4">
        <v>81</v>
      </c>
      <c r="AA82" s="4">
        <v>84</v>
      </c>
      <c r="AB82" s="4">
        <v>2</v>
      </c>
      <c r="AC82" s="4">
        <v>2</v>
      </c>
      <c r="AD82" s="4">
        <v>1</v>
      </c>
      <c r="AE82" s="4">
        <v>1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1</v>
      </c>
      <c r="AM82" s="4">
        <v>1</v>
      </c>
      <c r="AN82" s="4">
        <v>0</v>
      </c>
      <c r="AO82" s="4">
        <v>0</v>
      </c>
      <c r="AP82" s="3" t="s">
        <v>58</v>
      </c>
      <c r="AQ82" s="3" t="s">
        <v>69</v>
      </c>
      <c r="AR82" s="6" t="str">
        <f>HYPERLINK("http://catalog.hathitrust.org/Record/002444832","HathiTrust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HYPERLINK("https://creighton-primo.hosted.exlibrisgroup.com/primo-explore/search?tab=default_tab&amp;search_scope=EVERYTHING&amp;vid=01CRU&amp;lang=en_US&amp;offset=0&amp;query=any,contains,991001767319702656","Catalog Record")</f>
        <v>Catalog Record</v>
      </c>
      <c r="AT82" s="6" t="str">
        <f>HYPERLINK("http://www.worldcat.org/oclc/22314261","WorldCat Record")</f>
        <v>WorldCat Record</v>
      </c>
      <c r="AU82" s="3" t="s">
        <v>1148</v>
      </c>
      <c r="AV82" s="3" t="s">
        <v>1149</v>
      </c>
      <c r="AW82" s="3" t="s">
        <v>1150</v>
      </c>
      <c r="AX82" s="3" t="s">
        <v>1150</v>
      </c>
      <c r="AY82" s="3" t="s">
        <v>1151</v>
      </c>
      <c r="AZ82" s="3" t="s">
        <v>74</v>
      </c>
      <c r="BB82" s="3" t="s">
        <v>1152</v>
      </c>
      <c r="BC82" s="3" t="s">
        <v>1153</v>
      </c>
      <c r="BD82" s="3" t="s">
        <v>1154</v>
      </c>
    </row>
    <row r="83" spans="1:56" ht="40.5" customHeight="1" x14ac:dyDescent="0.25">
      <c r="A83" s="8" t="s">
        <v>58</v>
      </c>
      <c r="B83" s="2" t="s">
        <v>1155</v>
      </c>
      <c r="C83" s="2" t="s">
        <v>1156</v>
      </c>
      <c r="D83" s="2" t="s">
        <v>1157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1158</v>
      </c>
      <c r="L83" s="2" t="s">
        <v>1159</v>
      </c>
      <c r="M83" s="3" t="s">
        <v>1160</v>
      </c>
      <c r="N83" s="2" t="s">
        <v>156</v>
      </c>
      <c r="O83" s="3" t="s">
        <v>64</v>
      </c>
      <c r="P83" s="3" t="s">
        <v>83</v>
      </c>
      <c r="R83" s="3" t="s">
        <v>66</v>
      </c>
      <c r="S83" s="4">
        <v>1</v>
      </c>
      <c r="T83" s="4">
        <v>1</v>
      </c>
      <c r="U83" s="5" t="s">
        <v>951</v>
      </c>
      <c r="V83" s="5" t="s">
        <v>951</v>
      </c>
      <c r="W83" s="5" t="s">
        <v>100</v>
      </c>
      <c r="X83" s="5" t="s">
        <v>100</v>
      </c>
      <c r="Y83" s="4">
        <v>226</v>
      </c>
      <c r="Z83" s="4">
        <v>148</v>
      </c>
      <c r="AA83" s="4">
        <v>252</v>
      </c>
      <c r="AB83" s="4">
        <v>3</v>
      </c>
      <c r="AC83" s="4">
        <v>3</v>
      </c>
      <c r="AD83" s="4">
        <v>7</v>
      </c>
      <c r="AE83" s="4">
        <v>13</v>
      </c>
      <c r="AF83" s="4">
        <v>4</v>
      </c>
      <c r="AG83" s="4">
        <v>6</v>
      </c>
      <c r="AH83" s="4">
        <v>0</v>
      </c>
      <c r="AI83" s="4">
        <v>2</v>
      </c>
      <c r="AJ83" s="4">
        <v>2</v>
      </c>
      <c r="AK83" s="4">
        <v>7</v>
      </c>
      <c r="AL83" s="4">
        <v>2</v>
      </c>
      <c r="AM83" s="4">
        <v>2</v>
      </c>
      <c r="AN83" s="4">
        <v>0</v>
      </c>
      <c r="AO83" s="4">
        <v>0</v>
      </c>
      <c r="AP83" s="3" t="s">
        <v>69</v>
      </c>
      <c r="AQ83" s="3" t="s">
        <v>58</v>
      </c>
      <c r="AR83" s="6" t="str">
        <f>HYPERLINK("http://catalog.hathitrust.org/Record/001556065","HathiTrust Record")</f>
        <v>HathiTrust Record</v>
      </c>
      <c r="AS83" s="6" t="str">
        <f>HYPERLINK("https://creighton-primo.hosted.exlibrisgroup.com/primo-explore/search?tab=default_tab&amp;search_scope=EVERYTHING&amp;vid=01CRU&amp;lang=en_US&amp;offset=0&amp;query=any,contains,991003755889702656","Catalog Record")</f>
        <v>Catalog Record</v>
      </c>
      <c r="AT83" s="6" t="str">
        <f>HYPERLINK("http://www.worldcat.org/oclc/1436556","WorldCat Record")</f>
        <v>WorldCat Record</v>
      </c>
      <c r="AU83" s="3" t="s">
        <v>1161</v>
      </c>
      <c r="AV83" s="3" t="s">
        <v>1162</v>
      </c>
      <c r="AW83" s="3" t="s">
        <v>1163</v>
      </c>
      <c r="AX83" s="3" t="s">
        <v>1163</v>
      </c>
      <c r="AY83" s="3" t="s">
        <v>1164</v>
      </c>
      <c r="AZ83" s="3" t="s">
        <v>74</v>
      </c>
      <c r="BC83" s="3" t="s">
        <v>1165</v>
      </c>
      <c r="BD83" s="3" t="s">
        <v>1166</v>
      </c>
    </row>
    <row r="84" spans="1:56" ht="40.5" customHeight="1" x14ac:dyDescent="0.25">
      <c r="A84" s="8" t="s">
        <v>58</v>
      </c>
      <c r="B84" s="2" t="s">
        <v>1167</v>
      </c>
      <c r="C84" s="2" t="s">
        <v>1168</v>
      </c>
      <c r="D84" s="2" t="s">
        <v>1169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1170</v>
      </c>
      <c r="L84" s="2" t="s">
        <v>1171</v>
      </c>
      <c r="M84" s="3" t="s">
        <v>1172</v>
      </c>
      <c r="N84" s="2" t="s">
        <v>301</v>
      </c>
      <c r="O84" s="3" t="s">
        <v>64</v>
      </c>
      <c r="P84" s="3" t="s">
        <v>939</v>
      </c>
      <c r="R84" s="3" t="s">
        <v>66</v>
      </c>
      <c r="S84" s="4">
        <v>6</v>
      </c>
      <c r="T84" s="4">
        <v>6</v>
      </c>
      <c r="U84" s="5" t="s">
        <v>1173</v>
      </c>
      <c r="V84" s="5" t="s">
        <v>1173</v>
      </c>
      <c r="W84" s="5" t="s">
        <v>100</v>
      </c>
      <c r="X84" s="5" t="s">
        <v>100</v>
      </c>
      <c r="Y84" s="4">
        <v>100</v>
      </c>
      <c r="Z84" s="4">
        <v>82</v>
      </c>
      <c r="AA84" s="4">
        <v>336</v>
      </c>
      <c r="AB84" s="4">
        <v>1</v>
      </c>
      <c r="AC84" s="4">
        <v>3</v>
      </c>
      <c r="AD84" s="4">
        <v>3</v>
      </c>
      <c r="AE84" s="4">
        <v>8</v>
      </c>
      <c r="AF84" s="4">
        <v>1</v>
      </c>
      <c r="AG84" s="4">
        <v>2</v>
      </c>
      <c r="AH84" s="4">
        <v>0</v>
      </c>
      <c r="AI84" s="4">
        <v>1</v>
      </c>
      <c r="AJ84" s="4">
        <v>2</v>
      </c>
      <c r="AK84" s="4">
        <v>5</v>
      </c>
      <c r="AL84" s="4">
        <v>0</v>
      </c>
      <c r="AM84" s="4">
        <v>2</v>
      </c>
      <c r="AN84" s="4">
        <v>0</v>
      </c>
      <c r="AO84" s="4">
        <v>0</v>
      </c>
      <c r="AP84" s="3" t="s">
        <v>58</v>
      </c>
      <c r="AQ84" s="3" t="s">
        <v>69</v>
      </c>
      <c r="AR84" s="6" t="str">
        <f>HYPERLINK("http://catalog.hathitrust.org/Record/001556068","HathiTrust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HYPERLINK("https://creighton-primo.hosted.exlibrisgroup.com/primo-explore/search?tab=default_tab&amp;search_scope=EVERYTHING&amp;vid=01CRU&amp;lang=en_US&amp;offset=0&amp;query=any,contains,991004088629702656","Catalog Record")</f>
        <v>Catalog Record</v>
      </c>
      <c r="AT84" s="6" t="str">
        <f>HYPERLINK("http://www.worldcat.org/oclc/2338204","WorldCat Record")</f>
        <v>WorldCat Record</v>
      </c>
      <c r="AU84" s="3" t="s">
        <v>1174</v>
      </c>
      <c r="AV84" s="3" t="s">
        <v>1175</v>
      </c>
      <c r="AW84" s="3" t="s">
        <v>1176</v>
      </c>
      <c r="AX84" s="3" t="s">
        <v>1176</v>
      </c>
      <c r="AY84" s="3" t="s">
        <v>1177</v>
      </c>
      <c r="AZ84" s="3" t="s">
        <v>74</v>
      </c>
      <c r="BC84" s="3" t="s">
        <v>1178</v>
      </c>
      <c r="BD84" s="3" t="s">
        <v>1179</v>
      </c>
    </row>
    <row r="85" spans="1:56" ht="40.5" customHeight="1" x14ac:dyDescent="0.25">
      <c r="A85" s="8" t="s">
        <v>58</v>
      </c>
      <c r="B85" s="2" t="s">
        <v>1180</v>
      </c>
      <c r="C85" s="2" t="s">
        <v>1181</v>
      </c>
      <c r="D85" s="2" t="s">
        <v>1182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1183</v>
      </c>
      <c r="L85" s="2" t="s">
        <v>1184</v>
      </c>
      <c r="M85" s="3" t="s">
        <v>1172</v>
      </c>
      <c r="N85" s="2" t="s">
        <v>301</v>
      </c>
      <c r="O85" s="3" t="s">
        <v>64</v>
      </c>
      <c r="P85" s="3" t="s">
        <v>400</v>
      </c>
      <c r="R85" s="3" t="s">
        <v>66</v>
      </c>
      <c r="S85" s="4">
        <v>2</v>
      </c>
      <c r="T85" s="4">
        <v>2</v>
      </c>
      <c r="U85" s="5" t="s">
        <v>1185</v>
      </c>
      <c r="V85" s="5" t="s">
        <v>1185</v>
      </c>
      <c r="W85" s="5" t="s">
        <v>100</v>
      </c>
      <c r="X85" s="5" t="s">
        <v>100</v>
      </c>
      <c r="Y85" s="4">
        <v>334</v>
      </c>
      <c r="Z85" s="4">
        <v>260</v>
      </c>
      <c r="AA85" s="4">
        <v>521</v>
      </c>
      <c r="AB85" s="4">
        <v>3</v>
      </c>
      <c r="AC85" s="4">
        <v>5</v>
      </c>
      <c r="AD85" s="4">
        <v>7</v>
      </c>
      <c r="AE85" s="4">
        <v>20</v>
      </c>
      <c r="AF85" s="4">
        <v>3</v>
      </c>
      <c r="AG85" s="4">
        <v>6</v>
      </c>
      <c r="AH85" s="4">
        <v>1</v>
      </c>
      <c r="AI85" s="4">
        <v>4</v>
      </c>
      <c r="AJ85" s="4">
        <v>2</v>
      </c>
      <c r="AK85" s="4">
        <v>10</v>
      </c>
      <c r="AL85" s="4">
        <v>2</v>
      </c>
      <c r="AM85" s="4">
        <v>4</v>
      </c>
      <c r="AN85" s="4">
        <v>0</v>
      </c>
      <c r="AO85" s="4">
        <v>0</v>
      </c>
      <c r="AP85" s="3" t="s">
        <v>58</v>
      </c>
      <c r="AQ85" s="3" t="s">
        <v>69</v>
      </c>
      <c r="AR85" s="6" t="str">
        <f>HYPERLINK("http://catalog.hathitrust.org/Record/001556080","HathiTrust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HYPERLINK("https://creighton-primo.hosted.exlibrisgroup.com/primo-explore/search?tab=default_tab&amp;search_scope=EVERYTHING&amp;vid=01CRU&amp;lang=en_US&amp;offset=0&amp;query=any,contains,991000823179702656","Catalog Record")</f>
        <v>Catalog Record</v>
      </c>
      <c r="AT85" s="6" t="str">
        <f>HYPERLINK("http://www.worldcat.org/oclc/13396843","WorldCat Record")</f>
        <v>WorldCat Record</v>
      </c>
      <c r="AU85" s="3" t="s">
        <v>1186</v>
      </c>
      <c r="AV85" s="3" t="s">
        <v>1187</v>
      </c>
      <c r="AW85" s="3" t="s">
        <v>1188</v>
      </c>
      <c r="AX85" s="3" t="s">
        <v>1188</v>
      </c>
      <c r="AY85" s="3" t="s">
        <v>1189</v>
      </c>
      <c r="AZ85" s="3" t="s">
        <v>74</v>
      </c>
      <c r="BC85" s="3" t="s">
        <v>1190</v>
      </c>
      <c r="BD85" s="3" t="s">
        <v>1191</v>
      </c>
    </row>
    <row r="86" spans="1:56" ht="40.5" customHeight="1" x14ac:dyDescent="0.25">
      <c r="A86" s="8" t="s">
        <v>58</v>
      </c>
      <c r="B86" s="2" t="s">
        <v>1192</v>
      </c>
      <c r="C86" s="2" t="s">
        <v>1193</v>
      </c>
      <c r="D86" s="2" t="s">
        <v>1194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1195</v>
      </c>
      <c r="L86" s="2" t="s">
        <v>1196</v>
      </c>
      <c r="M86" s="3" t="s">
        <v>926</v>
      </c>
      <c r="O86" s="3" t="s">
        <v>64</v>
      </c>
      <c r="P86" s="3" t="s">
        <v>939</v>
      </c>
      <c r="R86" s="3" t="s">
        <v>66</v>
      </c>
      <c r="S86" s="4">
        <v>2</v>
      </c>
      <c r="T86" s="4">
        <v>2</v>
      </c>
      <c r="U86" s="5" t="s">
        <v>1197</v>
      </c>
      <c r="V86" s="5" t="s">
        <v>1197</v>
      </c>
      <c r="W86" s="5" t="s">
        <v>100</v>
      </c>
      <c r="X86" s="5" t="s">
        <v>100</v>
      </c>
      <c r="Y86" s="4">
        <v>192</v>
      </c>
      <c r="Z86" s="4">
        <v>169</v>
      </c>
      <c r="AA86" s="4">
        <v>438</v>
      </c>
      <c r="AB86" s="4">
        <v>2</v>
      </c>
      <c r="AC86" s="4">
        <v>3</v>
      </c>
      <c r="AD86" s="4">
        <v>4</v>
      </c>
      <c r="AE86" s="4">
        <v>15</v>
      </c>
      <c r="AF86" s="4">
        <v>2</v>
      </c>
      <c r="AG86" s="4">
        <v>6</v>
      </c>
      <c r="AH86" s="4">
        <v>0</v>
      </c>
      <c r="AI86" s="4">
        <v>2</v>
      </c>
      <c r="AJ86" s="4">
        <v>1</v>
      </c>
      <c r="AK86" s="4">
        <v>7</v>
      </c>
      <c r="AL86" s="4">
        <v>1</v>
      </c>
      <c r="AM86" s="4">
        <v>2</v>
      </c>
      <c r="AN86" s="4">
        <v>0</v>
      </c>
      <c r="AO86" s="4">
        <v>0</v>
      </c>
      <c r="AP86" s="3" t="s">
        <v>58</v>
      </c>
      <c r="AQ86" s="3" t="s">
        <v>58</v>
      </c>
      <c r="AS86" s="6" t="str">
        <f>HYPERLINK("https://creighton-primo.hosted.exlibrisgroup.com/primo-explore/search?tab=default_tab&amp;search_scope=EVERYTHING&amp;vid=01CRU&amp;lang=en_US&amp;offset=0&amp;query=any,contains,991002421059702656","Catalog Record")</f>
        <v>Catalog Record</v>
      </c>
      <c r="AT86" s="6" t="str">
        <f>HYPERLINK("http://www.worldcat.org/oclc/342790","WorldCat Record")</f>
        <v>WorldCat Record</v>
      </c>
      <c r="AU86" s="3" t="s">
        <v>1198</v>
      </c>
      <c r="AV86" s="3" t="s">
        <v>1199</v>
      </c>
      <c r="AW86" s="3" t="s">
        <v>1200</v>
      </c>
      <c r="AX86" s="3" t="s">
        <v>1200</v>
      </c>
      <c r="AY86" s="3" t="s">
        <v>1201</v>
      </c>
      <c r="AZ86" s="3" t="s">
        <v>74</v>
      </c>
      <c r="BC86" s="3" t="s">
        <v>1202</v>
      </c>
      <c r="BD86" s="3" t="s">
        <v>1203</v>
      </c>
    </row>
    <row r="87" spans="1:56" ht="40.5" customHeight="1" x14ac:dyDescent="0.25">
      <c r="A87" s="8" t="s">
        <v>58</v>
      </c>
      <c r="B87" s="2" t="s">
        <v>1204</v>
      </c>
      <c r="C87" s="2" t="s">
        <v>1205</v>
      </c>
      <c r="D87" s="2" t="s">
        <v>1206</v>
      </c>
      <c r="F87" s="3" t="s">
        <v>58</v>
      </c>
      <c r="G87" s="3" t="s">
        <v>59</v>
      </c>
      <c r="H87" s="3" t="s">
        <v>58</v>
      </c>
      <c r="I87" s="3" t="s">
        <v>69</v>
      </c>
      <c r="J87" s="3" t="s">
        <v>60</v>
      </c>
      <c r="K87" s="2" t="s">
        <v>1207</v>
      </c>
      <c r="L87" s="2" t="s">
        <v>1208</v>
      </c>
      <c r="M87" s="3" t="s">
        <v>155</v>
      </c>
      <c r="N87" s="2" t="s">
        <v>1209</v>
      </c>
      <c r="O87" s="3" t="s">
        <v>64</v>
      </c>
      <c r="P87" s="3" t="s">
        <v>97</v>
      </c>
      <c r="R87" s="3" t="s">
        <v>66</v>
      </c>
      <c r="S87" s="4">
        <v>4</v>
      </c>
      <c r="T87" s="4">
        <v>4</v>
      </c>
      <c r="U87" s="5" t="s">
        <v>1173</v>
      </c>
      <c r="V87" s="5" t="s">
        <v>1173</v>
      </c>
      <c r="W87" s="5" t="s">
        <v>100</v>
      </c>
      <c r="X87" s="5" t="s">
        <v>100</v>
      </c>
      <c r="Y87" s="4">
        <v>324</v>
      </c>
      <c r="Z87" s="4">
        <v>242</v>
      </c>
      <c r="AA87" s="4">
        <v>846</v>
      </c>
      <c r="AB87" s="4">
        <v>3</v>
      </c>
      <c r="AC87" s="4">
        <v>8</v>
      </c>
      <c r="AD87" s="4">
        <v>12</v>
      </c>
      <c r="AE87" s="4">
        <v>34</v>
      </c>
      <c r="AF87" s="4">
        <v>2</v>
      </c>
      <c r="AG87" s="4">
        <v>13</v>
      </c>
      <c r="AH87" s="4">
        <v>3</v>
      </c>
      <c r="AI87" s="4">
        <v>8</v>
      </c>
      <c r="AJ87" s="4">
        <v>9</v>
      </c>
      <c r="AK87" s="4">
        <v>16</v>
      </c>
      <c r="AL87" s="4">
        <v>2</v>
      </c>
      <c r="AM87" s="4">
        <v>5</v>
      </c>
      <c r="AN87" s="4">
        <v>0</v>
      </c>
      <c r="AO87" s="4">
        <v>0</v>
      </c>
      <c r="AP87" s="3" t="s">
        <v>58</v>
      </c>
      <c r="AQ87" s="3" t="s">
        <v>69</v>
      </c>
      <c r="AR87" s="6" t="str">
        <f>HYPERLINK("http://catalog.hathitrust.org/Record/000010928","HathiTrust Record")</f>
        <v>HathiTrust Record</v>
      </c>
      <c r="AS87" s="6" t="str">
        <f>HYPERLINK("https://creighton-primo.hosted.exlibrisgroup.com/primo-explore/search?tab=default_tab&amp;search_scope=EVERYTHING&amp;vid=01CRU&amp;lang=en_US&amp;offset=0&amp;query=any,contains,991003170819702656","Catalog Record")</f>
        <v>Catalog Record</v>
      </c>
      <c r="AT87" s="6" t="str">
        <f>HYPERLINK("http://www.worldcat.org/oclc/706980","WorldCat Record")</f>
        <v>WorldCat Record</v>
      </c>
      <c r="AU87" s="3" t="s">
        <v>1210</v>
      </c>
      <c r="AV87" s="3" t="s">
        <v>1211</v>
      </c>
      <c r="AW87" s="3" t="s">
        <v>1212</v>
      </c>
      <c r="AX87" s="3" t="s">
        <v>1212</v>
      </c>
      <c r="AY87" s="3" t="s">
        <v>1213</v>
      </c>
      <c r="AZ87" s="3" t="s">
        <v>74</v>
      </c>
      <c r="BB87" s="3" t="s">
        <v>1214</v>
      </c>
      <c r="BC87" s="3" t="s">
        <v>1215</v>
      </c>
      <c r="BD87" s="3" t="s">
        <v>1216</v>
      </c>
    </row>
    <row r="88" spans="1:56" ht="40.5" customHeight="1" x14ac:dyDescent="0.25">
      <c r="A88" s="8" t="s">
        <v>58</v>
      </c>
      <c r="B88" s="2" t="s">
        <v>1217</v>
      </c>
      <c r="C88" s="2" t="s">
        <v>1218</v>
      </c>
      <c r="D88" s="2" t="s">
        <v>1219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K88" s="2" t="s">
        <v>1220</v>
      </c>
      <c r="L88" s="2" t="s">
        <v>1221</v>
      </c>
      <c r="M88" s="3" t="s">
        <v>155</v>
      </c>
      <c r="O88" s="3" t="s">
        <v>64</v>
      </c>
      <c r="P88" s="3" t="s">
        <v>83</v>
      </c>
      <c r="R88" s="3" t="s">
        <v>66</v>
      </c>
      <c r="S88" s="4">
        <v>7</v>
      </c>
      <c r="T88" s="4">
        <v>7</v>
      </c>
      <c r="U88" s="5" t="s">
        <v>1222</v>
      </c>
      <c r="V88" s="5" t="s">
        <v>1222</v>
      </c>
      <c r="W88" s="5" t="s">
        <v>68</v>
      </c>
      <c r="X88" s="5" t="s">
        <v>68</v>
      </c>
      <c r="Y88" s="4">
        <v>267</v>
      </c>
      <c r="Z88" s="4">
        <v>138</v>
      </c>
      <c r="AA88" s="4">
        <v>146</v>
      </c>
      <c r="AB88" s="4">
        <v>1</v>
      </c>
      <c r="AC88" s="4">
        <v>1</v>
      </c>
      <c r="AD88" s="4">
        <v>3</v>
      </c>
      <c r="AE88" s="4">
        <v>3</v>
      </c>
      <c r="AF88" s="4">
        <v>2</v>
      </c>
      <c r="AG88" s="4">
        <v>2</v>
      </c>
      <c r="AH88" s="4">
        <v>1</v>
      </c>
      <c r="AI88" s="4">
        <v>1</v>
      </c>
      <c r="AJ88" s="4">
        <v>3</v>
      </c>
      <c r="AK88" s="4">
        <v>3</v>
      </c>
      <c r="AL88" s="4">
        <v>0</v>
      </c>
      <c r="AM88" s="4">
        <v>0</v>
      </c>
      <c r="AN88" s="4">
        <v>0</v>
      </c>
      <c r="AO88" s="4">
        <v>0</v>
      </c>
      <c r="AP88" s="3" t="s">
        <v>58</v>
      </c>
      <c r="AQ88" s="3" t="s">
        <v>69</v>
      </c>
      <c r="AR88" s="6" t="str">
        <f>HYPERLINK("http://catalog.hathitrust.org/Record/000849324","HathiTrust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HYPERLINK("https://creighton-primo.hosted.exlibrisgroup.com/primo-explore/search?tab=default_tab&amp;search_scope=EVERYTHING&amp;vid=01CRU&amp;lang=en_US&amp;offset=0&amp;query=any,contains,991002799189702656","Catalog Record")</f>
        <v>Catalog Record</v>
      </c>
      <c r="AT88" s="6" t="str">
        <f>HYPERLINK("http://www.worldcat.org/oclc/446154","WorldCat Record")</f>
        <v>WorldCat Record</v>
      </c>
      <c r="AU88" s="3" t="s">
        <v>1223</v>
      </c>
      <c r="AV88" s="3" t="s">
        <v>1224</v>
      </c>
      <c r="AW88" s="3" t="s">
        <v>1225</v>
      </c>
      <c r="AX88" s="3" t="s">
        <v>1225</v>
      </c>
      <c r="AY88" s="3" t="s">
        <v>1226</v>
      </c>
      <c r="AZ88" s="3" t="s">
        <v>74</v>
      </c>
      <c r="BB88" s="3" t="s">
        <v>1227</v>
      </c>
      <c r="BC88" s="3" t="s">
        <v>1228</v>
      </c>
      <c r="BD88" s="3" t="s">
        <v>1229</v>
      </c>
    </row>
    <row r="89" spans="1:56" ht="40.5" customHeight="1" x14ac:dyDescent="0.25">
      <c r="A89" s="8" t="s">
        <v>58</v>
      </c>
      <c r="B89" s="2" t="s">
        <v>1230</v>
      </c>
      <c r="C89" s="2" t="s">
        <v>1231</v>
      </c>
      <c r="D89" s="2" t="s">
        <v>1232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L89" s="2" t="s">
        <v>1233</v>
      </c>
      <c r="M89" s="3" t="s">
        <v>480</v>
      </c>
      <c r="O89" s="3" t="s">
        <v>64</v>
      </c>
      <c r="P89" s="3" t="s">
        <v>1234</v>
      </c>
      <c r="Q89" s="2" t="s">
        <v>1235</v>
      </c>
      <c r="R89" s="3" t="s">
        <v>66</v>
      </c>
      <c r="S89" s="4">
        <v>1</v>
      </c>
      <c r="T89" s="4">
        <v>1</v>
      </c>
      <c r="U89" s="5" t="s">
        <v>1236</v>
      </c>
      <c r="V89" s="5" t="s">
        <v>1236</v>
      </c>
      <c r="W89" s="5" t="s">
        <v>1237</v>
      </c>
      <c r="X89" s="5" t="s">
        <v>1237</v>
      </c>
      <c r="Y89" s="4">
        <v>193</v>
      </c>
      <c r="Z89" s="4">
        <v>134</v>
      </c>
      <c r="AA89" s="4">
        <v>136</v>
      </c>
      <c r="AB89" s="4">
        <v>2</v>
      </c>
      <c r="AC89" s="4">
        <v>2</v>
      </c>
      <c r="AD89" s="4">
        <v>7</v>
      </c>
      <c r="AE89" s="4">
        <v>7</v>
      </c>
      <c r="AF89" s="4">
        <v>1</v>
      </c>
      <c r="AG89" s="4">
        <v>1</v>
      </c>
      <c r="AH89" s="4">
        <v>3</v>
      </c>
      <c r="AI89" s="4">
        <v>3</v>
      </c>
      <c r="AJ89" s="4">
        <v>5</v>
      </c>
      <c r="AK89" s="4">
        <v>5</v>
      </c>
      <c r="AL89" s="4">
        <v>0</v>
      </c>
      <c r="AM89" s="4">
        <v>0</v>
      </c>
      <c r="AN89" s="4">
        <v>0</v>
      </c>
      <c r="AO89" s="4">
        <v>0</v>
      </c>
      <c r="AP89" s="3" t="s">
        <v>58</v>
      </c>
      <c r="AQ89" s="3" t="s">
        <v>58</v>
      </c>
      <c r="AS89" s="6" t="str">
        <f>HYPERLINK("https://creighton-primo.hosted.exlibrisgroup.com/primo-explore/search?tab=default_tab&amp;search_scope=EVERYTHING&amp;vid=01CRU&amp;lang=en_US&amp;offset=0&amp;query=any,contains,991001767479702656","Catalog Record")</f>
        <v>Catalog Record</v>
      </c>
      <c r="AT89" s="6" t="str">
        <f>HYPERLINK("http://www.worldcat.org/oclc/22957656","WorldCat Record")</f>
        <v>WorldCat Record</v>
      </c>
      <c r="AU89" s="3" t="s">
        <v>1238</v>
      </c>
      <c r="AV89" s="3" t="s">
        <v>1239</v>
      </c>
      <c r="AW89" s="3" t="s">
        <v>1240</v>
      </c>
      <c r="AX89" s="3" t="s">
        <v>1240</v>
      </c>
      <c r="AY89" s="3" t="s">
        <v>1241</v>
      </c>
      <c r="AZ89" s="3" t="s">
        <v>74</v>
      </c>
      <c r="BB89" s="3" t="s">
        <v>1242</v>
      </c>
      <c r="BC89" s="3" t="s">
        <v>1243</v>
      </c>
      <c r="BD89" s="3" t="s">
        <v>1244</v>
      </c>
    </row>
    <row r="90" spans="1:56" ht="40.5" customHeight="1" x14ac:dyDescent="0.25">
      <c r="A90" s="8" t="s">
        <v>58</v>
      </c>
      <c r="B90" s="2" t="s">
        <v>1245</v>
      </c>
      <c r="C90" s="2" t="s">
        <v>1246</v>
      </c>
      <c r="D90" s="2" t="s">
        <v>1247</v>
      </c>
      <c r="E90" s="3" t="s">
        <v>793</v>
      </c>
      <c r="F90" s="3" t="s">
        <v>69</v>
      </c>
      <c r="G90" s="3" t="s">
        <v>59</v>
      </c>
      <c r="H90" s="3" t="s">
        <v>58</v>
      </c>
      <c r="I90" s="3" t="s">
        <v>58</v>
      </c>
      <c r="J90" s="3" t="s">
        <v>60</v>
      </c>
      <c r="L90" s="2" t="s">
        <v>1248</v>
      </c>
      <c r="M90" s="3" t="s">
        <v>540</v>
      </c>
      <c r="O90" s="3" t="s">
        <v>64</v>
      </c>
      <c r="P90" s="3" t="s">
        <v>83</v>
      </c>
      <c r="Q90" s="2" t="s">
        <v>1249</v>
      </c>
      <c r="R90" s="3" t="s">
        <v>66</v>
      </c>
      <c r="S90" s="4">
        <v>6</v>
      </c>
      <c r="T90" s="4">
        <v>12</v>
      </c>
      <c r="U90" s="5" t="s">
        <v>1250</v>
      </c>
      <c r="V90" s="5" t="s">
        <v>1250</v>
      </c>
      <c r="W90" s="5" t="s">
        <v>705</v>
      </c>
      <c r="X90" s="5" t="s">
        <v>705</v>
      </c>
      <c r="Y90" s="4">
        <v>257</v>
      </c>
      <c r="Z90" s="4">
        <v>201</v>
      </c>
      <c r="AA90" s="4">
        <v>210</v>
      </c>
      <c r="AB90" s="4">
        <v>1</v>
      </c>
      <c r="AC90" s="4">
        <v>1</v>
      </c>
      <c r="AD90" s="4">
        <v>4</v>
      </c>
      <c r="AE90" s="4">
        <v>5</v>
      </c>
      <c r="AF90" s="4">
        <v>1</v>
      </c>
      <c r="AG90" s="4">
        <v>1</v>
      </c>
      <c r="AH90" s="4">
        <v>2</v>
      </c>
      <c r="AI90" s="4">
        <v>3</v>
      </c>
      <c r="AJ90" s="4">
        <v>3</v>
      </c>
      <c r="AK90" s="4">
        <v>4</v>
      </c>
      <c r="AL90" s="4">
        <v>0</v>
      </c>
      <c r="AM90" s="4">
        <v>0</v>
      </c>
      <c r="AN90" s="4">
        <v>0</v>
      </c>
      <c r="AO90" s="4">
        <v>0</v>
      </c>
      <c r="AP90" s="3" t="s">
        <v>58</v>
      </c>
      <c r="AQ90" s="3" t="s">
        <v>69</v>
      </c>
      <c r="AR90" s="6" t="str">
        <f>HYPERLINK("http://catalog.hathitrust.org/Record/002613928","HathiTrust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HYPERLINK("https://creighton-primo.hosted.exlibrisgroup.com/primo-explore/search?tab=default_tab&amp;search_scope=EVERYTHING&amp;vid=01CRU&amp;lang=en_US&amp;offset=0&amp;query=any,contains,991002060469702656","Catalog Record")</f>
        <v>Catalog Record</v>
      </c>
      <c r="AT90" s="6" t="str">
        <f>HYPERLINK("http://www.worldcat.org/oclc/26363792","WorldCat Record")</f>
        <v>WorldCat Record</v>
      </c>
      <c r="AU90" s="3" t="s">
        <v>1251</v>
      </c>
      <c r="AV90" s="3" t="s">
        <v>1252</v>
      </c>
      <c r="AW90" s="3" t="s">
        <v>1253</v>
      </c>
      <c r="AX90" s="3" t="s">
        <v>1253</v>
      </c>
      <c r="AY90" s="3" t="s">
        <v>1254</v>
      </c>
      <c r="AZ90" s="3" t="s">
        <v>74</v>
      </c>
      <c r="BB90" s="3" t="s">
        <v>1255</v>
      </c>
      <c r="BC90" s="3" t="s">
        <v>1256</v>
      </c>
      <c r="BD90" s="3" t="s">
        <v>1257</v>
      </c>
    </row>
    <row r="91" spans="1:56" ht="40.5" customHeight="1" x14ac:dyDescent="0.25">
      <c r="A91" s="8" t="s">
        <v>58</v>
      </c>
      <c r="B91" s="2" t="s">
        <v>1245</v>
      </c>
      <c r="C91" s="2" t="s">
        <v>1246</v>
      </c>
      <c r="D91" s="2" t="s">
        <v>1247</v>
      </c>
      <c r="E91" s="3" t="s">
        <v>1119</v>
      </c>
      <c r="F91" s="3" t="s">
        <v>69</v>
      </c>
      <c r="G91" s="3" t="s">
        <v>59</v>
      </c>
      <c r="H91" s="3" t="s">
        <v>58</v>
      </c>
      <c r="I91" s="3" t="s">
        <v>58</v>
      </c>
      <c r="J91" s="3" t="s">
        <v>60</v>
      </c>
      <c r="L91" s="2" t="s">
        <v>1248</v>
      </c>
      <c r="M91" s="3" t="s">
        <v>540</v>
      </c>
      <c r="O91" s="3" t="s">
        <v>64</v>
      </c>
      <c r="P91" s="3" t="s">
        <v>83</v>
      </c>
      <c r="Q91" s="2" t="s">
        <v>1249</v>
      </c>
      <c r="R91" s="3" t="s">
        <v>66</v>
      </c>
      <c r="S91" s="4">
        <v>6</v>
      </c>
      <c r="T91" s="4">
        <v>12</v>
      </c>
      <c r="U91" s="5" t="s">
        <v>1250</v>
      </c>
      <c r="V91" s="5" t="s">
        <v>1250</v>
      </c>
      <c r="W91" s="5" t="s">
        <v>705</v>
      </c>
      <c r="X91" s="5" t="s">
        <v>705</v>
      </c>
      <c r="Y91" s="4">
        <v>257</v>
      </c>
      <c r="Z91" s="4">
        <v>201</v>
      </c>
      <c r="AA91" s="4">
        <v>210</v>
      </c>
      <c r="AB91" s="4">
        <v>1</v>
      </c>
      <c r="AC91" s="4">
        <v>1</v>
      </c>
      <c r="AD91" s="4">
        <v>4</v>
      </c>
      <c r="AE91" s="4">
        <v>5</v>
      </c>
      <c r="AF91" s="4">
        <v>1</v>
      </c>
      <c r="AG91" s="4">
        <v>1</v>
      </c>
      <c r="AH91" s="4">
        <v>2</v>
      </c>
      <c r="AI91" s="4">
        <v>3</v>
      </c>
      <c r="AJ91" s="4">
        <v>3</v>
      </c>
      <c r="AK91" s="4">
        <v>4</v>
      </c>
      <c r="AL91" s="4">
        <v>0</v>
      </c>
      <c r="AM91" s="4">
        <v>0</v>
      </c>
      <c r="AN91" s="4">
        <v>0</v>
      </c>
      <c r="AO91" s="4">
        <v>0</v>
      </c>
      <c r="AP91" s="3" t="s">
        <v>58</v>
      </c>
      <c r="AQ91" s="3" t="s">
        <v>69</v>
      </c>
      <c r="AR91" s="6" t="str">
        <f>HYPERLINK("http://catalog.hathitrust.org/Record/002613928","HathiTrust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HYPERLINK("https://creighton-primo.hosted.exlibrisgroup.com/primo-explore/search?tab=default_tab&amp;search_scope=EVERYTHING&amp;vid=01CRU&amp;lang=en_US&amp;offset=0&amp;query=any,contains,991002060469702656","Catalog Record")</f>
        <v>Catalog Record</v>
      </c>
      <c r="AT91" s="6" t="str">
        <f>HYPERLINK("http://www.worldcat.org/oclc/26363792","WorldCat Record")</f>
        <v>WorldCat Record</v>
      </c>
      <c r="AU91" s="3" t="s">
        <v>1251</v>
      </c>
      <c r="AV91" s="3" t="s">
        <v>1252</v>
      </c>
      <c r="AW91" s="3" t="s">
        <v>1253</v>
      </c>
      <c r="AX91" s="3" t="s">
        <v>1253</v>
      </c>
      <c r="AY91" s="3" t="s">
        <v>1254</v>
      </c>
      <c r="AZ91" s="3" t="s">
        <v>74</v>
      </c>
      <c r="BB91" s="3" t="s">
        <v>1255</v>
      </c>
      <c r="BC91" s="3" t="s">
        <v>1258</v>
      </c>
      <c r="BD91" s="3" t="s">
        <v>1259</v>
      </c>
    </row>
    <row r="92" spans="1:56" ht="40.5" customHeight="1" x14ac:dyDescent="0.25">
      <c r="A92" s="8" t="s">
        <v>58</v>
      </c>
      <c r="B92" s="2" t="s">
        <v>1260</v>
      </c>
      <c r="C92" s="2" t="s">
        <v>1261</v>
      </c>
      <c r="D92" s="2" t="s">
        <v>1262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L92" s="2" t="s">
        <v>1263</v>
      </c>
      <c r="M92" s="3" t="s">
        <v>243</v>
      </c>
      <c r="O92" s="3" t="s">
        <v>64</v>
      </c>
      <c r="P92" s="3" t="s">
        <v>202</v>
      </c>
      <c r="Q92" s="2" t="s">
        <v>1264</v>
      </c>
      <c r="R92" s="3" t="s">
        <v>66</v>
      </c>
      <c r="S92" s="4">
        <v>2</v>
      </c>
      <c r="T92" s="4">
        <v>2</v>
      </c>
      <c r="U92" s="5" t="s">
        <v>1265</v>
      </c>
      <c r="V92" s="5" t="s">
        <v>1265</v>
      </c>
      <c r="W92" s="5" t="s">
        <v>245</v>
      </c>
      <c r="X92" s="5" t="s">
        <v>245</v>
      </c>
      <c r="Y92" s="4">
        <v>128</v>
      </c>
      <c r="Z92" s="4">
        <v>72</v>
      </c>
      <c r="AA92" s="4">
        <v>100</v>
      </c>
      <c r="AB92" s="4">
        <v>2</v>
      </c>
      <c r="AC92" s="4">
        <v>3</v>
      </c>
      <c r="AD92" s="4">
        <v>1</v>
      </c>
      <c r="AE92" s="4">
        <v>3</v>
      </c>
      <c r="AF92" s="4">
        <v>0</v>
      </c>
      <c r="AG92" s="4">
        <v>1</v>
      </c>
      <c r="AH92" s="4">
        <v>0</v>
      </c>
      <c r="AI92" s="4">
        <v>1</v>
      </c>
      <c r="AJ92" s="4">
        <v>0</v>
      </c>
      <c r="AK92" s="4">
        <v>0</v>
      </c>
      <c r="AL92" s="4">
        <v>1</v>
      </c>
      <c r="AM92" s="4">
        <v>2</v>
      </c>
      <c r="AN92" s="4">
        <v>0</v>
      </c>
      <c r="AO92" s="4">
        <v>0</v>
      </c>
      <c r="AP92" s="3" t="s">
        <v>58</v>
      </c>
      <c r="AQ92" s="3" t="s">
        <v>69</v>
      </c>
      <c r="AR92" s="6" t="str">
        <f>HYPERLINK("http://catalog.hathitrust.org/Record/000903229","HathiTrust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HYPERLINK("https://creighton-primo.hosted.exlibrisgroup.com/primo-explore/search?tab=default_tab&amp;search_scope=EVERYTHING&amp;vid=01CRU&amp;lang=en_US&amp;offset=0&amp;query=any,contains,991001078459702656","Catalog Record")</f>
        <v>Catalog Record</v>
      </c>
      <c r="AT92" s="6" t="str">
        <f>HYPERLINK("http://www.worldcat.org/oclc/16081875","WorldCat Record")</f>
        <v>WorldCat Record</v>
      </c>
      <c r="AU92" s="3" t="s">
        <v>1266</v>
      </c>
      <c r="AV92" s="3" t="s">
        <v>1267</v>
      </c>
      <c r="AW92" s="3" t="s">
        <v>1268</v>
      </c>
      <c r="AX92" s="3" t="s">
        <v>1268</v>
      </c>
      <c r="AY92" s="3" t="s">
        <v>1269</v>
      </c>
      <c r="AZ92" s="3" t="s">
        <v>74</v>
      </c>
      <c r="BB92" s="3" t="s">
        <v>1270</v>
      </c>
      <c r="BC92" s="3" t="s">
        <v>1271</v>
      </c>
      <c r="BD92" s="3" t="s">
        <v>1272</v>
      </c>
    </row>
    <row r="93" spans="1:56" ht="40.5" customHeight="1" x14ac:dyDescent="0.25">
      <c r="A93" s="8" t="s">
        <v>58</v>
      </c>
      <c r="B93" s="2" t="s">
        <v>1273</v>
      </c>
      <c r="C93" s="2" t="s">
        <v>1274</v>
      </c>
      <c r="D93" s="2" t="s">
        <v>1275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L93" s="2" t="s">
        <v>1276</v>
      </c>
      <c r="M93" s="3" t="s">
        <v>63</v>
      </c>
      <c r="O93" s="3" t="s">
        <v>64</v>
      </c>
      <c r="P93" s="3" t="s">
        <v>1234</v>
      </c>
      <c r="Q93" s="2" t="s">
        <v>1277</v>
      </c>
      <c r="R93" s="3" t="s">
        <v>66</v>
      </c>
      <c r="S93" s="4">
        <v>2</v>
      </c>
      <c r="T93" s="4">
        <v>2</v>
      </c>
      <c r="U93" s="5" t="s">
        <v>1278</v>
      </c>
      <c r="V93" s="5" t="s">
        <v>1278</v>
      </c>
      <c r="W93" s="5" t="s">
        <v>245</v>
      </c>
      <c r="X93" s="5" t="s">
        <v>245</v>
      </c>
      <c r="Y93" s="4">
        <v>176</v>
      </c>
      <c r="Z93" s="4">
        <v>127</v>
      </c>
      <c r="AA93" s="4">
        <v>128</v>
      </c>
      <c r="AB93" s="4">
        <v>2</v>
      </c>
      <c r="AC93" s="4">
        <v>2</v>
      </c>
      <c r="AD93" s="4">
        <v>8</v>
      </c>
      <c r="AE93" s="4">
        <v>8</v>
      </c>
      <c r="AF93" s="4">
        <v>1</v>
      </c>
      <c r="AG93" s="4">
        <v>1</v>
      </c>
      <c r="AH93" s="4">
        <v>3</v>
      </c>
      <c r="AI93" s="4">
        <v>3</v>
      </c>
      <c r="AJ93" s="4">
        <v>6</v>
      </c>
      <c r="AK93" s="4">
        <v>6</v>
      </c>
      <c r="AL93" s="4">
        <v>0</v>
      </c>
      <c r="AM93" s="4">
        <v>0</v>
      </c>
      <c r="AN93" s="4">
        <v>0</v>
      </c>
      <c r="AO93" s="4">
        <v>0</v>
      </c>
      <c r="AP93" s="3" t="s">
        <v>58</v>
      </c>
      <c r="AQ93" s="3" t="s">
        <v>58</v>
      </c>
      <c r="AS93" s="6" t="str">
        <f>HYPERLINK("https://creighton-primo.hosted.exlibrisgroup.com/primo-explore/search?tab=default_tab&amp;search_scope=EVERYTHING&amp;vid=01CRU&amp;lang=en_US&amp;offset=0&amp;query=any,contains,991000410339702656","Catalog Record")</f>
        <v>Catalog Record</v>
      </c>
      <c r="AT93" s="6" t="str">
        <f>HYPERLINK("http://www.worldcat.org/oclc/10708649","WorldCat Record")</f>
        <v>WorldCat Record</v>
      </c>
      <c r="AU93" s="3" t="s">
        <v>1279</v>
      </c>
      <c r="AV93" s="3" t="s">
        <v>1280</v>
      </c>
      <c r="AW93" s="3" t="s">
        <v>1281</v>
      </c>
      <c r="AX93" s="3" t="s">
        <v>1281</v>
      </c>
      <c r="AY93" s="3" t="s">
        <v>1282</v>
      </c>
      <c r="AZ93" s="3" t="s">
        <v>74</v>
      </c>
      <c r="BB93" s="3" t="s">
        <v>1283</v>
      </c>
      <c r="BC93" s="3" t="s">
        <v>1284</v>
      </c>
      <c r="BD93" s="3" t="s">
        <v>1285</v>
      </c>
    </row>
    <row r="94" spans="1:56" ht="40.5" customHeight="1" x14ac:dyDescent="0.25">
      <c r="A94" s="8" t="s">
        <v>58</v>
      </c>
      <c r="B94" s="2" t="s">
        <v>1286</v>
      </c>
      <c r="C94" s="2" t="s">
        <v>1287</v>
      </c>
      <c r="D94" s="2" t="s">
        <v>1288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1289</v>
      </c>
      <c r="L94" s="2" t="s">
        <v>1290</v>
      </c>
      <c r="M94" s="3" t="s">
        <v>1172</v>
      </c>
      <c r="O94" s="3" t="s">
        <v>64</v>
      </c>
      <c r="P94" s="3" t="s">
        <v>113</v>
      </c>
      <c r="R94" s="3" t="s">
        <v>66</v>
      </c>
      <c r="S94" s="4">
        <v>2</v>
      </c>
      <c r="T94" s="4">
        <v>2</v>
      </c>
      <c r="U94" s="5" t="s">
        <v>330</v>
      </c>
      <c r="V94" s="5" t="s">
        <v>330</v>
      </c>
      <c r="W94" s="5" t="s">
        <v>100</v>
      </c>
      <c r="X94" s="5" t="s">
        <v>100</v>
      </c>
      <c r="Y94" s="4">
        <v>570</v>
      </c>
      <c r="Z94" s="4">
        <v>506</v>
      </c>
      <c r="AA94" s="4">
        <v>534</v>
      </c>
      <c r="AB94" s="4">
        <v>4</v>
      </c>
      <c r="AC94" s="4">
        <v>4</v>
      </c>
      <c r="AD94" s="4">
        <v>13</v>
      </c>
      <c r="AE94" s="4">
        <v>14</v>
      </c>
      <c r="AF94" s="4">
        <v>3</v>
      </c>
      <c r="AG94" s="4">
        <v>3</v>
      </c>
      <c r="AH94" s="4">
        <v>2</v>
      </c>
      <c r="AI94" s="4">
        <v>3</v>
      </c>
      <c r="AJ94" s="4">
        <v>6</v>
      </c>
      <c r="AK94" s="4">
        <v>7</v>
      </c>
      <c r="AL94" s="4">
        <v>3</v>
      </c>
      <c r="AM94" s="4">
        <v>3</v>
      </c>
      <c r="AN94" s="4">
        <v>0</v>
      </c>
      <c r="AO94" s="4">
        <v>0</v>
      </c>
      <c r="AP94" s="3" t="s">
        <v>58</v>
      </c>
      <c r="AQ94" s="3" t="s">
        <v>69</v>
      </c>
      <c r="AR94" s="6" t="str">
        <f>HYPERLINK("http://catalog.hathitrust.org/Record/001556124","HathiTrust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HYPERLINK("https://creighton-primo.hosted.exlibrisgroup.com/primo-explore/search?tab=default_tab&amp;search_scope=EVERYTHING&amp;vid=01CRU&amp;lang=en_US&amp;offset=0&amp;query=any,contains,991003430119702656","Catalog Record")</f>
        <v>Catalog Record</v>
      </c>
      <c r="AT94" s="6" t="str">
        <f>HYPERLINK("http://www.worldcat.org/oclc/965381","WorldCat Record")</f>
        <v>WorldCat Record</v>
      </c>
      <c r="AU94" s="3" t="s">
        <v>1291</v>
      </c>
      <c r="AV94" s="3" t="s">
        <v>1292</v>
      </c>
      <c r="AW94" s="3" t="s">
        <v>1293</v>
      </c>
      <c r="AX94" s="3" t="s">
        <v>1293</v>
      </c>
      <c r="AY94" s="3" t="s">
        <v>1294</v>
      </c>
      <c r="AZ94" s="3" t="s">
        <v>74</v>
      </c>
      <c r="BC94" s="3" t="s">
        <v>1295</v>
      </c>
      <c r="BD94" s="3" t="s">
        <v>1296</v>
      </c>
    </row>
    <row r="95" spans="1:56" ht="40.5" customHeight="1" x14ac:dyDescent="0.25">
      <c r="A95" s="8" t="s">
        <v>58</v>
      </c>
      <c r="B95" s="2" t="s">
        <v>1297</v>
      </c>
      <c r="C95" s="2" t="s">
        <v>1298</v>
      </c>
      <c r="D95" s="2" t="s">
        <v>1299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1300</v>
      </c>
      <c r="L95" s="2" t="s">
        <v>1301</v>
      </c>
      <c r="M95" s="3" t="s">
        <v>314</v>
      </c>
      <c r="N95" s="2" t="s">
        <v>1302</v>
      </c>
      <c r="O95" s="3" t="s">
        <v>64</v>
      </c>
      <c r="P95" s="3" t="s">
        <v>97</v>
      </c>
      <c r="R95" s="3" t="s">
        <v>66</v>
      </c>
      <c r="S95" s="4">
        <v>6</v>
      </c>
      <c r="T95" s="4">
        <v>6</v>
      </c>
      <c r="U95" s="5" t="s">
        <v>1303</v>
      </c>
      <c r="V95" s="5" t="s">
        <v>1303</v>
      </c>
      <c r="W95" s="5" t="s">
        <v>100</v>
      </c>
      <c r="X95" s="5" t="s">
        <v>100</v>
      </c>
      <c r="Y95" s="4">
        <v>211</v>
      </c>
      <c r="Z95" s="4">
        <v>172</v>
      </c>
      <c r="AA95" s="4">
        <v>287</v>
      </c>
      <c r="AB95" s="4">
        <v>2</v>
      </c>
      <c r="AC95" s="4">
        <v>3</v>
      </c>
      <c r="AD95" s="4">
        <v>3</v>
      </c>
      <c r="AE95" s="4">
        <v>8</v>
      </c>
      <c r="AF95" s="4">
        <v>2</v>
      </c>
      <c r="AG95" s="4">
        <v>3</v>
      </c>
      <c r="AH95" s="4">
        <v>0</v>
      </c>
      <c r="AI95" s="4">
        <v>2</v>
      </c>
      <c r="AJ95" s="4">
        <v>0</v>
      </c>
      <c r="AK95" s="4">
        <v>3</v>
      </c>
      <c r="AL95" s="4">
        <v>1</v>
      </c>
      <c r="AM95" s="4">
        <v>2</v>
      </c>
      <c r="AN95" s="4">
        <v>0</v>
      </c>
      <c r="AO95" s="4">
        <v>0</v>
      </c>
      <c r="AP95" s="3" t="s">
        <v>58</v>
      </c>
      <c r="AQ95" s="3" t="s">
        <v>69</v>
      </c>
      <c r="AR95" s="6" t="str">
        <f>HYPERLINK("http://catalog.hathitrust.org/Record/001556146","HathiTrust Record")</f>
        <v>HathiTrust Record</v>
      </c>
      <c r="AS95" s="6" t="str">
        <f>HYPERLINK("https://creighton-primo.hosted.exlibrisgroup.com/primo-explore/search?tab=default_tab&amp;search_scope=EVERYTHING&amp;vid=01CRU&amp;lang=en_US&amp;offset=0&amp;query=any,contains,991000001379702656","Catalog Record")</f>
        <v>Catalog Record</v>
      </c>
      <c r="AT95" s="6" t="str">
        <f>HYPERLINK("http://www.worldcat.org/oclc/10351","WorldCat Record")</f>
        <v>WorldCat Record</v>
      </c>
      <c r="AU95" s="3" t="s">
        <v>1304</v>
      </c>
      <c r="AV95" s="3" t="s">
        <v>1305</v>
      </c>
      <c r="AW95" s="3" t="s">
        <v>1306</v>
      </c>
      <c r="AX95" s="3" t="s">
        <v>1306</v>
      </c>
      <c r="AY95" s="3" t="s">
        <v>1307</v>
      </c>
      <c r="AZ95" s="3" t="s">
        <v>74</v>
      </c>
      <c r="BC95" s="3" t="s">
        <v>1308</v>
      </c>
      <c r="BD95" s="3" t="s">
        <v>1309</v>
      </c>
    </row>
    <row r="96" spans="1:56" ht="40.5" customHeight="1" x14ac:dyDescent="0.25">
      <c r="A96" s="8" t="s">
        <v>58</v>
      </c>
      <c r="B96" s="2" t="s">
        <v>1310</v>
      </c>
      <c r="C96" s="2" t="s">
        <v>1311</v>
      </c>
      <c r="D96" s="2" t="s">
        <v>1312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1300</v>
      </c>
      <c r="L96" s="2" t="s">
        <v>1313</v>
      </c>
      <c r="M96" s="3" t="s">
        <v>1314</v>
      </c>
      <c r="N96" s="2" t="s">
        <v>1315</v>
      </c>
      <c r="O96" s="3" t="s">
        <v>64</v>
      </c>
      <c r="P96" s="3" t="s">
        <v>97</v>
      </c>
      <c r="R96" s="3" t="s">
        <v>66</v>
      </c>
      <c r="S96" s="4">
        <v>2</v>
      </c>
      <c r="T96" s="4">
        <v>2</v>
      </c>
      <c r="U96" s="5" t="s">
        <v>1316</v>
      </c>
      <c r="V96" s="5" t="s">
        <v>1316</v>
      </c>
      <c r="W96" s="5" t="s">
        <v>1317</v>
      </c>
      <c r="X96" s="5" t="s">
        <v>1317</v>
      </c>
      <c r="Y96" s="4">
        <v>60</v>
      </c>
      <c r="Z96" s="4">
        <v>45</v>
      </c>
      <c r="AA96" s="4">
        <v>224</v>
      </c>
      <c r="AB96" s="4">
        <v>1</v>
      </c>
      <c r="AC96" s="4">
        <v>2</v>
      </c>
      <c r="AD96" s="4">
        <v>2</v>
      </c>
      <c r="AE96" s="4">
        <v>8</v>
      </c>
      <c r="AF96" s="4">
        <v>0</v>
      </c>
      <c r="AG96" s="4">
        <v>3</v>
      </c>
      <c r="AH96" s="4">
        <v>1</v>
      </c>
      <c r="AI96" s="4">
        <v>3</v>
      </c>
      <c r="AJ96" s="4">
        <v>2</v>
      </c>
      <c r="AK96" s="4">
        <v>3</v>
      </c>
      <c r="AL96" s="4">
        <v>0</v>
      </c>
      <c r="AM96" s="4">
        <v>1</v>
      </c>
      <c r="AN96" s="4">
        <v>0</v>
      </c>
      <c r="AO96" s="4">
        <v>0</v>
      </c>
      <c r="AP96" s="3" t="s">
        <v>58</v>
      </c>
      <c r="AQ96" s="3" t="s">
        <v>69</v>
      </c>
      <c r="AR96" s="6" t="str">
        <f>HYPERLINK("http://catalog.hathitrust.org/Record/001556142","HathiTrust Record")</f>
        <v>HathiTrust Record</v>
      </c>
      <c r="AS96" s="6" t="str">
        <f>HYPERLINK("https://creighton-primo.hosted.exlibrisgroup.com/primo-explore/search?tab=default_tab&amp;search_scope=EVERYTHING&amp;vid=01CRU&amp;lang=en_US&amp;offset=0&amp;query=any,contains,991002989909702656","Catalog Record")</f>
        <v>Catalog Record</v>
      </c>
      <c r="AT96" s="6" t="str">
        <f>HYPERLINK("http://www.worldcat.org/oclc/560052","WorldCat Record")</f>
        <v>WorldCat Record</v>
      </c>
      <c r="AU96" s="3" t="s">
        <v>1318</v>
      </c>
      <c r="AV96" s="3" t="s">
        <v>1319</v>
      </c>
      <c r="AW96" s="3" t="s">
        <v>1320</v>
      </c>
      <c r="AX96" s="3" t="s">
        <v>1320</v>
      </c>
      <c r="AY96" s="3" t="s">
        <v>1321</v>
      </c>
      <c r="AZ96" s="3" t="s">
        <v>74</v>
      </c>
      <c r="BC96" s="3" t="s">
        <v>1322</v>
      </c>
      <c r="BD96" s="3" t="s">
        <v>1323</v>
      </c>
    </row>
    <row r="97" spans="1:56" ht="40.5" customHeight="1" x14ac:dyDescent="0.25">
      <c r="A97" s="8" t="s">
        <v>58</v>
      </c>
      <c r="B97" s="2" t="s">
        <v>1324</v>
      </c>
      <c r="C97" s="2" t="s">
        <v>1325</v>
      </c>
      <c r="D97" s="2" t="s">
        <v>1326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L97" s="2" t="s">
        <v>1327</v>
      </c>
      <c r="M97" s="3" t="s">
        <v>201</v>
      </c>
      <c r="O97" s="3" t="s">
        <v>64</v>
      </c>
      <c r="P97" s="3" t="s">
        <v>65</v>
      </c>
      <c r="R97" s="3" t="s">
        <v>66</v>
      </c>
      <c r="S97" s="4">
        <v>6</v>
      </c>
      <c r="T97" s="4">
        <v>6</v>
      </c>
      <c r="U97" s="5" t="s">
        <v>731</v>
      </c>
      <c r="V97" s="5" t="s">
        <v>731</v>
      </c>
      <c r="W97" s="5" t="s">
        <v>1328</v>
      </c>
      <c r="X97" s="5" t="s">
        <v>1328</v>
      </c>
      <c r="Y97" s="4">
        <v>224</v>
      </c>
      <c r="Z97" s="4">
        <v>183</v>
      </c>
      <c r="AA97" s="4">
        <v>185</v>
      </c>
      <c r="AB97" s="4">
        <v>1</v>
      </c>
      <c r="AC97" s="4">
        <v>1</v>
      </c>
      <c r="AD97" s="4">
        <v>6</v>
      </c>
      <c r="AE97" s="4">
        <v>6</v>
      </c>
      <c r="AF97" s="4">
        <v>3</v>
      </c>
      <c r="AG97" s="4">
        <v>3</v>
      </c>
      <c r="AH97" s="4">
        <v>1</v>
      </c>
      <c r="AI97" s="4">
        <v>1</v>
      </c>
      <c r="AJ97" s="4">
        <v>5</v>
      </c>
      <c r="AK97" s="4">
        <v>5</v>
      </c>
      <c r="AL97" s="4">
        <v>0</v>
      </c>
      <c r="AM97" s="4">
        <v>0</v>
      </c>
      <c r="AN97" s="4">
        <v>0</v>
      </c>
      <c r="AO97" s="4">
        <v>0</v>
      </c>
      <c r="AP97" s="3" t="s">
        <v>58</v>
      </c>
      <c r="AQ97" s="3" t="s">
        <v>69</v>
      </c>
      <c r="AR97" s="6" t="str">
        <f>HYPERLINK("http://catalog.hathitrust.org/Record/003508357","HathiTrust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HYPERLINK("https://creighton-primo.hosted.exlibrisgroup.com/primo-explore/search?tab=default_tab&amp;search_scope=EVERYTHING&amp;vid=01CRU&amp;lang=en_US&amp;offset=0&amp;query=any,contains,991003930439702656","Catalog Record")</f>
        <v>Catalog Record</v>
      </c>
      <c r="AT97" s="6" t="str">
        <f>HYPERLINK("http://www.worldcat.org/oclc/39700782","WorldCat Record")</f>
        <v>WorldCat Record</v>
      </c>
      <c r="AU97" s="3" t="s">
        <v>1329</v>
      </c>
      <c r="AV97" s="3" t="s">
        <v>1330</v>
      </c>
      <c r="AW97" s="3" t="s">
        <v>1331</v>
      </c>
      <c r="AX97" s="3" t="s">
        <v>1331</v>
      </c>
      <c r="AY97" s="3" t="s">
        <v>1332</v>
      </c>
      <c r="AZ97" s="3" t="s">
        <v>74</v>
      </c>
      <c r="BB97" s="3" t="s">
        <v>1333</v>
      </c>
      <c r="BC97" s="3" t="s">
        <v>1334</v>
      </c>
      <c r="BD97" s="3" t="s">
        <v>1335</v>
      </c>
    </row>
    <row r="98" spans="1:56" ht="40.5" customHeight="1" x14ac:dyDescent="0.25">
      <c r="A98" s="8" t="s">
        <v>58</v>
      </c>
      <c r="B98" s="2" t="s">
        <v>1336</v>
      </c>
      <c r="C98" s="2" t="s">
        <v>1337</v>
      </c>
      <c r="D98" s="2" t="s">
        <v>1338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1339</v>
      </c>
      <c r="L98" s="2" t="s">
        <v>1340</v>
      </c>
      <c r="M98" s="3" t="s">
        <v>1341</v>
      </c>
      <c r="N98" s="2" t="s">
        <v>1342</v>
      </c>
      <c r="O98" s="3" t="s">
        <v>64</v>
      </c>
      <c r="P98" s="3" t="s">
        <v>939</v>
      </c>
      <c r="R98" s="3" t="s">
        <v>66</v>
      </c>
      <c r="S98" s="4">
        <v>19</v>
      </c>
      <c r="T98" s="4">
        <v>19</v>
      </c>
      <c r="U98" s="5" t="s">
        <v>1343</v>
      </c>
      <c r="V98" s="5" t="s">
        <v>1343</v>
      </c>
      <c r="W98" s="5" t="s">
        <v>1344</v>
      </c>
      <c r="X98" s="5" t="s">
        <v>1344</v>
      </c>
      <c r="Y98" s="4">
        <v>28</v>
      </c>
      <c r="Z98" s="4">
        <v>26</v>
      </c>
      <c r="AA98" s="4">
        <v>127</v>
      </c>
      <c r="AB98" s="4">
        <v>2</v>
      </c>
      <c r="AC98" s="4">
        <v>4</v>
      </c>
      <c r="AD98" s="4">
        <v>3</v>
      </c>
      <c r="AE98" s="4">
        <v>8</v>
      </c>
      <c r="AF98" s="4">
        <v>1</v>
      </c>
      <c r="AG98" s="4">
        <v>1</v>
      </c>
      <c r="AH98" s="4">
        <v>1</v>
      </c>
      <c r="AI98" s="4">
        <v>3</v>
      </c>
      <c r="AJ98" s="4">
        <v>0</v>
      </c>
      <c r="AK98" s="4">
        <v>1</v>
      </c>
      <c r="AL98" s="4">
        <v>1</v>
      </c>
      <c r="AM98" s="4">
        <v>3</v>
      </c>
      <c r="AN98" s="4">
        <v>0</v>
      </c>
      <c r="AO98" s="4">
        <v>0</v>
      </c>
      <c r="AP98" s="3" t="s">
        <v>58</v>
      </c>
      <c r="AQ98" s="3" t="s">
        <v>69</v>
      </c>
      <c r="AR98" s="6" t="str">
        <f>HYPERLINK("http://catalog.hathitrust.org/Record/006598915","HathiTrust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HYPERLINK("https://creighton-primo.hosted.exlibrisgroup.com/primo-explore/search?tab=default_tab&amp;search_scope=EVERYTHING&amp;vid=01CRU&amp;lang=en_US&amp;offset=0&amp;query=any,contains,991003143709702656","Catalog Record")</f>
        <v>Catalog Record</v>
      </c>
      <c r="AT98" s="6" t="str">
        <f>HYPERLINK("http://www.worldcat.org/oclc/684946","WorldCat Record")</f>
        <v>WorldCat Record</v>
      </c>
      <c r="AU98" s="3" t="s">
        <v>1345</v>
      </c>
      <c r="AV98" s="3" t="s">
        <v>1346</v>
      </c>
      <c r="AW98" s="3" t="s">
        <v>1347</v>
      </c>
      <c r="AX98" s="3" t="s">
        <v>1347</v>
      </c>
      <c r="AY98" s="3" t="s">
        <v>1348</v>
      </c>
      <c r="AZ98" s="3" t="s">
        <v>74</v>
      </c>
      <c r="BC98" s="3" t="s">
        <v>1349</v>
      </c>
      <c r="BD98" s="3" t="s">
        <v>1350</v>
      </c>
    </row>
    <row r="99" spans="1:56" ht="40.5" customHeight="1" x14ac:dyDescent="0.25">
      <c r="A99" s="8" t="s">
        <v>58</v>
      </c>
      <c r="B99" s="2" t="s">
        <v>1351</v>
      </c>
      <c r="C99" s="2" t="s">
        <v>1352</v>
      </c>
      <c r="D99" s="2" t="s">
        <v>1353</v>
      </c>
      <c r="F99" s="3" t="s">
        <v>58</v>
      </c>
      <c r="G99" s="3" t="s">
        <v>59</v>
      </c>
      <c r="H99" s="3" t="s">
        <v>58</v>
      </c>
      <c r="I99" s="3" t="s">
        <v>69</v>
      </c>
      <c r="J99" s="3" t="s">
        <v>60</v>
      </c>
      <c r="K99" s="2" t="s">
        <v>1354</v>
      </c>
      <c r="L99" s="2" t="s">
        <v>1355</v>
      </c>
      <c r="M99" s="3" t="s">
        <v>1356</v>
      </c>
      <c r="N99" s="2" t="s">
        <v>1357</v>
      </c>
      <c r="O99" s="3" t="s">
        <v>64</v>
      </c>
      <c r="P99" s="3" t="s">
        <v>1358</v>
      </c>
      <c r="R99" s="3" t="s">
        <v>66</v>
      </c>
      <c r="S99" s="4">
        <v>4</v>
      </c>
      <c r="T99" s="4">
        <v>4</v>
      </c>
      <c r="U99" s="5" t="s">
        <v>1359</v>
      </c>
      <c r="V99" s="5" t="s">
        <v>1359</v>
      </c>
      <c r="W99" s="5" t="s">
        <v>1360</v>
      </c>
      <c r="X99" s="5" t="s">
        <v>1360</v>
      </c>
      <c r="Y99" s="4">
        <v>118</v>
      </c>
      <c r="Z99" s="4">
        <v>98</v>
      </c>
      <c r="AA99" s="4">
        <v>584</v>
      </c>
      <c r="AB99" s="4">
        <v>1</v>
      </c>
      <c r="AC99" s="4">
        <v>3</v>
      </c>
      <c r="AD99" s="4">
        <v>0</v>
      </c>
      <c r="AE99" s="4">
        <v>22</v>
      </c>
      <c r="AF99" s="4">
        <v>0</v>
      </c>
      <c r="AG99" s="4">
        <v>10</v>
      </c>
      <c r="AH99" s="4">
        <v>0</v>
      </c>
      <c r="AI99" s="4">
        <v>5</v>
      </c>
      <c r="AJ99" s="4">
        <v>0</v>
      </c>
      <c r="AK99" s="4">
        <v>13</v>
      </c>
      <c r="AL99" s="4">
        <v>0</v>
      </c>
      <c r="AM99" s="4">
        <v>1</v>
      </c>
      <c r="AN99" s="4">
        <v>0</v>
      </c>
      <c r="AO99" s="4">
        <v>0</v>
      </c>
      <c r="AP99" s="3" t="s">
        <v>58</v>
      </c>
      <c r="AQ99" s="3" t="s">
        <v>69</v>
      </c>
      <c r="AR99" s="6" t="str">
        <f>HYPERLINK("http://catalog.hathitrust.org/Record/001556174","HathiTrust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HYPERLINK("https://creighton-primo.hosted.exlibrisgroup.com/primo-explore/search?tab=default_tab&amp;search_scope=EVERYTHING&amp;vid=01CRU&amp;lang=en_US&amp;offset=0&amp;query=any,contains,991002810479702656","Catalog Record")</f>
        <v>Catalog Record</v>
      </c>
      <c r="AT99" s="6" t="str">
        <f>HYPERLINK("http://www.worldcat.org/oclc/452163","WorldCat Record")</f>
        <v>WorldCat Record</v>
      </c>
      <c r="AU99" s="3" t="s">
        <v>1361</v>
      </c>
      <c r="AV99" s="3" t="s">
        <v>1362</v>
      </c>
      <c r="AW99" s="3" t="s">
        <v>1363</v>
      </c>
      <c r="AX99" s="3" t="s">
        <v>1363</v>
      </c>
      <c r="AY99" s="3" t="s">
        <v>1364</v>
      </c>
      <c r="AZ99" s="3" t="s">
        <v>74</v>
      </c>
      <c r="BC99" s="3" t="s">
        <v>1365</v>
      </c>
      <c r="BD99" s="3" t="s">
        <v>1366</v>
      </c>
    </row>
    <row r="100" spans="1:56" ht="40.5" customHeight="1" x14ac:dyDescent="0.25">
      <c r="A100" s="8" t="s">
        <v>58</v>
      </c>
      <c r="B100" s="2" t="s">
        <v>1367</v>
      </c>
      <c r="C100" s="2" t="s">
        <v>1368</v>
      </c>
      <c r="D100" s="2" t="s">
        <v>1369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1370</v>
      </c>
      <c r="L100" s="2" t="s">
        <v>1371</v>
      </c>
      <c r="M100" s="3" t="s">
        <v>1372</v>
      </c>
      <c r="O100" s="3" t="s">
        <v>64</v>
      </c>
      <c r="P100" s="3" t="s">
        <v>83</v>
      </c>
      <c r="R100" s="3" t="s">
        <v>66</v>
      </c>
      <c r="S100" s="4">
        <v>17</v>
      </c>
      <c r="T100" s="4">
        <v>17</v>
      </c>
      <c r="U100" s="5" t="s">
        <v>1343</v>
      </c>
      <c r="V100" s="5" t="s">
        <v>1343</v>
      </c>
      <c r="W100" s="5" t="s">
        <v>1373</v>
      </c>
      <c r="X100" s="5" t="s">
        <v>1373</v>
      </c>
      <c r="Y100" s="4">
        <v>18</v>
      </c>
      <c r="Z100" s="4">
        <v>16</v>
      </c>
      <c r="AA100" s="4">
        <v>27</v>
      </c>
      <c r="AB100" s="4">
        <v>1</v>
      </c>
      <c r="AC100" s="4">
        <v>1</v>
      </c>
      <c r="AD100" s="4">
        <v>1</v>
      </c>
      <c r="AE100" s="4">
        <v>1</v>
      </c>
      <c r="AF100" s="4">
        <v>1</v>
      </c>
      <c r="AG100" s="4">
        <v>1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3" t="s">
        <v>69</v>
      </c>
      <c r="AQ100" s="3" t="s">
        <v>58</v>
      </c>
      <c r="AR100" s="6" t="str">
        <f>HYPERLINK("http://catalog.hathitrust.org/Record/006598919","HathiTrust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HYPERLINK("https://creighton-primo.hosted.exlibrisgroup.com/primo-explore/search?tab=default_tab&amp;search_scope=EVERYTHING&amp;vid=01CRU&amp;lang=en_US&amp;offset=0&amp;query=any,contains,991004993959702656","Catalog Record")</f>
        <v>Catalog Record</v>
      </c>
      <c r="AT100" s="6" t="str">
        <f>HYPERLINK("http://www.worldcat.org/oclc/6496010","WorldCat Record")</f>
        <v>WorldCat Record</v>
      </c>
      <c r="AU100" s="3" t="s">
        <v>1374</v>
      </c>
      <c r="AV100" s="3" t="s">
        <v>1375</v>
      </c>
      <c r="AW100" s="3" t="s">
        <v>1376</v>
      </c>
      <c r="AX100" s="3" t="s">
        <v>1376</v>
      </c>
      <c r="AY100" s="3" t="s">
        <v>1377</v>
      </c>
      <c r="AZ100" s="3" t="s">
        <v>74</v>
      </c>
      <c r="BC100" s="3" t="s">
        <v>1378</v>
      </c>
      <c r="BD100" s="3" t="s">
        <v>1379</v>
      </c>
    </row>
    <row r="101" spans="1:56" ht="40.5" customHeight="1" x14ac:dyDescent="0.25">
      <c r="A101" s="8" t="s">
        <v>58</v>
      </c>
      <c r="B101" s="2" t="s">
        <v>1380</v>
      </c>
      <c r="C101" s="2" t="s">
        <v>1381</v>
      </c>
      <c r="D101" s="2" t="s">
        <v>1382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1383</v>
      </c>
      <c r="L101" s="2" t="s">
        <v>1384</v>
      </c>
      <c r="M101" s="3" t="s">
        <v>243</v>
      </c>
      <c r="O101" s="3" t="s">
        <v>64</v>
      </c>
      <c r="P101" s="3" t="s">
        <v>83</v>
      </c>
      <c r="Q101" s="2" t="s">
        <v>1385</v>
      </c>
      <c r="R101" s="3" t="s">
        <v>66</v>
      </c>
      <c r="S101" s="4">
        <v>5</v>
      </c>
      <c r="T101" s="4">
        <v>5</v>
      </c>
      <c r="U101" s="5" t="s">
        <v>1265</v>
      </c>
      <c r="V101" s="5" t="s">
        <v>1265</v>
      </c>
      <c r="W101" s="5" t="s">
        <v>245</v>
      </c>
      <c r="X101" s="5" t="s">
        <v>245</v>
      </c>
      <c r="Y101" s="4">
        <v>165</v>
      </c>
      <c r="Z101" s="4">
        <v>119</v>
      </c>
      <c r="AA101" s="4">
        <v>136</v>
      </c>
      <c r="AB101" s="4">
        <v>1</v>
      </c>
      <c r="AC101" s="4">
        <v>1</v>
      </c>
      <c r="AD101" s="4">
        <v>3</v>
      </c>
      <c r="AE101" s="4">
        <v>4</v>
      </c>
      <c r="AF101" s="4">
        <v>0</v>
      </c>
      <c r="AG101" s="4">
        <v>1</v>
      </c>
      <c r="AH101" s="4">
        <v>1</v>
      </c>
      <c r="AI101" s="4">
        <v>1</v>
      </c>
      <c r="AJ101" s="4">
        <v>2</v>
      </c>
      <c r="AK101" s="4">
        <v>3</v>
      </c>
      <c r="AL101" s="4">
        <v>0</v>
      </c>
      <c r="AM101" s="4">
        <v>0</v>
      </c>
      <c r="AN101" s="4">
        <v>0</v>
      </c>
      <c r="AO101" s="4">
        <v>0</v>
      </c>
      <c r="AP101" s="3" t="s">
        <v>58</v>
      </c>
      <c r="AQ101" s="3" t="s">
        <v>69</v>
      </c>
      <c r="AR101" s="6" t="str">
        <f>HYPERLINK("http://catalog.hathitrust.org/Record/000884932","HathiTrust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HYPERLINK("https://creighton-primo.hosted.exlibrisgroup.com/primo-explore/search?tab=default_tab&amp;search_scope=EVERYTHING&amp;vid=01CRU&amp;lang=en_US&amp;offset=0&amp;query=any,contains,991001073219702656","Catalog Record")</f>
        <v>Catalog Record</v>
      </c>
      <c r="AT101" s="6" t="str">
        <f>HYPERLINK("http://www.worldcat.org/oclc/16003566","WorldCat Record")</f>
        <v>WorldCat Record</v>
      </c>
      <c r="AU101" s="3" t="s">
        <v>1386</v>
      </c>
      <c r="AV101" s="3" t="s">
        <v>1387</v>
      </c>
      <c r="AW101" s="3" t="s">
        <v>1388</v>
      </c>
      <c r="AX101" s="3" t="s">
        <v>1388</v>
      </c>
      <c r="AY101" s="3" t="s">
        <v>1389</v>
      </c>
      <c r="AZ101" s="3" t="s">
        <v>74</v>
      </c>
      <c r="BB101" s="3" t="s">
        <v>1390</v>
      </c>
      <c r="BC101" s="3" t="s">
        <v>1391</v>
      </c>
      <c r="BD101" s="3" t="s">
        <v>1392</v>
      </c>
    </row>
    <row r="102" spans="1:56" ht="40.5" customHeight="1" x14ac:dyDescent="0.25">
      <c r="A102" s="8" t="s">
        <v>58</v>
      </c>
      <c r="B102" s="2" t="s">
        <v>1393</v>
      </c>
      <c r="C102" s="2" t="s">
        <v>1394</v>
      </c>
      <c r="D102" s="2" t="s">
        <v>1395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1396</v>
      </c>
      <c r="L102" s="2" t="s">
        <v>1397</v>
      </c>
      <c r="M102" s="3" t="s">
        <v>201</v>
      </c>
      <c r="N102" s="2" t="s">
        <v>271</v>
      </c>
      <c r="O102" s="3" t="s">
        <v>64</v>
      </c>
      <c r="P102" s="3" t="s">
        <v>83</v>
      </c>
      <c r="R102" s="3" t="s">
        <v>66</v>
      </c>
      <c r="S102" s="4">
        <v>12</v>
      </c>
      <c r="T102" s="4">
        <v>12</v>
      </c>
      <c r="U102" s="5" t="s">
        <v>1398</v>
      </c>
      <c r="V102" s="5" t="s">
        <v>1398</v>
      </c>
      <c r="W102" s="5" t="s">
        <v>1399</v>
      </c>
      <c r="X102" s="5" t="s">
        <v>1399</v>
      </c>
      <c r="Y102" s="4">
        <v>300</v>
      </c>
      <c r="Z102" s="4">
        <v>200</v>
      </c>
      <c r="AA102" s="4">
        <v>836</v>
      </c>
      <c r="AB102" s="4">
        <v>2</v>
      </c>
      <c r="AC102" s="4">
        <v>27</v>
      </c>
      <c r="AD102" s="4">
        <v>14</v>
      </c>
      <c r="AE102" s="4">
        <v>31</v>
      </c>
      <c r="AF102" s="4">
        <v>7</v>
      </c>
      <c r="AG102" s="4">
        <v>11</v>
      </c>
      <c r="AH102" s="4">
        <v>2</v>
      </c>
      <c r="AI102" s="4">
        <v>3</v>
      </c>
      <c r="AJ102" s="4">
        <v>8</v>
      </c>
      <c r="AK102" s="4">
        <v>12</v>
      </c>
      <c r="AL102" s="4">
        <v>1</v>
      </c>
      <c r="AM102" s="4">
        <v>12</v>
      </c>
      <c r="AN102" s="4">
        <v>0</v>
      </c>
      <c r="AO102" s="4">
        <v>0</v>
      </c>
      <c r="AP102" s="3" t="s">
        <v>58</v>
      </c>
      <c r="AQ102" s="3" t="s">
        <v>58</v>
      </c>
      <c r="AS102" s="6" t="str">
        <f>HYPERLINK("https://creighton-primo.hosted.exlibrisgroup.com/primo-explore/search?tab=default_tab&amp;search_scope=EVERYTHING&amp;vid=01CRU&amp;lang=en_US&amp;offset=0&amp;query=any,contains,991003469209702656","Catalog Record")</f>
        <v>Catalog Record</v>
      </c>
      <c r="AT102" s="6" t="str">
        <f>HYPERLINK("http://www.worldcat.org/oclc/40555785","WorldCat Record")</f>
        <v>WorldCat Record</v>
      </c>
      <c r="AU102" s="3" t="s">
        <v>1400</v>
      </c>
      <c r="AV102" s="3" t="s">
        <v>1401</v>
      </c>
      <c r="AW102" s="3" t="s">
        <v>1402</v>
      </c>
      <c r="AX102" s="3" t="s">
        <v>1402</v>
      </c>
      <c r="AY102" s="3" t="s">
        <v>1403</v>
      </c>
      <c r="AZ102" s="3" t="s">
        <v>74</v>
      </c>
      <c r="BB102" s="3" t="s">
        <v>1404</v>
      </c>
      <c r="BC102" s="3" t="s">
        <v>1405</v>
      </c>
      <c r="BD102" s="3" t="s">
        <v>1406</v>
      </c>
    </row>
    <row r="103" spans="1:56" ht="40.5" customHeight="1" x14ac:dyDescent="0.25">
      <c r="A103" s="8" t="s">
        <v>58</v>
      </c>
      <c r="B103" s="2" t="s">
        <v>1407</v>
      </c>
      <c r="C103" s="2" t="s">
        <v>1408</v>
      </c>
      <c r="D103" s="2" t="s">
        <v>1409</v>
      </c>
      <c r="F103" s="3" t="s">
        <v>69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1410</v>
      </c>
      <c r="L103" s="2" t="s">
        <v>1411</v>
      </c>
      <c r="M103" s="3" t="s">
        <v>950</v>
      </c>
      <c r="O103" s="3" t="s">
        <v>64</v>
      </c>
      <c r="P103" s="3" t="s">
        <v>83</v>
      </c>
      <c r="R103" s="3" t="s">
        <v>66</v>
      </c>
      <c r="S103" s="4">
        <v>3</v>
      </c>
      <c r="T103" s="4">
        <v>3</v>
      </c>
      <c r="U103" s="5" t="s">
        <v>1398</v>
      </c>
      <c r="V103" s="5" t="s">
        <v>1398</v>
      </c>
      <c r="W103" s="5" t="s">
        <v>100</v>
      </c>
      <c r="X103" s="5" t="s">
        <v>100</v>
      </c>
      <c r="Y103" s="4">
        <v>792</v>
      </c>
      <c r="Z103" s="4">
        <v>685</v>
      </c>
      <c r="AA103" s="4">
        <v>841</v>
      </c>
      <c r="AB103" s="4">
        <v>6</v>
      </c>
      <c r="AC103" s="4">
        <v>8</v>
      </c>
      <c r="AD103" s="4">
        <v>31</v>
      </c>
      <c r="AE103" s="4">
        <v>37</v>
      </c>
      <c r="AF103" s="4">
        <v>14</v>
      </c>
      <c r="AG103" s="4">
        <v>15</v>
      </c>
      <c r="AH103" s="4">
        <v>5</v>
      </c>
      <c r="AI103" s="4">
        <v>6</v>
      </c>
      <c r="AJ103" s="4">
        <v>14</v>
      </c>
      <c r="AK103" s="4">
        <v>16</v>
      </c>
      <c r="AL103" s="4">
        <v>5</v>
      </c>
      <c r="AM103" s="4">
        <v>7</v>
      </c>
      <c r="AN103" s="4">
        <v>0</v>
      </c>
      <c r="AO103" s="4">
        <v>0</v>
      </c>
      <c r="AP103" s="3" t="s">
        <v>58</v>
      </c>
      <c r="AQ103" s="3" t="s">
        <v>69</v>
      </c>
      <c r="AR103" s="6" t="str">
        <f>HYPERLINK("http://catalog.hathitrust.org/Record/000414153","HathiTrust Record")</f>
        <v>HathiTrust Record</v>
      </c>
      <c r="AS103" s="6" t="str">
        <f>HYPERLINK("https://creighton-primo.hosted.exlibrisgroup.com/primo-explore/search?tab=default_tab&amp;search_scope=EVERYTHING&amp;vid=01CRU&amp;lang=en_US&amp;offset=0&amp;query=any,contains,991001899889702656","Catalog Record")</f>
        <v>Catalog Record</v>
      </c>
      <c r="AT103" s="6" t="str">
        <f>HYPERLINK("http://www.worldcat.org/oclc/239157","WorldCat Record")</f>
        <v>WorldCat Record</v>
      </c>
      <c r="AU103" s="3" t="s">
        <v>1412</v>
      </c>
      <c r="AV103" s="3" t="s">
        <v>1413</v>
      </c>
      <c r="AW103" s="3" t="s">
        <v>1414</v>
      </c>
      <c r="AX103" s="3" t="s">
        <v>1414</v>
      </c>
      <c r="AY103" s="3" t="s">
        <v>1415</v>
      </c>
      <c r="AZ103" s="3" t="s">
        <v>74</v>
      </c>
      <c r="BB103" s="3" t="s">
        <v>1416</v>
      </c>
      <c r="BC103" s="3" t="s">
        <v>1417</v>
      </c>
      <c r="BD103" s="3" t="s">
        <v>1418</v>
      </c>
    </row>
    <row r="104" spans="1:56" ht="40.5" customHeight="1" x14ac:dyDescent="0.25">
      <c r="A104" s="8" t="s">
        <v>58</v>
      </c>
      <c r="B104" s="2" t="s">
        <v>1419</v>
      </c>
      <c r="C104" s="2" t="s">
        <v>1420</v>
      </c>
      <c r="D104" s="2" t="s">
        <v>1421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L104" s="2" t="s">
        <v>606</v>
      </c>
      <c r="M104" s="3" t="s">
        <v>525</v>
      </c>
      <c r="O104" s="3" t="s">
        <v>64</v>
      </c>
      <c r="P104" s="3" t="s">
        <v>607</v>
      </c>
      <c r="R104" s="3" t="s">
        <v>66</v>
      </c>
      <c r="S104" s="4">
        <v>2</v>
      </c>
      <c r="T104" s="4">
        <v>2</v>
      </c>
      <c r="U104" s="5" t="s">
        <v>1422</v>
      </c>
      <c r="V104" s="5" t="s">
        <v>1422</v>
      </c>
      <c r="W104" s="5" t="s">
        <v>1423</v>
      </c>
      <c r="X104" s="5" t="s">
        <v>1423</v>
      </c>
      <c r="Y104" s="4">
        <v>118</v>
      </c>
      <c r="Z104" s="4">
        <v>91</v>
      </c>
      <c r="AA104" s="4">
        <v>91</v>
      </c>
      <c r="AB104" s="4">
        <v>1</v>
      </c>
      <c r="AC104" s="4">
        <v>1</v>
      </c>
      <c r="AD104" s="4">
        <v>3</v>
      </c>
      <c r="AE104" s="4">
        <v>3</v>
      </c>
      <c r="AF104" s="4">
        <v>1</v>
      </c>
      <c r="AG104" s="4">
        <v>1</v>
      </c>
      <c r="AH104" s="4">
        <v>2</v>
      </c>
      <c r="AI104" s="4">
        <v>2</v>
      </c>
      <c r="AJ104" s="4">
        <v>3</v>
      </c>
      <c r="AK104" s="4">
        <v>3</v>
      </c>
      <c r="AL104" s="4">
        <v>0</v>
      </c>
      <c r="AM104" s="4">
        <v>0</v>
      </c>
      <c r="AN104" s="4">
        <v>0</v>
      </c>
      <c r="AO104" s="4">
        <v>0</v>
      </c>
      <c r="AP104" s="3" t="s">
        <v>58</v>
      </c>
      <c r="AQ104" s="3" t="s">
        <v>58</v>
      </c>
      <c r="AS104" s="6" t="str">
        <f>HYPERLINK("https://creighton-primo.hosted.exlibrisgroup.com/primo-explore/search?tab=default_tab&amp;search_scope=EVERYTHING&amp;vid=01CRU&amp;lang=en_US&amp;offset=0&amp;query=any,contains,991001843859702656","Catalog Record")</f>
        <v>Catalog Record</v>
      </c>
      <c r="AT104" s="6" t="str">
        <f>HYPERLINK("http://www.worldcat.org/oclc/23144957","WorldCat Record")</f>
        <v>WorldCat Record</v>
      </c>
      <c r="AU104" s="3" t="s">
        <v>1424</v>
      </c>
      <c r="AV104" s="3" t="s">
        <v>1425</v>
      </c>
      <c r="AW104" s="3" t="s">
        <v>1426</v>
      </c>
      <c r="AX104" s="3" t="s">
        <v>1426</v>
      </c>
      <c r="AY104" s="3" t="s">
        <v>1427</v>
      </c>
      <c r="AZ104" s="3" t="s">
        <v>74</v>
      </c>
      <c r="BB104" s="3" t="s">
        <v>1428</v>
      </c>
      <c r="BC104" s="3" t="s">
        <v>1429</v>
      </c>
      <c r="BD104" s="3" t="s">
        <v>1430</v>
      </c>
    </row>
    <row r="105" spans="1:56" ht="40.5" customHeight="1" x14ac:dyDescent="0.25">
      <c r="A105" s="8" t="s">
        <v>58</v>
      </c>
      <c r="B105" s="2" t="s">
        <v>1431</v>
      </c>
      <c r="C105" s="2" t="s">
        <v>1432</v>
      </c>
      <c r="D105" s="2" t="s">
        <v>1433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L105" s="2" t="s">
        <v>1434</v>
      </c>
      <c r="M105" s="3" t="s">
        <v>201</v>
      </c>
      <c r="O105" s="3" t="s">
        <v>64</v>
      </c>
      <c r="P105" s="3" t="s">
        <v>113</v>
      </c>
      <c r="R105" s="3" t="s">
        <v>66</v>
      </c>
      <c r="S105" s="4">
        <v>13</v>
      </c>
      <c r="T105" s="4">
        <v>13</v>
      </c>
      <c r="U105" s="5" t="s">
        <v>1435</v>
      </c>
      <c r="V105" s="5" t="s">
        <v>1435</v>
      </c>
      <c r="W105" s="5" t="s">
        <v>1436</v>
      </c>
      <c r="X105" s="5" t="s">
        <v>1436</v>
      </c>
      <c r="Y105" s="4">
        <v>171</v>
      </c>
      <c r="Z105" s="4">
        <v>103</v>
      </c>
      <c r="AA105" s="4">
        <v>107</v>
      </c>
      <c r="AB105" s="4">
        <v>1</v>
      </c>
      <c r="AC105" s="4">
        <v>1</v>
      </c>
      <c r="AD105" s="4">
        <v>6</v>
      </c>
      <c r="AE105" s="4">
        <v>6</v>
      </c>
      <c r="AF105" s="4">
        <v>1</v>
      </c>
      <c r="AG105" s="4">
        <v>1</v>
      </c>
      <c r="AH105" s="4">
        <v>3</v>
      </c>
      <c r="AI105" s="4">
        <v>3</v>
      </c>
      <c r="AJ105" s="4">
        <v>4</v>
      </c>
      <c r="AK105" s="4">
        <v>4</v>
      </c>
      <c r="AL105" s="4">
        <v>0</v>
      </c>
      <c r="AM105" s="4">
        <v>0</v>
      </c>
      <c r="AN105" s="4">
        <v>0</v>
      </c>
      <c r="AO105" s="4">
        <v>0</v>
      </c>
      <c r="AP105" s="3" t="s">
        <v>58</v>
      </c>
      <c r="AQ105" s="3" t="s">
        <v>58</v>
      </c>
      <c r="AS105" s="6" t="str">
        <f>HYPERLINK("https://creighton-primo.hosted.exlibrisgroup.com/primo-explore/search?tab=default_tab&amp;search_scope=EVERYTHING&amp;vid=01CRU&amp;lang=en_US&amp;offset=0&amp;query=any,contains,991003001029702656","Catalog Record")</f>
        <v>Catalog Record</v>
      </c>
      <c r="AT105" s="6" t="str">
        <f>HYPERLINK("http://www.worldcat.org/oclc/40659800","WorldCat Record")</f>
        <v>WorldCat Record</v>
      </c>
      <c r="AU105" s="3" t="s">
        <v>1437</v>
      </c>
      <c r="AV105" s="3" t="s">
        <v>1438</v>
      </c>
      <c r="AW105" s="3" t="s">
        <v>1439</v>
      </c>
      <c r="AX105" s="3" t="s">
        <v>1439</v>
      </c>
      <c r="AY105" s="3" t="s">
        <v>1440</v>
      </c>
      <c r="AZ105" s="3" t="s">
        <v>74</v>
      </c>
      <c r="BB105" s="3" t="s">
        <v>1441</v>
      </c>
      <c r="BC105" s="3" t="s">
        <v>1442</v>
      </c>
      <c r="BD105" s="3" t="s">
        <v>1443</v>
      </c>
    </row>
    <row r="106" spans="1:56" ht="40.5" customHeight="1" x14ac:dyDescent="0.25">
      <c r="A106" s="8" t="s">
        <v>58</v>
      </c>
      <c r="B106" s="2" t="s">
        <v>1444</v>
      </c>
      <c r="C106" s="2" t="s">
        <v>1445</v>
      </c>
      <c r="D106" s="2" t="s">
        <v>1446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L106" s="2" t="s">
        <v>1447</v>
      </c>
      <c r="M106" s="3" t="s">
        <v>63</v>
      </c>
      <c r="O106" s="3" t="s">
        <v>64</v>
      </c>
      <c r="P106" s="3" t="s">
        <v>607</v>
      </c>
      <c r="R106" s="3" t="s">
        <v>66</v>
      </c>
      <c r="S106" s="4">
        <v>1</v>
      </c>
      <c r="T106" s="4">
        <v>1</v>
      </c>
      <c r="U106" s="5" t="s">
        <v>928</v>
      </c>
      <c r="V106" s="5" t="s">
        <v>928</v>
      </c>
      <c r="W106" s="5" t="s">
        <v>68</v>
      </c>
      <c r="X106" s="5" t="s">
        <v>68</v>
      </c>
      <c r="Y106" s="4">
        <v>279</v>
      </c>
      <c r="Z106" s="4">
        <v>193</v>
      </c>
      <c r="AA106" s="4">
        <v>218</v>
      </c>
      <c r="AB106" s="4">
        <v>1</v>
      </c>
      <c r="AC106" s="4">
        <v>1</v>
      </c>
      <c r="AD106" s="4">
        <v>3</v>
      </c>
      <c r="AE106" s="4">
        <v>3</v>
      </c>
      <c r="AF106" s="4">
        <v>2</v>
      </c>
      <c r="AG106" s="4">
        <v>2</v>
      </c>
      <c r="AH106" s="4">
        <v>1</v>
      </c>
      <c r="AI106" s="4">
        <v>1</v>
      </c>
      <c r="AJ106" s="4">
        <v>1</v>
      </c>
      <c r="AK106" s="4">
        <v>1</v>
      </c>
      <c r="AL106" s="4">
        <v>0</v>
      </c>
      <c r="AM106" s="4">
        <v>0</v>
      </c>
      <c r="AN106" s="4">
        <v>0</v>
      </c>
      <c r="AO106" s="4">
        <v>0</v>
      </c>
      <c r="AP106" s="3" t="s">
        <v>58</v>
      </c>
      <c r="AQ106" s="3" t="s">
        <v>69</v>
      </c>
      <c r="AR106" s="6" t="str">
        <f>HYPERLINK("http://catalog.hathitrust.org/Record/000246970","HathiTrust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HYPERLINK("https://creighton-primo.hosted.exlibrisgroup.com/primo-explore/search?tab=default_tab&amp;search_scope=EVERYTHING&amp;vid=01CRU&amp;lang=en_US&amp;offset=0&amp;query=any,contains,991000259569702656","Catalog Record")</f>
        <v>Catalog Record</v>
      </c>
      <c r="AT106" s="6" t="str">
        <f>HYPERLINK("http://www.worldcat.org/oclc/9785917","WorldCat Record")</f>
        <v>WorldCat Record</v>
      </c>
      <c r="AU106" s="3" t="s">
        <v>1448</v>
      </c>
      <c r="AV106" s="3" t="s">
        <v>1449</v>
      </c>
      <c r="AW106" s="3" t="s">
        <v>1450</v>
      </c>
      <c r="AX106" s="3" t="s">
        <v>1450</v>
      </c>
      <c r="AY106" s="3" t="s">
        <v>1451</v>
      </c>
      <c r="AZ106" s="3" t="s">
        <v>74</v>
      </c>
      <c r="BB106" s="3" t="s">
        <v>1452</v>
      </c>
      <c r="BC106" s="3" t="s">
        <v>1453</v>
      </c>
      <c r="BD106" s="3" t="s">
        <v>1454</v>
      </c>
    </row>
    <row r="107" spans="1:56" ht="40.5" customHeight="1" x14ac:dyDescent="0.25">
      <c r="A107" s="8" t="s">
        <v>58</v>
      </c>
      <c r="B107" s="2" t="s">
        <v>1455</v>
      </c>
      <c r="C107" s="2" t="s">
        <v>1456</v>
      </c>
      <c r="D107" s="2" t="s">
        <v>1457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L107" s="2" t="s">
        <v>1458</v>
      </c>
      <c r="M107" s="3" t="s">
        <v>870</v>
      </c>
      <c r="O107" s="3" t="s">
        <v>64</v>
      </c>
      <c r="P107" s="3" t="s">
        <v>172</v>
      </c>
      <c r="R107" s="3" t="s">
        <v>66</v>
      </c>
      <c r="S107" s="4">
        <v>7</v>
      </c>
      <c r="T107" s="4">
        <v>7</v>
      </c>
      <c r="U107" s="5" t="s">
        <v>1459</v>
      </c>
      <c r="V107" s="5" t="s">
        <v>1459</v>
      </c>
      <c r="W107" s="5" t="s">
        <v>68</v>
      </c>
      <c r="X107" s="5" t="s">
        <v>68</v>
      </c>
      <c r="Y107" s="4">
        <v>305</v>
      </c>
      <c r="Z107" s="4">
        <v>218</v>
      </c>
      <c r="AA107" s="4">
        <v>218</v>
      </c>
      <c r="AB107" s="4">
        <v>1</v>
      </c>
      <c r="AC107" s="4">
        <v>1</v>
      </c>
      <c r="AD107" s="4">
        <v>6</v>
      </c>
      <c r="AE107" s="4">
        <v>6</v>
      </c>
      <c r="AF107" s="4">
        <v>2</v>
      </c>
      <c r="AG107" s="4">
        <v>2</v>
      </c>
      <c r="AH107" s="4">
        <v>0</v>
      </c>
      <c r="AI107" s="4">
        <v>0</v>
      </c>
      <c r="AJ107" s="4">
        <v>5</v>
      </c>
      <c r="AK107" s="4">
        <v>5</v>
      </c>
      <c r="AL107" s="4">
        <v>0</v>
      </c>
      <c r="AM107" s="4">
        <v>0</v>
      </c>
      <c r="AN107" s="4">
        <v>0</v>
      </c>
      <c r="AO107" s="4">
        <v>0</v>
      </c>
      <c r="AP107" s="3" t="s">
        <v>58</v>
      </c>
      <c r="AQ107" s="3" t="s">
        <v>58</v>
      </c>
      <c r="AS107" s="6" t="str">
        <f>HYPERLINK("https://creighton-primo.hosted.exlibrisgroup.com/primo-explore/search?tab=default_tab&amp;search_scope=EVERYTHING&amp;vid=01CRU&amp;lang=en_US&amp;offset=0&amp;query=any,contains,991005168849702656","Catalog Record")</f>
        <v>Catalog Record</v>
      </c>
      <c r="AT107" s="6" t="str">
        <f>HYPERLINK("http://www.worldcat.org/oclc/7837678","WorldCat Record")</f>
        <v>WorldCat Record</v>
      </c>
      <c r="AU107" s="3" t="s">
        <v>1460</v>
      </c>
      <c r="AV107" s="3" t="s">
        <v>1461</v>
      </c>
      <c r="AW107" s="3" t="s">
        <v>1462</v>
      </c>
      <c r="AX107" s="3" t="s">
        <v>1462</v>
      </c>
      <c r="AY107" s="3" t="s">
        <v>1463</v>
      </c>
      <c r="AZ107" s="3" t="s">
        <v>74</v>
      </c>
      <c r="BB107" s="3" t="s">
        <v>1464</v>
      </c>
      <c r="BC107" s="3" t="s">
        <v>1465</v>
      </c>
      <c r="BD107" s="3" t="s">
        <v>1466</v>
      </c>
    </row>
    <row r="108" spans="1:56" ht="40.5" customHeight="1" x14ac:dyDescent="0.25">
      <c r="A108" s="8" t="s">
        <v>58</v>
      </c>
      <c r="B108" s="2" t="s">
        <v>1467</v>
      </c>
      <c r="C108" s="2" t="s">
        <v>1468</v>
      </c>
      <c r="D108" s="2" t="s">
        <v>1469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1470</v>
      </c>
      <c r="L108" s="2" t="s">
        <v>1471</v>
      </c>
      <c r="M108" s="3" t="s">
        <v>1472</v>
      </c>
      <c r="O108" s="3" t="s">
        <v>64</v>
      </c>
      <c r="P108" s="3" t="s">
        <v>83</v>
      </c>
      <c r="R108" s="3" t="s">
        <v>66</v>
      </c>
      <c r="S108" s="4">
        <v>2</v>
      </c>
      <c r="T108" s="4">
        <v>2</v>
      </c>
      <c r="U108" s="5" t="s">
        <v>1473</v>
      </c>
      <c r="V108" s="5" t="s">
        <v>1473</v>
      </c>
      <c r="W108" s="5" t="s">
        <v>1474</v>
      </c>
      <c r="X108" s="5" t="s">
        <v>1474</v>
      </c>
      <c r="Y108" s="4">
        <v>37</v>
      </c>
      <c r="Z108" s="4">
        <v>32</v>
      </c>
      <c r="AA108" s="4">
        <v>34</v>
      </c>
      <c r="AB108" s="4">
        <v>1</v>
      </c>
      <c r="AC108" s="4">
        <v>1</v>
      </c>
      <c r="AD108" s="4">
        <v>1</v>
      </c>
      <c r="AE108" s="4">
        <v>1</v>
      </c>
      <c r="AF108" s="4">
        <v>0</v>
      </c>
      <c r="AG108" s="4">
        <v>0</v>
      </c>
      <c r="AH108" s="4">
        <v>0</v>
      </c>
      <c r="AI108" s="4">
        <v>0</v>
      </c>
      <c r="AJ108" s="4">
        <v>1</v>
      </c>
      <c r="AK108" s="4">
        <v>1</v>
      </c>
      <c r="AL108" s="4">
        <v>0</v>
      </c>
      <c r="AM108" s="4">
        <v>0</v>
      </c>
      <c r="AN108" s="4">
        <v>0</v>
      </c>
      <c r="AO108" s="4">
        <v>0</v>
      </c>
      <c r="AP108" s="3" t="s">
        <v>58</v>
      </c>
      <c r="AQ108" s="3" t="s">
        <v>69</v>
      </c>
      <c r="AR108" s="6" t="str">
        <f>HYPERLINK("http://catalog.hathitrust.org/Record/002083040","HathiTrust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HYPERLINK("https://creighton-primo.hosted.exlibrisgroup.com/primo-explore/search?tab=default_tab&amp;search_scope=EVERYTHING&amp;vid=01CRU&amp;lang=en_US&amp;offset=0&amp;query=any,contains,991004378739702656","Catalog Record")</f>
        <v>Catalog Record</v>
      </c>
      <c r="AT108" s="6" t="str">
        <f>HYPERLINK("http://www.worldcat.org/oclc/3208106","WorldCat Record")</f>
        <v>WorldCat Record</v>
      </c>
      <c r="AU108" s="3" t="s">
        <v>1475</v>
      </c>
      <c r="AV108" s="3" t="s">
        <v>1476</v>
      </c>
      <c r="AW108" s="3" t="s">
        <v>1477</v>
      </c>
      <c r="AX108" s="3" t="s">
        <v>1477</v>
      </c>
      <c r="AY108" s="3" t="s">
        <v>1478</v>
      </c>
      <c r="AZ108" s="3" t="s">
        <v>74</v>
      </c>
      <c r="BC108" s="3" t="s">
        <v>1479</v>
      </c>
      <c r="BD108" s="3" t="s">
        <v>1480</v>
      </c>
    </row>
    <row r="109" spans="1:56" ht="40.5" customHeight="1" x14ac:dyDescent="0.25">
      <c r="A109" s="8" t="s">
        <v>58</v>
      </c>
      <c r="B109" s="2" t="s">
        <v>1481</v>
      </c>
      <c r="C109" s="2" t="s">
        <v>1482</v>
      </c>
      <c r="D109" s="2" t="s">
        <v>1483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1484</v>
      </c>
      <c r="L109" s="2" t="s">
        <v>1485</v>
      </c>
      <c r="M109" s="3" t="s">
        <v>1486</v>
      </c>
      <c r="N109" s="2" t="s">
        <v>1487</v>
      </c>
      <c r="O109" s="3" t="s">
        <v>64</v>
      </c>
      <c r="P109" s="3" t="s">
        <v>186</v>
      </c>
      <c r="R109" s="3" t="s">
        <v>66</v>
      </c>
      <c r="S109" s="4">
        <v>2</v>
      </c>
      <c r="T109" s="4">
        <v>2</v>
      </c>
      <c r="U109" s="5" t="s">
        <v>1488</v>
      </c>
      <c r="V109" s="5" t="s">
        <v>1488</v>
      </c>
      <c r="W109" s="5" t="s">
        <v>100</v>
      </c>
      <c r="X109" s="5" t="s">
        <v>100</v>
      </c>
      <c r="Y109" s="4">
        <v>78</v>
      </c>
      <c r="Z109" s="4">
        <v>71</v>
      </c>
      <c r="AA109" s="4">
        <v>270</v>
      </c>
      <c r="AB109" s="4">
        <v>3</v>
      </c>
      <c r="AC109" s="4">
        <v>4</v>
      </c>
      <c r="AD109" s="4">
        <v>3</v>
      </c>
      <c r="AE109" s="4">
        <v>5</v>
      </c>
      <c r="AF109" s="4">
        <v>0</v>
      </c>
      <c r="AG109" s="4">
        <v>1</v>
      </c>
      <c r="AH109" s="4">
        <v>1</v>
      </c>
      <c r="AI109" s="4">
        <v>1</v>
      </c>
      <c r="AJ109" s="4">
        <v>0</v>
      </c>
      <c r="AK109" s="4">
        <v>0</v>
      </c>
      <c r="AL109" s="4">
        <v>2</v>
      </c>
      <c r="AM109" s="4">
        <v>3</v>
      </c>
      <c r="AN109" s="4">
        <v>0</v>
      </c>
      <c r="AO109" s="4">
        <v>0</v>
      </c>
      <c r="AP109" s="3" t="s">
        <v>69</v>
      </c>
      <c r="AQ109" s="3" t="s">
        <v>58</v>
      </c>
      <c r="AR109" s="6" t="str">
        <f>HYPERLINK("http://catalog.hathitrust.org/Record/100414014","HathiTrust Record")</f>
        <v>HathiTrust Record</v>
      </c>
      <c r="AS109" s="6" t="str">
        <f>HYPERLINK("https://creighton-primo.hosted.exlibrisgroup.com/primo-explore/search?tab=default_tab&amp;search_scope=EVERYTHING&amp;vid=01CRU&amp;lang=en_US&amp;offset=0&amp;query=any,contains,991003859979702656","Catalog Record")</f>
        <v>Catalog Record</v>
      </c>
      <c r="AT109" s="6" t="str">
        <f>HYPERLINK("http://www.worldcat.org/oclc/1663901","WorldCat Record")</f>
        <v>WorldCat Record</v>
      </c>
      <c r="AU109" s="3" t="s">
        <v>1489</v>
      </c>
      <c r="AV109" s="3" t="s">
        <v>1490</v>
      </c>
      <c r="AW109" s="3" t="s">
        <v>1491</v>
      </c>
      <c r="AX109" s="3" t="s">
        <v>1491</v>
      </c>
      <c r="AY109" s="3" t="s">
        <v>1492</v>
      </c>
      <c r="AZ109" s="3" t="s">
        <v>74</v>
      </c>
      <c r="BC109" s="3" t="s">
        <v>1493</v>
      </c>
      <c r="BD109" s="3" t="s">
        <v>1494</v>
      </c>
    </row>
    <row r="110" spans="1:56" ht="40.5" customHeight="1" x14ac:dyDescent="0.25">
      <c r="A110" s="8" t="s">
        <v>58</v>
      </c>
      <c r="B110" s="2" t="s">
        <v>1495</v>
      </c>
      <c r="C110" s="2" t="s">
        <v>1496</v>
      </c>
      <c r="D110" s="2" t="s">
        <v>1497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1498</v>
      </c>
      <c r="L110" s="2" t="s">
        <v>1499</v>
      </c>
      <c r="M110" s="3" t="s">
        <v>1500</v>
      </c>
      <c r="O110" s="3" t="s">
        <v>64</v>
      </c>
      <c r="P110" s="3" t="s">
        <v>1501</v>
      </c>
      <c r="R110" s="3" t="s">
        <v>66</v>
      </c>
      <c r="S110" s="4">
        <v>1</v>
      </c>
      <c r="T110" s="4">
        <v>1</v>
      </c>
      <c r="U110" s="5" t="s">
        <v>1185</v>
      </c>
      <c r="V110" s="5" t="s">
        <v>1185</v>
      </c>
      <c r="W110" s="5" t="s">
        <v>100</v>
      </c>
      <c r="X110" s="5" t="s">
        <v>100</v>
      </c>
      <c r="Y110" s="4">
        <v>875</v>
      </c>
      <c r="Z110" s="4">
        <v>766</v>
      </c>
      <c r="AA110" s="4">
        <v>859</v>
      </c>
      <c r="AB110" s="4">
        <v>8</v>
      </c>
      <c r="AC110" s="4">
        <v>9</v>
      </c>
      <c r="AD110" s="4">
        <v>35</v>
      </c>
      <c r="AE110" s="4">
        <v>38</v>
      </c>
      <c r="AF110" s="4">
        <v>14</v>
      </c>
      <c r="AG110" s="4">
        <v>14</v>
      </c>
      <c r="AH110" s="4">
        <v>6</v>
      </c>
      <c r="AI110" s="4">
        <v>6</v>
      </c>
      <c r="AJ110" s="4">
        <v>17</v>
      </c>
      <c r="AK110" s="4">
        <v>19</v>
      </c>
      <c r="AL110" s="4">
        <v>7</v>
      </c>
      <c r="AM110" s="4">
        <v>8</v>
      </c>
      <c r="AN110" s="4">
        <v>0</v>
      </c>
      <c r="AO110" s="4">
        <v>0</v>
      </c>
      <c r="AP110" s="3" t="s">
        <v>58</v>
      </c>
      <c r="AQ110" s="3" t="s">
        <v>69</v>
      </c>
      <c r="AR110" s="6" t="str">
        <f>HYPERLINK("http://catalog.hathitrust.org/Record/001556256","HathiTrust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HYPERLINK("https://creighton-primo.hosted.exlibrisgroup.com/primo-explore/search?tab=default_tab&amp;search_scope=EVERYTHING&amp;vid=01CRU&amp;lang=en_US&amp;offset=0&amp;query=any,contains,991001005019702656","Catalog Record")</f>
        <v>Catalog Record</v>
      </c>
      <c r="AT110" s="6" t="str">
        <f>HYPERLINK("http://www.worldcat.org/oclc/172447","WorldCat Record")</f>
        <v>WorldCat Record</v>
      </c>
      <c r="AU110" s="3" t="s">
        <v>1502</v>
      </c>
      <c r="AV110" s="3" t="s">
        <v>1503</v>
      </c>
      <c r="AW110" s="3" t="s">
        <v>1504</v>
      </c>
      <c r="AX110" s="3" t="s">
        <v>1504</v>
      </c>
      <c r="AY110" s="3" t="s">
        <v>1505</v>
      </c>
      <c r="AZ110" s="3" t="s">
        <v>74</v>
      </c>
      <c r="BC110" s="3" t="s">
        <v>1506</v>
      </c>
      <c r="BD110" s="3" t="s">
        <v>1507</v>
      </c>
    </row>
    <row r="111" spans="1:56" ht="40.5" customHeight="1" x14ac:dyDescent="0.25">
      <c r="A111" s="8" t="s">
        <v>58</v>
      </c>
      <c r="B111" s="2" t="s">
        <v>1508</v>
      </c>
      <c r="C111" s="2" t="s">
        <v>1509</v>
      </c>
      <c r="D111" s="2" t="s">
        <v>1510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L111" s="2" t="s">
        <v>1511</v>
      </c>
      <c r="M111" s="3" t="s">
        <v>201</v>
      </c>
      <c r="O111" s="3" t="s">
        <v>64</v>
      </c>
      <c r="P111" s="3" t="s">
        <v>113</v>
      </c>
      <c r="Q111" s="2" t="s">
        <v>1512</v>
      </c>
      <c r="R111" s="3" t="s">
        <v>66</v>
      </c>
      <c r="S111" s="4">
        <v>19</v>
      </c>
      <c r="T111" s="4">
        <v>19</v>
      </c>
      <c r="U111" s="5" t="s">
        <v>1513</v>
      </c>
      <c r="V111" s="5" t="s">
        <v>1513</v>
      </c>
      <c r="W111" s="5" t="s">
        <v>1514</v>
      </c>
      <c r="X111" s="5" t="s">
        <v>1514</v>
      </c>
      <c r="Y111" s="4">
        <v>171</v>
      </c>
      <c r="Z111" s="4">
        <v>82</v>
      </c>
      <c r="AA111" s="4">
        <v>135</v>
      </c>
      <c r="AB111" s="4">
        <v>1</v>
      </c>
      <c r="AC111" s="4">
        <v>1</v>
      </c>
      <c r="AD111" s="4">
        <v>0</v>
      </c>
      <c r="AE111" s="4">
        <v>1</v>
      </c>
      <c r="AF111" s="4">
        <v>0</v>
      </c>
      <c r="AG111" s="4">
        <v>1</v>
      </c>
      <c r="AH111" s="4">
        <v>0</v>
      </c>
      <c r="AI111" s="4">
        <v>0</v>
      </c>
      <c r="AJ111" s="4">
        <v>0</v>
      </c>
      <c r="AK111" s="4">
        <v>1</v>
      </c>
      <c r="AL111" s="4">
        <v>0</v>
      </c>
      <c r="AM111" s="4">
        <v>0</v>
      </c>
      <c r="AN111" s="4">
        <v>0</v>
      </c>
      <c r="AO111" s="4">
        <v>0</v>
      </c>
      <c r="AP111" s="3" t="s">
        <v>58</v>
      </c>
      <c r="AQ111" s="3" t="s">
        <v>58</v>
      </c>
      <c r="AS111" s="6" t="str">
        <f>HYPERLINK("https://creighton-primo.hosted.exlibrisgroup.com/primo-explore/search?tab=default_tab&amp;search_scope=EVERYTHING&amp;vid=01CRU&amp;lang=en_US&amp;offset=0&amp;query=any,contains,991002976309702656","Catalog Record")</f>
        <v>Catalog Record</v>
      </c>
      <c r="AT111" s="6" t="str">
        <f>HYPERLINK("http://www.worldcat.org/oclc/39912704","WorldCat Record")</f>
        <v>WorldCat Record</v>
      </c>
      <c r="AU111" s="3" t="s">
        <v>1515</v>
      </c>
      <c r="AV111" s="3" t="s">
        <v>1516</v>
      </c>
      <c r="AW111" s="3" t="s">
        <v>1517</v>
      </c>
      <c r="AX111" s="3" t="s">
        <v>1517</v>
      </c>
      <c r="AY111" s="3" t="s">
        <v>1518</v>
      </c>
      <c r="AZ111" s="3" t="s">
        <v>74</v>
      </c>
      <c r="BB111" s="3" t="s">
        <v>1519</v>
      </c>
      <c r="BC111" s="3" t="s">
        <v>1520</v>
      </c>
      <c r="BD111" s="3" t="s">
        <v>1521</v>
      </c>
    </row>
    <row r="112" spans="1:56" ht="40.5" customHeight="1" x14ac:dyDescent="0.25">
      <c r="A112" s="8" t="s">
        <v>58</v>
      </c>
      <c r="B112" s="2" t="s">
        <v>1522</v>
      </c>
      <c r="C112" s="2" t="s">
        <v>1523</v>
      </c>
      <c r="D112" s="2" t="s">
        <v>1524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1525</v>
      </c>
      <c r="L112" s="2" t="s">
        <v>1526</v>
      </c>
      <c r="M112" s="3" t="s">
        <v>285</v>
      </c>
      <c r="O112" s="3" t="s">
        <v>64</v>
      </c>
      <c r="P112" s="3" t="s">
        <v>113</v>
      </c>
      <c r="Q112" s="2" t="s">
        <v>1527</v>
      </c>
      <c r="R112" s="3" t="s">
        <v>66</v>
      </c>
      <c r="S112" s="4">
        <v>8</v>
      </c>
      <c r="T112" s="4">
        <v>8</v>
      </c>
      <c r="U112" s="5" t="s">
        <v>1528</v>
      </c>
      <c r="V112" s="5" t="s">
        <v>1528</v>
      </c>
      <c r="W112" s="5" t="s">
        <v>1529</v>
      </c>
      <c r="X112" s="5" t="s">
        <v>1529</v>
      </c>
      <c r="Y112" s="4">
        <v>160</v>
      </c>
      <c r="Z112" s="4">
        <v>83</v>
      </c>
      <c r="AA112" s="4">
        <v>107</v>
      </c>
      <c r="AB112" s="4">
        <v>1</v>
      </c>
      <c r="AC112" s="4">
        <v>1</v>
      </c>
      <c r="AD112" s="4">
        <v>2</v>
      </c>
      <c r="AE112" s="4">
        <v>2</v>
      </c>
      <c r="AF112" s="4">
        <v>0</v>
      </c>
      <c r="AG112" s="4">
        <v>0</v>
      </c>
      <c r="AH112" s="4">
        <v>0</v>
      </c>
      <c r="AI112" s="4">
        <v>0</v>
      </c>
      <c r="AJ112" s="4">
        <v>2</v>
      </c>
      <c r="AK112" s="4">
        <v>2</v>
      </c>
      <c r="AL112" s="4">
        <v>0</v>
      </c>
      <c r="AM112" s="4">
        <v>0</v>
      </c>
      <c r="AN112" s="4">
        <v>0</v>
      </c>
      <c r="AO112" s="4">
        <v>0</v>
      </c>
      <c r="AP112" s="3" t="s">
        <v>58</v>
      </c>
      <c r="AQ112" s="3" t="s">
        <v>69</v>
      </c>
      <c r="AR112" s="6" t="str">
        <f>HYPERLINK("http://catalog.hathitrust.org/Record/009923302","HathiTrust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HYPERLINK("https://creighton-primo.hosted.exlibrisgroup.com/primo-explore/search?tab=default_tab&amp;search_scope=EVERYTHING&amp;vid=01CRU&amp;lang=en_US&amp;offset=0&amp;query=any,contains,991002552479702656","Catalog Record")</f>
        <v>Catalog Record</v>
      </c>
      <c r="AT112" s="6" t="str">
        <f>HYPERLINK("http://www.worldcat.org/oclc/33163383","WorldCat Record")</f>
        <v>WorldCat Record</v>
      </c>
      <c r="AU112" s="3" t="s">
        <v>1530</v>
      </c>
      <c r="AV112" s="3" t="s">
        <v>1531</v>
      </c>
      <c r="AW112" s="3" t="s">
        <v>1532</v>
      </c>
      <c r="AX112" s="3" t="s">
        <v>1532</v>
      </c>
      <c r="AY112" s="3" t="s">
        <v>1533</v>
      </c>
      <c r="AZ112" s="3" t="s">
        <v>74</v>
      </c>
      <c r="BB112" s="3" t="s">
        <v>1534</v>
      </c>
      <c r="BC112" s="3" t="s">
        <v>1535</v>
      </c>
      <c r="BD112" s="3" t="s">
        <v>1536</v>
      </c>
    </row>
    <row r="113" spans="1:56" ht="40.5" customHeight="1" x14ac:dyDescent="0.25">
      <c r="A113" s="8" t="s">
        <v>58</v>
      </c>
      <c r="B113" s="2" t="s">
        <v>1537</v>
      </c>
      <c r="C113" s="2" t="s">
        <v>1538</v>
      </c>
      <c r="D113" s="2" t="s">
        <v>1539</v>
      </c>
      <c r="F113" s="3" t="s">
        <v>58</v>
      </c>
      <c r="G113" s="3" t="s">
        <v>59</v>
      </c>
      <c r="H113" s="3" t="s">
        <v>58</v>
      </c>
      <c r="I113" s="3" t="s">
        <v>69</v>
      </c>
      <c r="J113" s="3" t="s">
        <v>60</v>
      </c>
      <c r="K113" s="2" t="s">
        <v>1540</v>
      </c>
      <c r="L113" s="2" t="s">
        <v>1541</v>
      </c>
      <c r="M113" s="3" t="s">
        <v>1356</v>
      </c>
      <c r="N113" s="2" t="s">
        <v>156</v>
      </c>
      <c r="O113" s="3" t="s">
        <v>64</v>
      </c>
      <c r="P113" s="3" t="s">
        <v>83</v>
      </c>
      <c r="R113" s="3" t="s">
        <v>66</v>
      </c>
      <c r="S113" s="4">
        <v>2</v>
      </c>
      <c r="T113" s="4">
        <v>2</v>
      </c>
      <c r="U113" s="5" t="s">
        <v>951</v>
      </c>
      <c r="V113" s="5" t="s">
        <v>951</v>
      </c>
      <c r="W113" s="5" t="s">
        <v>100</v>
      </c>
      <c r="X113" s="5" t="s">
        <v>100</v>
      </c>
      <c r="Y113" s="4">
        <v>613</v>
      </c>
      <c r="Z113" s="4">
        <v>559</v>
      </c>
      <c r="AA113" s="4">
        <v>814</v>
      </c>
      <c r="AB113" s="4">
        <v>5</v>
      </c>
      <c r="AC113" s="4">
        <v>9</v>
      </c>
      <c r="AD113" s="4">
        <v>23</v>
      </c>
      <c r="AE113" s="4">
        <v>38</v>
      </c>
      <c r="AF113" s="4">
        <v>11</v>
      </c>
      <c r="AG113" s="4">
        <v>20</v>
      </c>
      <c r="AH113" s="4">
        <v>5</v>
      </c>
      <c r="AI113" s="4">
        <v>6</v>
      </c>
      <c r="AJ113" s="4">
        <v>9</v>
      </c>
      <c r="AK113" s="4">
        <v>15</v>
      </c>
      <c r="AL113" s="4">
        <v>4</v>
      </c>
      <c r="AM113" s="4">
        <v>7</v>
      </c>
      <c r="AN113" s="4">
        <v>0</v>
      </c>
      <c r="AO113" s="4">
        <v>0</v>
      </c>
      <c r="AP113" s="3" t="s">
        <v>58</v>
      </c>
      <c r="AQ113" s="3" t="s">
        <v>58</v>
      </c>
      <c r="AS113" s="6" t="str">
        <f>HYPERLINK("https://creighton-primo.hosted.exlibrisgroup.com/primo-explore/search?tab=default_tab&amp;search_scope=EVERYTHING&amp;vid=01CRU&amp;lang=en_US&amp;offset=0&amp;query=any,contains,991005437929702656","Catalog Record")</f>
        <v>Catalog Record</v>
      </c>
      <c r="AT113" s="6" t="str">
        <f>HYPERLINK("http://www.worldcat.org/oclc/5628","WorldCat Record")</f>
        <v>WorldCat Record</v>
      </c>
      <c r="AU113" s="3" t="s">
        <v>1542</v>
      </c>
      <c r="AV113" s="3" t="s">
        <v>1543</v>
      </c>
      <c r="AW113" s="3" t="s">
        <v>1544</v>
      </c>
      <c r="AX113" s="3" t="s">
        <v>1544</v>
      </c>
      <c r="AY113" s="3" t="s">
        <v>1545</v>
      </c>
      <c r="AZ113" s="3" t="s">
        <v>74</v>
      </c>
      <c r="BC113" s="3" t="s">
        <v>1546</v>
      </c>
      <c r="BD113" s="3" t="s">
        <v>1547</v>
      </c>
    </row>
    <row r="114" spans="1:56" ht="40.5" customHeight="1" x14ac:dyDescent="0.25">
      <c r="A114" s="8" t="s">
        <v>58</v>
      </c>
      <c r="B114" s="2" t="s">
        <v>1548</v>
      </c>
      <c r="C114" s="2" t="s">
        <v>1549</v>
      </c>
      <c r="D114" s="2" t="s">
        <v>1550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1551</v>
      </c>
      <c r="L114" s="2" t="s">
        <v>1552</v>
      </c>
      <c r="M114" s="3" t="s">
        <v>1356</v>
      </c>
      <c r="O114" s="3" t="s">
        <v>64</v>
      </c>
      <c r="P114" s="3" t="s">
        <v>1553</v>
      </c>
      <c r="R114" s="3" t="s">
        <v>66</v>
      </c>
      <c r="S114" s="4">
        <v>1</v>
      </c>
      <c r="T114" s="4">
        <v>1</v>
      </c>
      <c r="U114" s="5" t="s">
        <v>1554</v>
      </c>
      <c r="V114" s="5" t="s">
        <v>1554</v>
      </c>
      <c r="W114" s="5" t="s">
        <v>100</v>
      </c>
      <c r="X114" s="5" t="s">
        <v>100</v>
      </c>
      <c r="Y114" s="4">
        <v>88</v>
      </c>
      <c r="Z114" s="4">
        <v>60</v>
      </c>
      <c r="AA114" s="4">
        <v>62</v>
      </c>
      <c r="AB114" s="4">
        <v>1</v>
      </c>
      <c r="AC114" s="4">
        <v>1</v>
      </c>
      <c r="AD114" s="4">
        <v>1</v>
      </c>
      <c r="AE114" s="4">
        <v>1</v>
      </c>
      <c r="AF114" s="4">
        <v>0</v>
      </c>
      <c r="AG114" s="4">
        <v>0</v>
      </c>
      <c r="AH114" s="4">
        <v>1</v>
      </c>
      <c r="AI114" s="4">
        <v>1</v>
      </c>
      <c r="AJ114" s="4">
        <v>1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3" t="s">
        <v>58</v>
      </c>
      <c r="AQ114" s="3" t="s">
        <v>69</v>
      </c>
      <c r="AR114" s="6" t="str">
        <f>HYPERLINK("http://catalog.hathitrust.org/Record/001556330","HathiTrust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HYPERLINK("https://creighton-primo.hosted.exlibrisgroup.com/primo-explore/search?tab=default_tab&amp;search_scope=EVERYTHING&amp;vid=01CRU&amp;lang=en_US&amp;offset=0&amp;query=any,contains,991002765899702656","Catalog Record")</f>
        <v>Catalog Record</v>
      </c>
      <c r="AT114" s="6" t="str">
        <f>HYPERLINK("http://www.worldcat.org/oclc/433737","WorldCat Record")</f>
        <v>WorldCat Record</v>
      </c>
      <c r="AU114" s="3" t="s">
        <v>1555</v>
      </c>
      <c r="AV114" s="3" t="s">
        <v>1556</v>
      </c>
      <c r="AW114" s="3" t="s">
        <v>1557</v>
      </c>
      <c r="AX114" s="3" t="s">
        <v>1557</v>
      </c>
      <c r="AY114" s="3" t="s">
        <v>1558</v>
      </c>
      <c r="AZ114" s="3" t="s">
        <v>74</v>
      </c>
      <c r="BC114" s="3" t="s">
        <v>1559</v>
      </c>
      <c r="BD114" s="3" t="s">
        <v>1560</v>
      </c>
    </row>
    <row r="115" spans="1:56" ht="40.5" customHeight="1" x14ac:dyDescent="0.25">
      <c r="A115" s="8" t="s">
        <v>58</v>
      </c>
      <c r="B115" s="2" t="s">
        <v>1561</v>
      </c>
      <c r="C115" s="2" t="s">
        <v>1562</v>
      </c>
      <c r="D115" s="2" t="s">
        <v>1563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L115" s="2" t="s">
        <v>1564</v>
      </c>
      <c r="M115" s="3" t="s">
        <v>82</v>
      </c>
      <c r="O115" s="3" t="s">
        <v>64</v>
      </c>
      <c r="P115" s="3" t="s">
        <v>172</v>
      </c>
      <c r="Q115" s="2" t="s">
        <v>1565</v>
      </c>
      <c r="R115" s="3" t="s">
        <v>66</v>
      </c>
      <c r="S115" s="4">
        <v>3</v>
      </c>
      <c r="T115" s="4">
        <v>3</v>
      </c>
      <c r="U115" s="5" t="s">
        <v>1488</v>
      </c>
      <c r="V115" s="5" t="s">
        <v>1488</v>
      </c>
      <c r="W115" s="5" t="s">
        <v>68</v>
      </c>
      <c r="X115" s="5" t="s">
        <v>68</v>
      </c>
      <c r="Y115" s="4">
        <v>232</v>
      </c>
      <c r="Z115" s="4">
        <v>199</v>
      </c>
      <c r="AA115" s="4">
        <v>223</v>
      </c>
      <c r="AB115" s="4">
        <v>2</v>
      </c>
      <c r="AC115" s="4">
        <v>2</v>
      </c>
      <c r="AD115" s="4">
        <v>7</v>
      </c>
      <c r="AE115" s="4">
        <v>7</v>
      </c>
      <c r="AF115" s="4">
        <v>0</v>
      </c>
      <c r="AG115" s="4">
        <v>0</v>
      </c>
      <c r="AH115" s="4">
        <v>4</v>
      </c>
      <c r="AI115" s="4">
        <v>4</v>
      </c>
      <c r="AJ115" s="4">
        <v>5</v>
      </c>
      <c r="AK115" s="4">
        <v>5</v>
      </c>
      <c r="AL115" s="4">
        <v>1</v>
      </c>
      <c r="AM115" s="4">
        <v>1</v>
      </c>
      <c r="AN115" s="4">
        <v>0</v>
      </c>
      <c r="AO115" s="4">
        <v>0</v>
      </c>
      <c r="AP115" s="3" t="s">
        <v>58</v>
      </c>
      <c r="AQ115" s="3" t="s">
        <v>58</v>
      </c>
      <c r="AS115" s="6" t="str">
        <f>HYPERLINK("https://creighton-primo.hosted.exlibrisgroup.com/primo-explore/search?tab=default_tab&amp;search_scope=EVERYTHING&amp;vid=01CRU&amp;lang=en_US&amp;offset=0&amp;query=any,contains,991004809149702656","Catalog Record")</f>
        <v>Catalog Record</v>
      </c>
      <c r="AT115" s="6" t="str">
        <f>HYPERLINK("http://www.worldcat.org/oclc/5264764","WorldCat Record")</f>
        <v>WorldCat Record</v>
      </c>
      <c r="AU115" s="3" t="s">
        <v>1566</v>
      </c>
      <c r="AV115" s="3" t="s">
        <v>1567</v>
      </c>
      <c r="AW115" s="3" t="s">
        <v>1568</v>
      </c>
      <c r="AX115" s="3" t="s">
        <v>1568</v>
      </c>
      <c r="AY115" s="3" t="s">
        <v>1569</v>
      </c>
      <c r="AZ115" s="3" t="s">
        <v>74</v>
      </c>
      <c r="BB115" s="3" t="s">
        <v>1570</v>
      </c>
      <c r="BC115" s="3" t="s">
        <v>1571</v>
      </c>
      <c r="BD115" s="3" t="s">
        <v>1572</v>
      </c>
    </row>
    <row r="116" spans="1:56" ht="40.5" customHeight="1" x14ac:dyDescent="0.25">
      <c r="A116" s="8" t="s">
        <v>58</v>
      </c>
      <c r="B116" s="2" t="s">
        <v>1573</v>
      </c>
      <c r="C116" s="2" t="s">
        <v>1574</v>
      </c>
      <c r="D116" s="2" t="s">
        <v>1575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L116" s="2" t="s">
        <v>1576</v>
      </c>
      <c r="M116" s="3" t="s">
        <v>480</v>
      </c>
      <c r="O116" s="3" t="s">
        <v>64</v>
      </c>
      <c r="P116" s="3" t="s">
        <v>186</v>
      </c>
      <c r="Q116" s="2" t="s">
        <v>1577</v>
      </c>
      <c r="R116" s="3" t="s">
        <v>66</v>
      </c>
      <c r="S116" s="4">
        <v>11</v>
      </c>
      <c r="T116" s="4">
        <v>11</v>
      </c>
      <c r="U116" s="5" t="s">
        <v>1578</v>
      </c>
      <c r="V116" s="5" t="s">
        <v>1578</v>
      </c>
      <c r="W116" s="5" t="s">
        <v>1579</v>
      </c>
      <c r="X116" s="5" t="s">
        <v>1579</v>
      </c>
      <c r="Y116" s="4">
        <v>522</v>
      </c>
      <c r="Z116" s="4">
        <v>407</v>
      </c>
      <c r="AA116" s="4">
        <v>408</v>
      </c>
      <c r="AB116" s="4">
        <v>4</v>
      </c>
      <c r="AC116" s="4">
        <v>4</v>
      </c>
      <c r="AD116" s="4">
        <v>19</v>
      </c>
      <c r="AE116" s="4">
        <v>19</v>
      </c>
      <c r="AF116" s="4">
        <v>9</v>
      </c>
      <c r="AG116" s="4">
        <v>9</v>
      </c>
      <c r="AH116" s="4">
        <v>6</v>
      </c>
      <c r="AI116" s="4">
        <v>6</v>
      </c>
      <c r="AJ116" s="4">
        <v>8</v>
      </c>
      <c r="AK116" s="4">
        <v>8</v>
      </c>
      <c r="AL116" s="4">
        <v>3</v>
      </c>
      <c r="AM116" s="4">
        <v>3</v>
      </c>
      <c r="AN116" s="4">
        <v>0</v>
      </c>
      <c r="AO116" s="4">
        <v>0</v>
      </c>
      <c r="AP116" s="3" t="s">
        <v>58</v>
      </c>
      <c r="AQ116" s="3" t="s">
        <v>69</v>
      </c>
      <c r="AR116" s="6" t="str">
        <f>HYPERLINK("http://catalog.hathitrust.org/Record/002064512","HathiTrust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HYPERLINK("https://creighton-primo.hosted.exlibrisgroup.com/primo-explore/search?tab=default_tab&amp;search_scope=EVERYTHING&amp;vid=01CRU&amp;lang=en_US&amp;offset=0&amp;query=any,contains,991001384939702656","Catalog Record")</f>
        <v>Catalog Record</v>
      </c>
      <c r="AT116" s="6" t="str">
        <f>HYPERLINK("http://www.worldcat.org/oclc/18715347","WorldCat Record")</f>
        <v>WorldCat Record</v>
      </c>
      <c r="AU116" s="3" t="s">
        <v>1580</v>
      </c>
      <c r="AV116" s="3" t="s">
        <v>1581</v>
      </c>
      <c r="AW116" s="3" t="s">
        <v>1582</v>
      </c>
      <c r="AX116" s="3" t="s">
        <v>1582</v>
      </c>
      <c r="AY116" s="3" t="s">
        <v>1583</v>
      </c>
      <c r="AZ116" s="3" t="s">
        <v>74</v>
      </c>
      <c r="BB116" s="3" t="s">
        <v>1584</v>
      </c>
      <c r="BC116" s="3" t="s">
        <v>1585</v>
      </c>
      <c r="BD116" s="3" t="s">
        <v>1586</v>
      </c>
    </row>
    <row r="117" spans="1:56" ht="40.5" customHeight="1" x14ac:dyDescent="0.25">
      <c r="A117" s="8" t="s">
        <v>58</v>
      </c>
      <c r="B117" s="2" t="s">
        <v>1587</v>
      </c>
      <c r="C117" s="2" t="s">
        <v>1588</v>
      </c>
      <c r="D117" s="2" t="s">
        <v>1589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L117" s="2" t="s">
        <v>1590</v>
      </c>
      <c r="M117" s="3" t="s">
        <v>185</v>
      </c>
      <c r="O117" s="3" t="s">
        <v>64</v>
      </c>
      <c r="P117" s="3" t="s">
        <v>186</v>
      </c>
      <c r="R117" s="3" t="s">
        <v>66</v>
      </c>
      <c r="S117" s="4">
        <v>14</v>
      </c>
      <c r="T117" s="4">
        <v>14</v>
      </c>
      <c r="U117" s="5" t="s">
        <v>1591</v>
      </c>
      <c r="V117" s="5" t="s">
        <v>1591</v>
      </c>
      <c r="W117" s="5" t="s">
        <v>1592</v>
      </c>
      <c r="X117" s="5" t="s">
        <v>1592</v>
      </c>
      <c r="Y117" s="4">
        <v>358</v>
      </c>
      <c r="Z117" s="4">
        <v>287</v>
      </c>
      <c r="AA117" s="4">
        <v>288</v>
      </c>
      <c r="AB117" s="4">
        <v>3</v>
      </c>
      <c r="AC117" s="4">
        <v>3</v>
      </c>
      <c r="AD117" s="4">
        <v>15</v>
      </c>
      <c r="AE117" s="4">
        <v>15</v>
      </c>
      <c r="AF117" s="4">
        <v>8</v>
      </c>
      <c r="AG117" s="4">
        <v>8</v>
      </c>
      <c r="AH117" s="4">
        <v>4</v>
      </c>
      <c r="AI117" s="4">
        <v>4</v>
      </c>
      <c r="AJ117" s="4">
        <v>7</v>
      </c>
      <c r="AK117" s="4">
        <v>7</v>
      </c>
      <c r="AL117" s="4">
        <v>2</v>
      </c>
      <c r="AM117" s="4">
        <v>2</v>
      </c>
      <c r="AN117" s="4">
        <v>0</v>
      </c>
      <c r="AO117" s="4">
        <v>0</v>
      </c>
      <c r="AP117" s="3" t="s">
        <v>58</v>
      </c>
      <c r="AQ117" s="3" t="s">
        <v>58</v>
      </c>
      <c r="AS117" s="6" t="str">
        <f>HYPERLINK("https://creighton-primo.hosted.exlibrisgroup.com/primo-explore/search?tab=default_tab&amp;search_scope=EVERYTHING&amp;vid=01CRU&amp;lang=en_US&amp;offset=0&amp;query=any,contains,991002102379702656","Catalog Record")</f>
        <v>Catalog Record</v>
      </c>
      <c r="AT117" s="6" t="str">
        <f>HYPERLINK("http://www.worldcat.org/oclc/26974943","WorldCat Record")</f>
        <v>WorldCat Record</v>
      </c>
      <c r="AU117" s="3" t="s">
        <v>1593</v>
      </c>
      <c r="AV117" s="3" t="s">
        <v>1594</v>
      </c>
      <c r="AW117" s="3" t="s">
        <v>1595</v>
      </c>
      <c r="AX117" s="3" t="s">
        <v>1595</v>
      </c>
      <c r="AY117" s="3" t="s">
        <v>1596</v>
      </c>
      <c r="AZ117" s="3" t="s">
        <v>74</v>
      </c>
      <c r="BB117" s="3" t="s">
        <v>1597</v>
      </c>
      <c r="BC117" s="3" t="s">
        <v>1598</v>
      </c>
      <c r="BD117" s="3" t="s">
        <v>1599</v>
      </c>
    </row>
    <row r="118" spans="1:56" ht="40.5" customHeight="1" x14ac:dyDescent="0.25">
      <c r="A118" s="8" t="s">
        <v>58</v>
      </c>
      <c r="B118" s="2" t="s">
        <v>1600</v>
      </c>
      <c r="C118" s="2" t="s">
        <v>1601</v>
      </c>
      <c r="D118" s="2" t="s">
        <v>1602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1603</v>
      </c>
      <c r="L118" s="2" t="s">
        <v>1604</v>
      </c>
      <c r="M118" s="3" t="s">
        <v>1605</v>
      </c>
      <c r="N118" s="2" t="s">
        <v>1606</v>
      </c>
      <c r="O118" s="3" t="s">
        <v>64</v>
      </c>
      <c r="P118" s="3" t="s">
        <v>1607</v>
      </c>
      <c r="R118" s="3" t="s">
        <v>66</v>
      </c>
      <c r="S118" s="4">
        <v>3</v>
      </c>
      <c r="T118" s="4">
        <v>3</v>
      </c>
      <c r="U118" s="5" t="s">
        <v>1488</v>
      </c>
      <c r="V118" s="5" t="s">
        <v>1488</v>
      </c>
      <c r="W118" s="5" t="s">
        <v>1608</v>
      </c>
      <c r="X118" s="5" t="s">
        <v>1608</v>
      </c>
      <c r="Y118" s="4">
        <v>240</v>
      </c>
      <c r="Z118" s="4">
        <v>166</v>
      </c>
      <c r="AA118" s="4">
        <v>308</v>
      </c>
      <c r="AB118" s="4">
        <v>1</v>
      </c>
      <c r="AC118" s="4">
        <v>2</v>
      </c>
      <c r="AD118" s="4">
        <v>3</v>
      </c>
      <c r="AE118" s="4">
        <v>7</v>
      </c>
      <c r="AF118" s="4">
        <v>1</v>
      </c>
      <c r="AG118" s="4">
        <v>1</v>
      </c>
      <c r="AH118" s="4">
        <v>0</v>
      </c>
      <c r="AI118" s="4">
        <v>0</v>
      </c>
      <c r="AJ118" s="4">
        <v>3</v>
      </c>
      <c r="AK118" s="4">
        <v>6</v>
      </c>
      <c r="AL118" s="4">
        <v>0</v>
      </c>
      <c r="AM118" s="4">
        <v>1</v>
      </c>
      <c r="AN118" s="4">
        <v>0</v>
      </c>
      <c r="AO118" s="4">
        <v>0</v>
      </c>
      <c r="AP118" s="3" t="s">
        <v>58</v>
      </c>
      <c r="AQ118" s="3" t="s">
        <v>69</v>
      </c>
      <c r="AR118" s="6" t="str">
        <f>HYPERLINK("http://catalog.hathitrust.org/Record/002077418","HathiTrust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HYPERLINK("https://creighton-primo.hosted.exlibrisgroup.com/primo-explore/search?tab=default_tab&amp;search_scope=EVERYTHING&amp;vid=01CRU&amp;lang=en_US&amp;offset=0&amp;query=any,contains,991000625829702656","Catalog Record")</f>
        <v>Catalog Record</v>
      </c>
      <c r="AT118" s="6" t="str">
        <f>HYPERLINK("http://www.worldcat.org/oclc/104256","WorldCat Record")</f>
        <v>WorldCat Record</v>
      </c>
      <c r="AU118" s="3" t="s">
        <v>1609</v>
      </c>
      <c r="AV118" s="3" t="s">
        <v>1610</v>
      </c>
      <c r="AW118" s="3" t="s">
        <v>1611</v>
      </c>
      <c r="AX118" s="3" t="s">
        <v>1611</v>
      </c>
      <c r="AY118" s="3" t="s">
        <v>1612</v>
      </c>
      <c r="AZ118" s="3" t="s">
        <v>74</v>
      </c>
      <c r="BB118" s="3" t="s">
        <v>1613</v>
      </c>
      <c r="BC118" s="3" t="s">
        <v>1614</v>
      </c>
      <c r="BD118" s="3" t="s">
        <v>1615</v>
      </c>
    </row>
    <row r="119" spans="1:56" ht="40.5" customHeight="1" x14ac:dyDescent="0.25">
      <c r="A119" s="8" t="s">
        <v>58</v>
      </c>
      <c r="B119" s="2" t="s">
        <v>1616</v>
      </c>
      <c r="C119" s="2" t="s">
        <v>1617</v>
      </c>
      <c r="D119" s="2" t="s">
        <v>1618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1619</v>
      </c>
      <c r="L119" s="2" t="s">
        <v>1620</v>
      </c>
      <c r="M119" s="3" t="s">
        <v>870</v>
      </c>
      <c r="O119" s="3" t="s">
        <v>64</v>
      </c>
      <c r="P119" s="3" t="s">
        <v>83</v>
      </c>
      <c r="R119" s="3" t="s">
        <v>66</v>
      </c>
      <c r="S119" s="4">
        <v>3</v>
      </c>
      <c r="T119" s="4">
        <v>3</v>
      </c>
      <c r="U119" s="5" t="s">
        <v>1488</v>
      </c>
      <c r="V119" s="5" t="s">
        <v>1488</v>
      </c>
      <c r="W119" s="5" t="s">
        <v>68</v>
      </c>
      <c r="X119" s="5" t="s">
        <v>68</v>
      </c>
      <c r="Y119" s="4">
        <v>299</v>
      </c>
      <c r="Z119" s="4">
        <v>221</v>
      </c>
      <c r="AA119" s="4">
        <v>242</v>
      </c>
      <c r="AB119" s="4">
        <v>1</v>
      </c>
      <c r="AC119" s="4">
        <v>1</v>
      </c>
      <c r="AD119" s="4">
        <v>5</v>
      </c>
      <c r="AE119" s="4">
        <v>5</v>
      </c>
      <c r="AF119" s="4">
        <v>3</v>
      </c>
      <c r="AG119" s="4">
        <v>3</v>
      </c>
      <c r="AH119" s="4">
        <v>3</v>
      </c>
      <c r="AI119" s="4">
        <v>3</v>
      </c>
      <c r="AJ119" s="4">
        <v>3</v>
      </c>
      <c r="AK119" s="4">
        <v>3</v>
      </c>
      <c r="AL119" s="4">
        <v>0</v>
      </c>
      <c r="AM119" s="4">
        <v>0</v>
      </c>
      <c r="AN119" s="4">
        <v>0</v>
      </c>
      <c r="AO119" s="4">
        <v>0</v>
      </c>
      <c r="AP119" s="3" t="s">
        <v>58</v>
      </c>
      <c r="AQ119" s="3" t="s">
        <v>69</v>
      </c>
      <c r="AR119" s="6" t="str">
        <f>HYPERLINK("http://catalog.hathitrust.org/Record/000762187","HathiTrust Record")</f>
        <v>HathiTrust Record</v>
      </c>
      <c r="AS119" s="6" t="str">
        <f>HYPERLINK("https://creighton-primo.hosted.exlibrisgroup.com/primo-explore/search?tab=default_tab&amp;search_scope=EVERYTHING&amp;vid=01CRU&amp;lang=en_US&amp;offset=0&amp;query=any,contains,991005131549702656","Catalog Record")</f>
        <v>Catalog Record</v>
      </c>
      <c r="AT119" s="6" t="str">
        <f>HYPERLINK("http://www.worldcat.org/oclc/7572898","WorldCat Record")</f>
        <v>WorldCat Record</v>
      </c>
      <c r="AU119" s="3" t="s">
        <v>1621</v>
      </c>
      <c r="AV119" s="3" t="s">
        <v>1622</v>
      </c>
      <c r="AW119" s="3" t="s">
        <v>1623</v>
      </c>
      <c r="AX119" s="3" t="s">
        <v>1623</v>
      </c>
      <c r="AY119" s="3" t="s">
        <v>1624</v>
      </c>
      <c r="AZ119" s="3" t="s">
        <v>74</v>
      </c>
      <c r="BB119" s="3" t="s">
        <v>1625</v>
      </c>
      <c r="BC119" s="3" t="s">
        <v>1626</v>
      </c>
      <c r="BD119" s="3" t="s">
        <v>1627</v>
      </c>
    </row>
    <row r="120" spans="1:56" ht="40.5" customHeight="1" x14ac:dyDescent="0.25">
      <c r="A120" s="8" t="s">
        <v>58</v>
      </c>
      <c r="B120" s="2" t="s">
        <v>1628</v>
      </c>
      <c r="C120" s="2" t="s">
        <v>1629</v>
      </c>
      <c r="D120" s="2" t="s">
        <v>1630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L120" s="2" t="s">
        <v>1631</v>
      </c>
      <c r="M120" s="3" t="s">
        <v>1632</v>
      </c>
      <c r="N120" s="2" t="s">
        <v>271</v>
      </c>
      <c r="O120" s="3" t="s">
        <v>64</v>
      </c>
      <c r="P120" s="3" t="s">
        <v>113</v>
      </c>
      <c r="Q120" s="2" t="s">
        <v>1633</v>
      </c>
      <c r="R120" s="3" t="s">
        <v>66</v>
      </c>
      <c r="S120" s="4">
        <v>3</v>
      </c>
      <c r="T120" s="4">
        <v>3</v>
      </c>
      <c r="U120" s="5" t="s">
        <v>1222</v>
      </c>
      <c r="V120" s="5" t="s">
        <v>1222</v>
      </c>
      <c r="W120" s="5" t="s">
        <v>68</v>
      </c>
      <c r="X120" s="5" t="s">
        <v>68</v>
      </c>
      <c r="Y120" s="4">
        <v>138</v>
      </c>
      <c r="Z120" s="4">
        <v>78</v>
      </c>
      <c r="AA120" s="4">
        <v>105</v>
      </c>
      <c r="AB120" s="4">
        <v>1</v>
      </c>
      <c r="AC120" s="4">
        <v>1</v>
      </c>
      <c r="AD120" s="4">
        <v>2</v>
      </c>
      <c r="AE120" s="4">
        <v>3</v>
      </c>
      <c r="AF120" s="4">
        <v>0</v>
      </c>
      <c r="AG120" s="4">
        <v>0</v>
      </c>
      <c r="AH120" s="4">
        <v>1</v>
      </c>
      <c r="AI120" s="4">
        <v>1</v>
      </c>
      <c r="AJ120" s="4">
        <v>2</v>
      </c>
      <c r="AK120" s="4">
        <v>3</v>
      </c>
      <c r="AL120" s="4">
        <v>0</v>
      </c>
      <c r="AM120" s="4">
        <v>0</v>
      </c>
      <c r="AN120" s="4">
        <v>0</v>
      </c>
      <c r="AO120" s="4">
        <v>0</v>
      </c>
      <c r="AP120" s="3" t="s">
        <v>58</v>
      </c>
      <c r="AQ120" s="3" t="s">
        <v>69</v>
      </c>
      <c r="AR120" s="6" t="str">
        <f>HYPERLINK("http://catalog.hathitrust.org/Record/008332822","HathiTrust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HYPERLINK("https://creighton-primo.hosted.exlibrisgroup.com/primo-explore/search?tab=default_tab&amp;search_scope=EVERYTHING&amp;vid=01CRU&amp;lang=en_US&amp;offset=0&amp;query=any,contains,991001425289702656","Catalog Record")</f>
        <v>Catalog Record</v>
      </c>
      <c r="AT120" s="6" t="str">
        <f>HYPERLINK("http://www.worldcat.org/oclc/18998005","WorldCat Record")</f>
        <v>WorldCat Record</v>
      </c>
      <c r="AU120" s="3" t="s">
        <v>1634</v>
      </c>
      <c r="AV120" s="3" t="s">
        <v>1635</v>
      </c>
      <c r="AW120" s="3" t="s">
        <v>1636</v>
      </c>
      <c r="AX120" s="3" t="s">
        <v>1636</v>
      </c>
      <c r="AY120" s="3" t="s">
        <v>1637</v>
      </c>
      <c r="AZ120" s="3" t="s">
        <v>74</v>
      </c>
      <c r="BC120" s="3" t="s">
        <v>1638</v>
      </c>
      <c r="BD120" s="3" t="s">
        <v>1639</v>
      </c>
    </row>
    <row r="121" spans="1:56" ht="40.5" customHeight="1" x14ac:dyDescent="0.25">
      <c r="A121" s="8" t="s">
        <v>58</v>
      </c>
      <c r="B121" s="2" t="s">
        <v>1640</v>
      </c>
      <c r="C121" s="2" t="s">
        <v>1641</v>
      </c>
      <c r="D121" s="2" t="s">
        <v>1642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1643</v>
      </c>
      <c r="L121" s="2" t="s">
        <v>1644</v>
      </c>
      <c r="M121" s="3" t="s">
        <v>270</v>
      </c>
      <c r="O121" s="3" t="s">
        <v>64</v>
      </c>
      <c r="P121" s="3" t="s">
        <v>113</v>
      </c>
      <c r="R121" s="3" t="s">
        <v>66</v>
      </c>
      <c r="S121" s="4">
        <v>4</v>
      </c>
      <c r="T121" s="4">
        <v>4</v>
      </c>
      <c r="U121" s="5" t="s">
        <v>1645</v>
      </c>
      <c r="V121" s="5" t="s">
        <v>1645</v>
      </c>
      <c r="W121" s="5" t="s">
        <v>663</v>
      </c>
      <c r="X121" s="5" t="s">
        <v>663</v>
      </c>
      <c r="Y121" s="4">
        <v>217</v>
      </c>
      <c r="Z121" s="4">
        <v>129</v>
      </c>
      <c r="AA121" s="4">
        <v>196</v>
      </c>
      <c r="AB121" s="4">
        <v>1</v>
      </c>
      <c r="AC121" s="4">
        <v>1</v>
      </c>
      <c r="AD121" s="4">
        <v>3</v>
      </c>
      <c r="AE121" s="4">
        <v>4</v>
      </c>
      <c r="AF121" s="4">
        <v>0</v>
      </c>
      <c r="AG121" s="4">
        <v>1</v>
      </c>
      <c r="AH121" s="4">
        <v>1</v>
      </c>
      <c r="AI121" s="4">
        <v>2</v>
      </c>
      <c r="AJ121" s="4">
        <v>3</v>
      </c>
      <c r="AK121" s="4">
        <v>3</v>
      </c>
      <c r="AL121" s="4">
        <v>0</v>
      </c>
      <c r="AM121" s="4">
        <v>0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HYPERLINK("https://creighton-primo.hosted.exlibrisgroup.com/primo-explore/search?tab=default_tab&amp;search_scope=EVERYTHING&amp;vid=01CRU&amp;lang=en_US&amp;offset=0&amp;query=any,contains,991002556329702656","Catalog Record")</f>
        <v>Catalog Record</v>
      </c>
      <c r="AT121" s="6" t="str">
        <f>HYPERLINK("http://www.worldcat.org/oclc/33243169","WorldCat Record")</f>
        <v>WorldCat Record</v>
      </c>
      <c r="AU121" s="3" t="s">
        <v>1646</v>
      </c>
      <c r="AV121" s="3" t="s">
        <v>1647</v>
      </c>
      <c r="AW121" s="3" t="s">
        <v>1648</v>
      </c>
      <c r="AX121" s="3" t="s">
        <v>1648</v>
      </c>
      <c r="AY121" s="3" t="s">
        <v>1649</v>
      </c>
      <c r="AZ121" s="3" t="s">
        <v>74</v>
      </c>
      <c r="BB121" s="3" t="s">
        <v>1650</v>
      </c>
      <c r="BC121" s="3" t="s">
        <v>1651</v>
      </c>
      <c r="BD121" s="3" t="s">
        <v>1652</v>
      </c>
    </row>
    <row r="122" spans="1:56" ht="40.5" customHeight="1" x14ac:dyDescent="0.25">
      <c r="A122" s="8" t="s">
        <v>58</v>
      </c>
      <c r="B122" s="2" t="s">
        <v>1653</v>
      </c>
      <c r="C122" s="2" t="s">
        <v>1654</v>
      </c>
      <c r="D122" s="2" t="s">
        <v>1655</v>
      </c>
      <c r="E122" s="3" t="s">
        <v>1656</v>
      </c>
      <c r="F122" s="3" t="s">
        <v>69</v>
      </c>
      <c r="G122" s="3" t="s">
        <v>59</v>
      </c>
      <c r="H122" s="3" t="s">
        <v>58</v>
      </c>
      <c r="I122" s="3" t="s">
        <v>58</v>
      </c>
      <c r="J122" s="3" t="s">
        <v>60</v>
      </c>
      <c r="L122" s="2" t="s">
        <v>1657</v>
      </c>
      <c r="M122" s="3" t="s">
        <v>676</v>
      </c>
      <c r="N122" s="2" t="s">
        <v>271</v>
      </c>
      <c r="O122" s="3" t="s">
        <v>64</v>
      </c>
      <c r="P122" s="3" t="s">
        <v>83</v>
      </c>
      <c r="R122" s="3" t="s">
        <v>66</v>
      </c>
      <c r="S122" s="4">
        <v>1</v>
      </c>
      <c r="T122" s="4">
        <v>8</v>
      </c>
      <c r="U122" s="5" t="s">
        <v>1003</v>
      </c>
      <c r="V122" s="5" t="s">
        <v>1003</v>
      </c>
      <c r="W122" s="5" t="s">
        <v>1003</v>
      </c>
      <c r="X122" s="5" t="s">
        <v>1003</v>
      </c>
      <c r="Y122" s="4">
        <v>1135</v>
      </c>
      <c r="Z122" s="4">
        <v>1001</v>
      </c>
      <c r="AA122" s="4">
        <v>1102</v>
      </c>
      <c r="AB122" s="4">
        <v>11</v>
      </c>
      <c r="AC122" s="4">
        <v>12</v>
      </c>
      <c r="AD122" s="4">
        <v>33</v>
      </c>
      <c r="AE122" s="4">
        <v>36</v>
      </c>
      <c r="AF122" s="4">
        <v>14</v>
      </c>
      <c r="AG122" s="4">
        <v>15</v>
      </c>
      <c r="AH122" s="4">
        <v>9</v>
      </c>
      <c r="AI122" s="4">
        <v>10</v>
      </c>
      <c r="AJ122" s="4">
        <v>12</v>
      </c>
      <c r="AK122" s="4">
        <v>15</v>
      </c>
      <c r="AL122" s="4">
        <v>8</v>
      </c>
      <c r="AM122" s="4">
        <v>8</v>
      </c>
      <c r="AN122" s="4">
        <v>0</v>
      </c>
      <c r="AO122" s="4">
        <v>0</v>
      </c>
      <c r="AP122" s="3" t="s">
        <v>58</v>
      </c>
      <c r="AQ122" s="3" t="s">
        <v>69</v>
      </c>
      <c r="AR122" s="6" t="str">
        <f>HYPERLINK("http://catalog.hathitrust.org/Record/004597303","HathiTrust Record")</f>
        <v>HathiTrust Record</v>
      </c>
      <c r="AS122" s="6" t="str">
        <f>HYPERLINK("https://creighton-primo.hosted.exlibrisgroup.com/primo-explore/search?tab=default_tab&amp;search_scope=EVERYTHING&amp;vid=01CRU&amp;lang=en_US&amp;offset=0&amp;query=any,contains,991005040739702656","Catalog Record")</f>
        <v>Catalog Record</v>
      </c>
      <c r="AT122" s="6" t="str">
        <f>HYPERLINK("http://www.worldcat.org/oclc/45951601","WorldCat Record")</f>
        <v>WorldCat Record</v>
      </c>
      <c r="AU122" s="3" t="s">
        <v>1658</v>
      </c>
      <c r="AV122" s="3" t="s">
        <v>1659</v>
      </c>
      <c r="AW122" s="3" t="s">
        <v>1660</v>
      </c>
      <c r="AX122" s="3" t="s">
        <v>1660</v>
      </c>
      <c r="AY122" s="3" t="s">
        <v>1661</v>
      </c>
      <c r="AZ122" s="3" t="s">
        <v>74</v>
      </c>
      <c r="BB122" s="3" t="s">
        <v>1662</v>
      </c>
      <c r="BC122" s="3" t="s">
        <v>1663</v>
      </c>
      <c r="BD122" s="3" t="s">
        <v>1664</v>
      </c>
    </row>
    <row r="123" spans="1:56" ht="40.5" customHeight="1" x14ac:dyDescent="0.25">
      <c r="A123" s="8" t="s">
        <v>58</v>
      </c>
      <c r="B123" s="2" t="s">
        <v>1653</v>
      </c>
      <c r="C123" s="2" t="s">
        <v>1654</v>
      </c>
      <c r="D123" s="2" t="s">
        <v>1655</v>
      </c>
      <c r="E123" s="3" t="s">
        <v>1665</v>
      </c>
      <c r="F123" s="3" t="s">
        <v>69</v>
      </c>
      <c r="G123" s="3" t="s">
        <v>59</v>
      </c>
      <c r="H123" s="3" t="s">
        <v>58</v>
      </c>
      <c r="I123" s="3" t="s">
        <v>58</v>
      </c>
      <c r="J123" s="3" t="s">
        <v>60</v>
      </c>
      <c r="L123" s="2" t="s">
        <v>1657</v>
      </c>
      <c r="M123" s="3" t="s">
        <v>676</v>
      </c>
      <c r="N123" s="2" t="s">
        <v>271</v>
      </c>
      <c r="O123" s="3" t="s">
        <v>64</v>
      </c>
      <c r="P123" s="3" t="s">
        <v>83</v>
      </c>
      <c r="R123" s="3" t="s">
        <v>66</v>
      </c>
      <c r="S123" s="4">
        <v>5</v>
      </c>
      <c r="T123" s="4">
        <v>8</v>
      </c>
      <c r="U123" s="5" t="s">
        <v>1003</v>
      </c>
      <c r="V123" s="5" t="s">
        <v>1003</v>
      </c>
      <c r="W123" s="5" t="s">
        <v>1003</v>
      </c>
      <c r="X123" s="5" t="s">
        <v>1003</v>
      </c>
      <c r="Y123" s="4">
        <v>1135</v>
      </c>
      <c r="Z123" s="4">
        <v>1001</v>
      </c>
      <c r="AA123" s="4">
        <v>1102</v>
      </c>
      <c r="AB123" s="4">
        <v>11</v>
      </c>
      <c r="AC123" s="4">
        <v>12</v>
      </c>
      <c r="AD123" s="4">
        <v>33</v>
      </c>
      <c r="AE123" s="4">
        <v>36</v>
      </c>
      <c r="AF123" s="4">
        <v>14</v>
      </c>
      <c r="AG123" s="4">
        <v>15</v>
      </c>
      <c r="AH123" s="4">
        <v>9</v>
      </c>
      <c r="AI123" s="4">
        <v>10</v>
      </c>
      <c r="AJ123" s="4">
        <v>12</v>
      </c>
      <c r="AK123" s="4">
        <v>15</v>
      </c>
      <c r="AL123" s="4">
        <v>8</v>
      </c>
      <c r="AM123" s="4">
        <v>8</v>
      </c>
      <c r="AN123" s="4">
        <v>0</v>
      </c>
      <c r="AO123" s="4">
        <v>0</v>
      </c>
      <c r="AP123" s="3" t="s">
        <v>58</v>
      </c>
      <c r="AQ123" s="3" t="s">
        <v>69</v>
      </c>
      <c r="AR123" s="6" t="str">
        <f>HYPERLINK("http://catalog.hathitrust.org/Record/004597303","HathiTrust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HYPERLINK("https://creighton-primo.hosted.exlibrisgroup.com/primo-explore/search?tab=default_tab&amp;search_scope=EVERYTHING&amp;vid=01CRU&amp;lang=en_US&amp;offset=0&amp;query=any,contains,991005040739702656","Catalog Record")</f>
        <v>Catalog Record</v>
      </c>
      <c r="AT123" s="6" t="str">
        <f>HYPERLINK("http://www.worldcat.org/oclc/45951601","WorldCat Record")</f>
        <v>WorldCat Record</v>
      </c>
      <c r="AU123" s="3" t="s">
        <v>1658</v>
      </c>
      <c r="AV123" s="3" t="s">
        <v>1659</v>
      </c>
      <c r="AW123" s="3" t="s">
        <v>1660</v>
      </c>
      <c r="AX123" s="3" t="s">
        <v>1660</v>
      </c>
      <c r="AY123" s="3" t="s">
        <v>1661</v>
      </c>
      <c r="AZ123" s="3" t="s">
        <v>74</v>
      </c>
      <c r="BB123" s="3" t="s">
        <v>1662</v>
      </c>
      <c r="BC123" s="3" t="s">
        <v>1666</v>
      </c>
      <c r="BD123" s="3" t="s">
        <v>1667</v>
      </c>
    </row>
    <row r="124" spans="1:56" ht="40.5" customHeight="1" x14ac:dyDescent="0.25">
      <c r="A124" s="8" t="s">
        <v>58</v>
      </c>
      <c r="B124" s="2" t="s">
        <v>1653</v>
      </c>
      <c r="C124" s="2" t="s">
        <v>1654</v>
      </c>
      <c r="D124" s="2" t="s">
        <v>1655</v>
      </c>
      <c r="E124" s="3" t="s">
        <v>1668</v>
      </c>
      <c r="F124" s="3" t="s">
        <v>69</v>
      </c>
      <c r="G124" s="3" t="s">
        <v>59</v>
      </c>
      <c r="H124" s="3" t="s">
        <v>58</v>
      </c>
      <c r="I124" s="3" t="s">
        <v>58</v>
      </c>
      <c r="J124" s="3" t="s">
        <v>60</v>
      </c>
      <c r="L124" s="2" t="s">
        <v>1657</v>
      </c>
      <c r="M124" s="3" t="s">
        <v>676</v>
      </c>
      <c r="N124" s="2" t="s">
        <v>271</v>
      </c>
      <c r="O124" s="3" t="s">
        <v>64</v>
      </c>
      <c r="P124" s="3" t="s">
        <v>83</v>
      </c>
      <c r="R124" s="3" t="s">
        <v>66</v>
      </c>
      <c r="S124" s="4">
        <v>2</v>
      </c>
      <c r="T124" s="4">
        <v>8</v>
      </c>
      <c r="U124" s="5" t="s">
        <v>1003</v>
      </c>
      <c r="V124" s="5" t="s">
        <v>1003</v>
      </c>
      <c r="W124" s="5" t="s">
        <v>1003</v>
      </c>
      <c r="X124" s="5" t="s">
        <v>1003</v>
      </c>
      <c r="Y124" s="4">
        <v>1135</v>
      </c>
      <c r="Z124" s="4">
        <v>1001</v>
      </c>
      <c r="AA124" s="4">
        <v>1102</v>
      </c>
      <c r="AB124" s="4">
        <v>11</v>
      </c>
      <c r="AC124" s="4">
        <v>12</v>
      </c>
      <c r="AD124" s="4">
        <v>33</v>
      </c>
      <c r="AE124" s="4">
        <v>36</v>
      </c>
      <c r="AF124" s="4">
        <v>14</v>
      </c>
      <c r="AG124" s="4">
        <v>15</v>
      </c>
      <c r="AH124" s="4">
        <v>9</v>
      </c>
      <c r="AI124" s="4">
        <v>10</v>
      </c>
      <c r="AJ124" s="4">
        <v>12</v>
      </c>
      <c r="AK124" s="4">
        <v>15</v>
      </c>
      <c r="AL124" s="4">
        <v>8</v>
      </c>
      <c r="AM124" s="4">
        <v>8</v>
      </c>
      <c r="AN124" s="4">
        <v>0</v>
      </c>
      <c r="AO124" s="4">
        <v>0</v>
      </c>
      <c r="AP124" s="3" t="s">
        <v>58</v>
      </c>
      <c r="AQ124" s="3" t="s">
        <v>69</v>
      </c>
      <c r="AR124" s="6" t="str">
        <f>HYPERLINK("http://catalog.hathitrust.org/Record/004597303","HathiTrust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HYPERLINK("https://creighton-primo.hosted.exlibrisgroup.com/primo-explore/search?tab=default_tab&amp;search_scope=EVERYTHING&amp;vid=01CRU&amp;lang=en_US&amp;offset=0&amp;query=any,contains,991005040739702656","Catalog Record")</f>
        <v>Catalog Record</v>
      </c>
      <c r="AT124" s="6" t="str">
        <f>HYPERLINK("http://www.worldcat.org/oclc/45951601","WorldCat Record")</f>
        <v>WorldCat Record</v>
      </c>
      <c r="AU124" s="3" t="s">
        <v>1658</v>
      </c>
      <c r="AV124" s="3" t="s">
        <v>1659</v>
      </c>
      <c r="AW124" s="3" t="s">
        <v>1660</v>
      </c>
      <c r="AX124" s="3" t="s">
        <v>1660</v>
      </c>
      <c r="AY124" s="3" t="s">
        <v>1661</v>
      </c>
      <c r="AZ124" s="3" t="s">
        <v>74</v>
      </c>
      <c r="BB124" s="3" t="s">
        <v>1662</v>
      </c>
      <c r="BC124" s="3" t="s">
        <v>1669</v>
      </c>
      <c r="BD124" s="3" t="s">
        <v>1670</v>
      </c>
    </row>
    <row r="125" spans="1:56" ht="40.5" customHeight="1" x14ac:dyDescent="0.25">
      <c r="A125" s="8" t="s">
        <v>58</v>
      </c>
      <c r="B125" s="2" t="s">
        <v>1671</v>
      </c>
      <c r="C125" s="2" t="s">
        <v>1672</v>
      </c>
      <c r="D125" s="2" t="s">
        <v>1673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1674</v>
      </c>
      <c r="L125" s="2" t="s">
        <v>1675</v>
      </c>
      <c r="M125" s="3" t="s">
        <v>1676</v>
      </c>
      <c r="O125" s="3" t="s">
        <v>64</v>
      </c>
      <c r="P125" s="3" t="s">
        <v>65</v>
      </c>
      <c r="R125" s="3" t="s">
        <v>66</v>
      </c>
      <c r="S125" s="4">
        <v>1</v>
      </c>
      <c r="T125" s="4">
        <v>1</v>
      </c>
      <c r="U125" s="5" t="s">
        <v>1677</v>
      </c>
      <c r="V125" s="5" t="s">
        <v>1677</v>
      </c>
      <c r="W125" s="5" t="s">
        <v>1677</v>
      </c>
      <c r="X125" s="5" t="s">
        <v>1677</v>
      </c>
      <c r="Y125" s="4">
        <v>831</v>
      </c>
      <c r="Z125" s="4">
        <v>755</v>
      </c>
      <c r="AA125" s="4">
        <v>1361</v>
      </c>
      <c r="AB125" s="4">
        <v>7</v>
      </c>
      <c r="AC125" s="4">
        <v>12</v>
      </c>
      <c r="AD125" s="4">
        <v>29</v>
      </c>
      <c r="AE125" s="4">
        <v>44</v>
      </c>
      <c r="AF125" s="4">
        <v>12</v>
      </c>
      <c r="AG125" s="4">
        <v>15</v>
      </c>
      <c r="AH125" s="4">
        <v>5</v>
      </c>
      <c r="AI125" s="4">
        <v>8</v>
      </c>
      <c r="AJ125" s="4">
        <v>13</v>
      </c>
      <c r="AK125" s="4">
        <v>17</v>
      </c>
      <c r="AL125" s="4">
        <v>5</v>
      </c>
      <c r="AM125" s="4">
        <v>10</v>
      </c>
      <c r="AN125" s="4">
        <v>0</v>
      </c>
      <c r="AO125" s="4">
        <v>1</v>
      </c>
      <c r="AP125" s="3" t="s">
        <v>58</v>
      </c>
      <c r="AQ125" s="3" t="s">
        <v>58</v>
      </c>
      <c r="AS125" s="6" t="str">
        <f>HYPERLINK("https://creighton-primo.hosted.exlibrisgroup.com/primo-explore/search?tab=default_tab&amp;search_scope=EVERYTHING&amp;vid=01CRU&amp;lang=en_US&amp;offset=0&amp;query=any,contains,991005143529702656","Catalog Record")</f>
        <v>Catalog Record</v>
      </c>
      <c r="AT125" s="6" t="str">
        <f>HYPERLINK("http://www.worldcat.org/oclc/84903415","WorldCat Record")</f>
        <v>WorldCat Record</v>
      </c>
      <c r="AU125" s="3" t="s">
        <v>1678</v>
      </c>
      <c r="AV125" s="3" t="s">
        <v>1679</v>
      </c>
      <c r="AW125" s="3" t="s">
        <v>1680</v>
      </c>
      <c r="AX125" s="3" t="s">
        <v>1680</v>
      </c>
      <c r="AY125" s="3" t="s">
        <v>1681</v>
      </c>
      <c r="AZ125" s="3" t="s">
        <v>74</v>
      </c>
      <c r="BB125" s="3" t="s">
        <v>1682</v>
      </c>
      <c r="BC125" s="3" t="s">
        <v>1683</v>
      </c>
      <c r="BD125" s="3" t="s">
        <v>1684</v>
      </c>
    </row>
    <row r="126" spans="1:56" ht="40.5" customHeight="1" x14ac:dyDescent="0.25">
      <c r="A126" s="8" t="s">
        <v>58</v>
      </c>
      <c r="B126" s="2" t="s">
        <v>1685</v>
      </c>
      <c r="C126" s="2" t="s">
        <v>1686</v>
      </c>
      <c r="D126" s="2" t="s">
        <v>1687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K126" s="2" t="s">
        <v>1688</v>
      </c>
      <c r="L126" s="2" t="s">
        <v>1689</v>
      </c>
      <c r="M126" s="3" t="s">
        <v>215</v>
      </c>
      <c r="O126" s="3" t="s">
        <v>64</v>
      </c>
      <c r="P126" s="3" t="s">
        <v>83</v>
      </c>
      <c r="R126" s="3" t="s">
        <v>66</v>
      </c>
      <c r="S126" s="4">
        <v>5</v>
      </c>
      <c r="T126" s="4">
        <v>5</v>
      </c>
      <c r="U126" s="5" t="s">
        <v>1690</v>
      </c>
      <c r="V126" s="5" t="s">
        <v>1690</v>
      </c>
      <c r="W126" s="5" t="s">
        <v>692</v>
      </c>
      <c r="X126" s="5" t="s">
        <v>692</v>
      </c>
      <c r="Y126" s="4">
        <v>504</v>
      </c>
      <c r="Z126" s="4">
        <v>421</v>
      </c>
      <c r="AA126" s="4">
        <v>421</v>
      </c>
      <c r="AB126" s="4">
        <v>3</v>
      </c>
      <c r="AC126" s="4">
        <v>3</v>
      </c>
      <c r="AD126" s="4">
        <v>24</v>
      </c>
      <c r="AE126" s="4">
        <v>24</v>
      </c>
      <c r="AF126" s="4">
        <v>8</v>
      </c>
      <c r="AG126" s="4">
        <v>8</v>
      </c>
      <c r="AH126" s="4">
        <v>6</v>
      </c>
      <c r="AI126" s="4">
        <v>6</v>
      </c>
      <c r="AJ126" s="4">
        <v>15</v>
      </c>
      <c r="AK126" s="4">
        <v>15</v>
      </c>
      <c r="AL126" s="4">
        <v>2</v>
      </c>
      <c r="AM126" s="4">
        <v>2</v>
      </c>
      <c r="AN126" s="4">
        <v>0</v>
      </c>
      <c r="AO126" s="4">
        <v>0</v>
      </c>
      <c r="AP126" s="3" t="s">
        <v>58</v>
      </c>
      <c r="AQ126" s="3" t="s">
        <v>58</v>
      </c>
      <c r="AS126" s="6" t="str">
        <f>HYPERLINK("https://creighton-primo.hosted.exlibrisgroup.com/primo-explore/search?tab=default_tab&amp;search_scope=EVERYTHING&amp;vid=01CRU&amp;lang=en_US&amp;offset=0&amp;query=any,contains,991003292809702656","Catalog Record")</f>
        <v>Catalog Record</v>
      </c>
      <c r="AT126" s="6" t="str">
        <f>HYPERLINK("http://www.worldcat.org/oclc/41185064","WorldCat Record")</f>
        <v>WorldCat Record</v>
      </c>
      <c r="AU126" s="3" t="s">
        <v>1691</v>
      </c>
      <c r="AV126" s="3" t="s">
        <v>1692</v>
      </c>
      <c r="AW126" s="3" t="s">
        <v>1693</v>
      </c>
      <c r="AX126" s="3" t="s">
        <v>1693</v>
      </c>
      <c r="AY126" s="3" t="s">
        <v>1694</v>
      </c>
      <c r="AZ126" s="3" t="s">
        <v>74</v>
      </c>
      <c r="BB126" s="3" t="s">
        <v>1695</v>
      </c>
      <c r="BC126" s="3" t="s">
        <v>1696</v>
      </c>
      <c r="BD126" s="3" t="s">
        <v>1697</v>
      </c>
    </row>
    <row r="127" spans="1:56" ht="40.5" customHeight="1" x14ac:dyDescent="0.25">
      <c r="A127" s="8" t="s">
        <v>58</v>
      </c>
      <c r="B127" s="2" t="s">
        <v>1698</v>
      </c>
      <c r="C127" s="2" t="s">
        <v>1699</v>
      </c>
      <c r="D127" s="2" t="s">
        <v>1700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1701</v>
      </c>
      <c r="L127" s="2" t="s">
        <v>1702</v>
      </c>
      <c r="M127" s="3" t="s">
        <v>1703</v>
      </c>
      <c r="O127" s="3" t="s">
        <v>64</v>
      </c>
      <c r="P127" s="3" t="s">
        <v>83</v>
      </c>
      <c r="Q127" s="2" t="s">
        <v>1704</v>
      </c>
      <c r="R127" s="3" t="s">
        <v>66</v>
      </c>
      <c r="S127" s="4">
        <v>7</v>
      </c>
      <c r="T127" s="4">
        <v>7</v>
      </c>
      <c r="U127" s="5" t="s">
        <v>1705</v>
      </c>
      <c r="V127" s="5" t="s">
        <v>1705</v>
      </c>
      <c r="W127" s="5" t="s">
        <v>1706</v>
      </c>
      <c r="X127" s="5" t="s">
        <v>1706</v>
      </c>
      <c r="Y127" s="4">
        <v>249</v>
      </c>
      <c r="Z127" s="4">
        <v>190</v>
      </c>
      <c r="AA127" s="4">
        <v>881</v>
      </c>
      <c r="AB127" s="4">
        <v>2</v>
      </c>
      <c r="AC127" s="4">
        <v>30</v>
      </c>
      <c r="AD127" s="4">
        <v>6</v>
      </c>
      <c r="AE127" s="4">
        <v>24</v>
      </c>
      <c r="AF127" s="4">
        <v>1</v>
      </c>
      <c r="AG127" s="4">
        <v>7</v>
      </c>
      <c r="AH127" s="4">
        <v>1</v>
      </c>
      <c r="AI127" s="4">
        <v>1</v>
      </c>
      <c r="AJ127" s="4">
        <v>4</v>
      </c>
      <c r="AK127" s="4">
        <v>7</v>
      </c>
      <c r="AL127" s="4">
        <v>1</v>
      </c>
      <c r="AM127" s="4">
        <v>11</v>
      </c>
      <c r="AN127" s="4">
        <v>0</v>
      </c>
      <c r="AO127" s="4">
        <v>0</v>
      </c>
      <c r="AP127" s="3" t="s">
        <v>58</v>
      </c>
      <c r="AQ127" s="3" t="s">
        <v>58</v>
      </c>
      <c r="AS127" s="6" t="str">
        <f>HYPERLINK("https://creighton-primo.hosted.exlibrisgroup.com/primo-explore/search?tab=default_tab&amp;search_scope=EVERYTHING&amp;vid=01CRU&amp;lang=en_US&amp;offset=0&amp;query=any,contains,991004320039702656","Catalog Record")</f>
        <v>Catalog Record</v>
      </c>
      <c r="AT127" s="6" t="str">
        <f>HYPERLINK("http://www.worldcat.org/oclc/51892820","WorldCat Record")</f>
        <v>WorldCat Record</v>
      </c>
      <c r="AU127" s="3" t="s">
        <v>1707</v>
      </c>
      <c r="AV127" s="3" t="s">
        <v>1708</v>
      </c>
      <c r="AW127" s="3" t="s">
        <v>1709</v>
      </c>
      <c r="AX127" s="3" t="s">
        <v>1709</v>
      </c>
      <c r="AY127" s="3" t="s">
        <v>1710</v>
      </c>
      <c r="AZ127" s="3" t="s">
        <v>74</v>
      </c>
      <c r="BB127" s="3" t="s">
        <v>1711</v>
      </c>
      <c r="BC127" s="3" t="s">
        <v>1712</v>
      </c>
      <c r="BD127" s="3" t="s">
        <v>1713</v>
      </c>
    </row>
    <row r="128" spans="1:56" ht="40.5" customHeight="1" x14ac:dyDescent="0.25">
      <c r="A128" s="8" t="s">
        <v>58</v>
      </c>
      <c r="B128" s="2" t="s">
        <v>1714</v>
      </c>
      <c r="C128" s="2" t="s">
        <v>1715</v>
      </c>
      <c r="D128" s="2" t="s">
        <v>1716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1717</v>
      </c>
      <c r="L128" s="2" t="s">
        <v>1718</v>
      </c>
      <c r="M128" s="3" t="s">
        <v>258</v>
      </c>
      <c r="O128" s="3" t="s">
        <v>64</v>
      </c>
      <c r="P128" s="3" t="s">
        <v>83</v>
      </c>
      <c r="Q128" s="2" t="s">
        <v>1719</v>
      </c>
      <c r="R128" s="3" t="s">
        <v>66</v>
      </c>
      <c r="S128" s="4">
        <v>6</v>
      </c>
      <c r="T128" s="4">
        <v>6</v>
      </c>
      <c r="U128" s="5" t="s">
        <v>691</v>
      </c>
      <c r="V128" s="5" t="s">
        <v>691</v>
      </c>
      <c r="W128" s="5" t="s">
        <v>1720</v>
      </c>
      <c r="X128" s="5" t="s">
        <v>1720</v>
      </c>
      <c r="Y128" s="4">
        <v>275</v>
      </c>
      <c r="Z128" s="4">
        <v>241</v>
      </c>
      <c r="AA128" s="4">
        <v>241</v>
      </c>
      <c r="AB128" s="4">
        <v>2</v>
      </c>
      <c r="AC128" s="4">
        <v>2</v>
      </c>
      <c r="AD128" s="4">
        <v>13</v>
      </c>
      <c r="AE128" s="4">
        <v>13</v>
      </c>
      <c r="AF128" s="4">
        <v>5</v>
      </c>
      <c r="AG128" s="4">
        <v>5</v>
      </c>
      <c r="AH128" s="4">
        <v>3</v>
      </c>
      <c r="AI128" s="4">
        <v>3</v>
      </c>
      <c r="AJ128" s="4">
        <v>6</v>
      </c>
      <c r="AK128" s="4">
        <v>6</v>
      </c>
      <c r="AL128" s="4">
        <v>1</v>
      </c>
      <c r="AM128" s="4">
        <v>1</v>
      </c>
      <c r="AN128" s="4">
        <v>0</v>
      </c>
      <c r="AO128" s="4">
        <v>0</v>
      </c>
      <c r="AP128" s="3" t="s">
        <v>58</v>
      </c>
      <c r="AQ128" s="3" t="s">
        <v>58</v>
      </c>
      <c r="AS128" s="6" t="str">
        <f>HYPERLINK("https://creighton-primo.hosted.exlibrisgroup.com/primo-explore/search?tab=default_tab&amp;search_scope=EVERYTHING&amp;vid=01CRU&amp;lang=en_US&amp;offset=0&amp;query=any,contains,991001373319702656","Catalog Record")</f>
        <v>Catalog Record</v>
      </c>
      <c r="AT128" s="6" t="str">
        <f>HYPERLINK("http://www.worldcat.org/oclc/18589408","WorldCat Record")</f>
        <v>WorldCat Record</v>
      </c>
      <c r="AU128" s="3" t="s">
        <v>1721</v>
      </c>
      <c r="AV128" s="3" t="s">
        <v>1722</v>
      </c>
      <c r="AW128" s="3" t="s">
        <v>1723</v>
      </c>
      <c r="AX128" s="3" t="s">
        <v>1723</v>
      </c>
      <c r="AY128" s="3" t="s">
        <v>1724</v>
      </c>
      <c r="AZ128" s="3" t="s">
        <v>74</v>
      </c>
      <c r="BB128" s="3" t="s">
        <v>1725</v>
      </c>
      <c r="BC128" s="3" t="s">
        <v>1726</v>
      </c>
      <c r="BD128" s="3" t="s">
        <v>1727</v>
      </c>
    </row>
    <row r="129" spans="1:56" ht="40.5" customHeight="1" x14ac:dyDescent="0.25">
      <c r="A129" s="8" t="s">
        <v>58</v>
      </c>
      <c r="B129" s="2" t="s">
        <v>1728</v>
      </c>
      <c r="C129" s="2" t="s">
        <v>1729</v>
      </c>
      <c r="D129" s="2" t="s">
        <v>1730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1731</v>
      </c>
      <c r="L129" s="2" t="s">
        <v>1732</v>
      </c>
      <c r="M129" s="3" t="s">
        <v>815</v>
      </c>
      <c r="O129" s="3" t="s">
        <v>64</v>
      </c>
      <c r="P129" s="3" t="s">
        <v>83</v>
      </c>
      <c r="R129" s="3" t="s">
        <v>66</v>
      </c>
      <c r="S129" s="4">
        <v>4</v>
      </c>
      <c r="T129" s="4">
        <v>4</v>
      </c>
      <c r="U129" s="5" t="s">
        <v>1705</v>
      </c>
      <c r="V129" s="5" t="s">
        <v>1705</v>
      </c>
      <c r="W129" s="5" t="s">
        <v>1733</v>
      </c>
      <c r="X129" s="5" t="s">
        <v>1733</v>
      </c>
      <c r="Y129" s="4">
        <v>1365</v>
      </c>
      <c r="Z129" s="4">
        <v>1286</v>
      </c>
      <c r="AA129" s="4">
        <v>1391</v>
      </c>
      <c r="AB129" s="4">
        <v>12</v>
      </c>
      <c r="AC129" s="4">
        <v>12</v>
      </c>
      <c r="AD129" s="4">
        <v>36</v>
      </c>
      <c r="AE129" s="4">
        <v>36</v>
      </c>
      <c r="AF129" s="4">
        <v>14</v>
      </c>
      <c r="AG129" s="4">
        <v>14</v>
      </c>
      <c r="AH129" s="4">
        <v>5</v>
      </c>
      <c r="AI129" s="4">
        <v>5</v>
      </c>
      <c r="AJ129" s="4">
        <v>15</v>
      </c>
      <c r="AK129" s="4">
        <v>15</v>
      </c>
      <c r="AL129" s="4">
        <v>9</v>
      </c>
      <c r="AM129" s="4">
        <v>9</v>
      </c>
      <c r="AN129" s="4">
        <v>0</v>
      </c>
      <c r="AO129" s="4">
        <v>0</v>
      </c>
      <c r="AP129" s="3" t="s">
        <v>58</v>
      </c>
      <c r="AQ129" s="3" t="s">
        <v>58</v>
      </c>
      <c r="AS129" s="6" t="str">
        <f>HYPERLINK("https://creighton-primo.hosted.exlibrisgroup.com/primo-explore/search?tab=default_tab&amp;search_scope=EVERYTHING&amp;vid=01CRU&amp;lang=en_US&amp;offset=0&amp;query=any,contains,991005222509702656","Catalog Record")</f>
        <v>Catalog Record</v>
      </c>
      <c r="AT129" s="6" t="str">
        <f>HYPERLINK("http://www.worldcat.org/oclc/171152057","WorldCat Record")</f>
        <v>WorldCat Record</v>
      </c>
      <c r="AU129" s="3" t="s">
        <v>1734</v>
      </c>
      <c r="AV129" s="3" t="s">
        <v>1735</v>
      </c>
      <c r="AW129" s="3" t="s">
        <v>1736</v>
      </c>
      <c r="AX129" s="3" t="s">
        <v>1736</v>
      </c>
      <c r="AY129" s="3" t="s">
        <v>1737</v>
      </c>
      <c r="AZ129" s="3" t="s">
        <v>74</v>
      </c>
      <c r="BB129" s="3" t="s">
        <v>1738</v>
      </c>
      <c r="BC129" s="3" t="s">
        <v>1739</v>
      </c>
      <c r="BD129" s="3" t="s">
        <v>1740</v>
      </c>
    </row>
    <row r="130" spans="1:56" ht="40.5" customHeight="1" x14ac:dyDescent="0.25">
      <c r="A130" s="8" t="s">
        <v>58</v>
      </c>
      <c r="B130" s="2" t="s">
        <v>1741</v>
      </c>
      <c r="C130" s="2" t="s">
        <v>1742</v>
      </c>
      <c r="D130" s="2" t="s">
        <v>1743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1744</v>
      </c>
      <c r="L130" s="2" t="s">
        <v>1745</v>
      </c>
      <c r="M130" s="3" t="s">
        <v>884</v>
      </c>
      <c r="O130" s="3" t="s">
        <v>64</v>
      </c>
      <c r="P130" s="3" t="s">
        <v>186</v>
      </c>
      <c r="R130" s="3" t="s">
        <v>66</v>
      </c>
      <c r="S130" s="4">
        <v>8</v>
      </c>
      <c r="T130" s="4">
        <v>8</v>
      </c>
      <c r="U130" s="5" t="s">
        <v>691</v>
      </c>
      <c r="V130" s="5" t="s">
        <v>691</v>
      </c>
      <c r="W130" s="5" t="s">
        <v>68</v>
      </c>
      <c r="X130" s="5" t="s">
        <v>68</v>
      </c>
      <c r="Y130" s="4">
        <v>464</v>
      </c>
      <c r="Z130" s="4">
        <v>403</v>
      </c>
      <c r="AA130" s="4">
        <v>411</v>
      </c>
      <c r="AB130" s="4">
        <v>2</v>
      </c>
      <c r="AC130" s="4">
        <v>2</v>
      </c>
      <c r="AD130" s="4">
        <v>18</v>
      </c>
      <c r="AE130" s="4">
        <v>18</v>
      </c>
      <c r="AF130" s="4">
        <v>9</v>
      </c>
      <c r="AG130" s="4">
        <v>9</v>
      </c>
      <c r="AH130" s="4">
        <v>4</v>
      </c>
      <c r="AI130" s="4">
        <v>4</v>
      </c>
      <c r="AJ130" s="4">
        <v>10</v>
      </c>
      <c r="AK130" s="4">
        <v>10</v>
      </c>
      <c r="AL130" s="4">
        <v>1</v>
      </c>
      <c r="AM130" s="4">
        <v>1</v>
      </c>
      <c r="AN130" s="4">
        <v>0</v>
      </c>
      <c r="AO130" s="4">
        <v>0</v>
      </c>
      <c r="AP130" s="3" t="s">
        <v>58</v>
      </c>
      <c r="AQ130" s="3" t="s">
        <v>69</v>
      </c>
      <c r="AR130" s="6" t="str">
        <f>HYPERLINK("http://catalog.hathitrust.org/Record/000465801","HathiTrust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HYPERLINK("https://creighton-primo.hosted.exlibrisgroup.com/primo-explore/search?tab=default_tab&amp;search_scope=EVERYTHING&amp;vid=01CRU&amp;lang=en_US&amp;offset=0&amp;query=any,contains,991000674639702656","Catalog Record")</f>
        <v>Catalog Record</v>
      </c>
      <c r="AT130" s="6" t="str">
        <f>HYPERLINK("http://www.worldcat.org/oclc/12343464","WorldCat Record")</f>
        <v>WorldCat Record</v>
      </c>
      <c r="AU130" s="3" t="s">
        <v>1746</v>
      </c>
      <c r="AV130" s="3" t="s">
        <v>1747</v>
      </c>
      <c r="AW130" s="3" t="s">
        <v>1748</v>
      </c>
      <c r="AX130" s="3" t="s">
        <v>1748</v>
      </c>
      <c r="AY130" s="3" t="s">
        <v>1749</v>
      </c>
      <c r="AZ130" s="3" t="s">
        <v>74</v>
      </c>
      <c r="BB130" s="3" t="s">
        <v>1750</v>
      </c>
      <c r="BC130" s="3" t="s">
        <v>1751</v>
      </c>
      <c r="BD130" s="3" t="s">
        <v>1752</v>
      </c>
    </row>
    <row r="131" spans="1:56" ht="40.5" customHeight="1" x14ac:dyDescent="0.25">
      <c r="A131" s="8" t="s">
        <v>58</v>
      </c>
      <c r="B131" s="2" t="s">
        <v>1753</v>
      </c>
      <c r="C131" s="2" t="s">
        <v>1754</v>
      </c>
      <c r="D131" s="2" t="s">
        <v>1755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1756</v>
      </c>
      <c r="L131" s="2" t="s">
        <v>1757</v>
      </c>
      <c r="M131" s="3" t="s">
        <v>1758</v>
      </c>
      <c r="N131" s="2" t="s">
        <v>1759</v>
      </c>
      <c r="O131" s="3" t="s">
        <v>64</v>
      </c>
      <c r="P131" s="3" t="s">
        <v>83</v>
      </c>
      <c r="R131" s="3" t="s">
        <v>66</v>
      </c>
      <c r="S131" s="4">
        <v>5</v>
      </c>
      <c r="T131" s="4">
        <v>5</v>
      </c>
      <c r="U131" s="5" t="s">
        <v>731</v>
      </c>
      <c r="V131" s="5" t="s">
        <v>731</v>
      </c>
      <c r="W131" s="5" t="s">
        <v>173</v>
      </c>
      <c r="X131" s="5" t="s">
        <v>173</v>
      </c>
      <c r="Y131" s="4">
        <v>352</v>
      </c>
      <c r="Z131" s="4">
        <v>227</v>
      </c>
      <c r="AA131" s="4">
        <v>975</v>
      </c>
      <c r="AB131" s="4">
        <v>3</v>
      </c>
      <c r="AC131" s="4">
        <v>28</v>
      </c>
      <c r="AD131" s="4">
        <v>9</v>
      </c>
      <c r="AE131" s="4">
        <v>41</v>
      </c>
      <c r="AF131" s="4">
        <v>1</v>
      </c>
      <c r="AG131" s="4">
        <v>12</v>
      </c>
      <c r="AH131" s="4">
        <v>4</v>
      </c>
      <c r="AI131" s="4">
        <v>11</v>
      </c>
      <c r="AJ131" s="4">
        <v>3</v>
      </c>
      <c r="AK131" s="4">
        <v>14</v>
      </c>
      <c r="AL131" s="4">
        <v>2</v>
      </c>
      <c r="AM131" s="4">
        <v>13</v>
      </c>
      <c r="AN131" s="4">
        <v>0</v>
      </c>
      <c r="AO131" s="4">
        <v>0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HYPERLINK("https://creighton-primo.hosted.exlibrisgroup.com/primo-explore/search?tab=default_tab&amp;search_scope=EVERYTHING&amp;vid=01CRU&amp;lang=en_US&amp;offset=0&amp;query=any,contains,991003930269702656","Catalog Record")</f>
        <v>Catalog Record</v>
      </c>
      <c r="AT131" s="6" t="str">
        <f>HYPERLINK("http://www.worldcat.org/oclc/49760696","WorldCat Record")</f>
        <v>WorldCat Record</v>
      </c>
      <c r="AU131" s="3" t="s">
        <v>1760</v>
      </c>
      <c r="AV131" s="3" t="s">
        <v>1761</v>
      </c>
      <c r="AW131" s="3" t="s">
        <v>1762</v>
      </c>
      <c r="AX131" s="3" t="s">
        <v>1762</v>
      </c>
      <c r="AY131" s="3" t="s">
        <v>1763</v>
      </c>
      <c r="AZ131" s="3" t="s">
        <v>74</v>
      </c>
      <c r="BB131" s="3" t="s">
        <v>1764</v>
      </c>
      <c r="BC131" s="3" t="s">
        <v>1765</v>
      </c>
      <c r="BD131" s="3" t="s">
        <v>1766</v>
      </c>
    </row>
    <row r="132" spans="1:56" ht="40.5" customHeight="1" x14ac:dyDescent="0.25">
      <c r="A132" s="8" t="s">
        <v>58</v>
      </c>
      <c r="B132" s="2" t="s">
        <v>1767</v>
      </c>
      <c r="C132" s="2" t="s">
        <v>1768</v>
      </c>
      <c r="D132" s="2" t="s">
        <v>1769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1770</v>
      </c>
      <c r="L132" s="2" t="s">
        <v>1771</v>
      </c>
      <c r="M132" s="3" t="s">
        <v>63</v>
      </c>
      <c r="O132" s="3" t="s">
        <v>64</v>
      </c>
      <c r="P132" s="3" t="s">
        <v>83</v>
      </c>
      <c r="R132" s="3" t="s">
        <v>66</v>
      </c>
      <c r="S132" s="4">
        <v>1</v>
      </c>
      <c r="T132" s="4">
        <v>1</v>
      </c>
      <c r="U132" s="5" t="s">
        <v>1772</v>
      </c>
      <c r="V132" s="5" t="s">
        <v>1772</v>
      </c>
      <c r="W132" s="5" t="s">
        <v>68</v>
      </c>
      <c r="X132" s="5" t="s">
        <v>68</v>
      </c>
      <c r="Y132" s="4">
        <v>305</v>
      </c>
      <c r="Z132" s="4">
        <v>243</v>
      </c>
      <c r="AA132" s="4">
        <v>261</v>
      </c>
      <c r="AB132" s="4">
        <v>2</v>
      </c>
      <c r="AC132" s="4">
        <v>2</v>
      </c>
      <c r="AD132" s="4">
        <v>13</v>
      </c>
      <c r="AE132" s="4">
        <v>13</v>
      </c>
      <c r="AF132" s="4">
        <v>4</v>
      </c>
      <c r="AG132" s="4">
        <v>4</v>
      </c>
      <c r="AH132" s="4">
        <v>4</v>
      </c>
      <c r="AI132" s="4">
        <v>4</v>
      </c>
      <c r="AJ132" s="4">
        <v>10</v>
      </c>
      <c r="AK132" s="4">
        <v>10</v>
      </c>
      <c r="AL132" s="4">
        <v>1</v>
      </c>
      <c r="AM132" s="4">
        <v>1</v>
      </c>
      <c r="AN132" s="4">
        <v>0</v>
      </c>
      <c r="AO132" s="4">
        <v>0</v>
      </c>
      <c r="AP132" s="3" t="s">
        <v>58</v>
      </c>
      <c r="AQ132" s="3" t="s">
        <v>69</v>
      </c>
      <c r="AR132" s="6" t="str">
        <f>HYPERLINK("http://catalog.hathitrust.org/Record/000601385","HathiTrust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HYPERLINK("https://creighton-primo.hosted.exlibrisgroup.com/primo-explore/search?tab=default_tab&amp;search_scope=EVERYTHING&amp;vid=01CRU&amp;lang=en_US&amp;offset=0&amp;query=any,contains,991000446239702656","Catalog Record")</f>
        <v>Catalog Record</v>
      </c>
      <c r="AT132" s="6" t="str">
        <f>HYPERLINK("http://www.worldcat.org/oclc/10850826","WorldCat Record")</f>
        <v>WorldCat Record</v>
      </c>
      <c r="AU132" s="3" t="s">
        <v>1773</v>
      </c>
      <c r="AV132" s="3" t="s">
        <v>1774</v>
      </c>
      <c r="AW132" s="3" t="s">
        <v>1775</v>
      </c>
      <c r="AX132" s="3" t="s">
        <v>1775</v>
      </c>
      <c r="AY132" s="3" t="s">
        <v>1776</v>
      </c>
      <c r="AZ132" s="3" t="s">
        <v>74</v>
      </c>
      <c r="BB132" s="3" t="s">
        <v>1777</v>
      </c>
      <c r="BC132" s="3" t="s">
        <v>1778</v>
      </c>
      <c r="BD132" s="3" t="s">
        <v>1779</v>
      </c>
    </row>
    <row r="133" spans="1:56" ht="40.5" customHeight="1" x14ac:dyDescent="0.25">
      <c r="A133" s="8" t="s">
        <v>58</v>
      </c>
      <c r="B133" s="2" t="s">
        <v>1780</v>
      </c>
      <c r="C133" s="2" t="s">
        <v>1781</v>
      </c>
      <c r="D133" s="2" t="s">
        <v>1782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1783</v>
      </c>
      <c r="L133" s="2" t="s">
        <v>1784</v>
      </c>
      <c r="M133" s="3" t="s">
        <v>1785</v>
      </c>
      <c r="N133" s="2" t="s">
        <v>156</v>
      </c>
      <c r="O133" s="3" t="s">
        <v>64</v>
      </c>
      <c r="P133" s="3" t="s">
        <v>83</v>
      </c>
      <c r="R133" s="3" t="s">
        <v>66</v>
      </c>
      <c r="S133" s="4">
        <v>1</v>
      </c>
      <c r="T133" s="4">
        <v>1</v>
      </c>
      <c r="U133" s="5" t="s">
        <v>1488</v>
      </c>
      <c r="V133" s="5" t="s">
        <v>1488</v>
      </c>
      <c r="W133" s="5" t="s">
        <v>100</v>
      </c>
      <c r="X133" s="5" t="s">
        <v>100</v>
      </c>
      <c r="Y133" s="4">
        <v>646</v>
      </c>
      <c r="Z133" s="4">
        <v>535</v>
      </c>
      <c r="AA133" s="4">
        <v>707</v>
      </c>
      <c r="AB133" s="4">
        <v>4</v>
      </c>
      <c r="AC133" s="4">
        <v>6</v>
      </c>
      <c r="AD133" s="4">
        <v>19</v>
      </c>
      <c r="AE133" s="4">
        <v>32</v>
      </c>
      <c r="AF133" s="4">
        <v>10</v>
      </c>
      <c r="AG133" s="4">
        <v>15</v>
      </c>
      <c r="AH133" s="4">
        <v>3</v>
      </c>
      <c r="AI133" s="4">
        <v>6</v>
      </c>
      <c r="AJ133" s="4">
        <v>9</v>
      </c>
      <c r="AK133" s="4">
        <v>15</v>
      </c>
      <c r="AL133" s="4">
        <v>3</v>
      </c>
      <c r="AM133" s="4">
        <v>5</v>
      </c>
      <c r="AN133" s="4">
        <v>0</v>
      </c>
      <c r="AO133" s="4">
        <v>0</v>
      </c>
      <c r="AP133" s="3" t="s">
        <v>58</v>
      </c>
      <c r="AQ133" s="3" t="s">
        <v>69</v>
      </c>
      <c r="AR133" s="6" t="str">
        <f>HYPERLINK("http://catalog.hathitrust.org/Record/001556410","HathiTrust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HYPERLINK("https://creighton-primo.hosted.exlibrisgroup.com/primo-explore/search?tab=default_tab&amp;search_scope=EVERYTHING&amp;vid=01CRU&amp;lang=en_US&amp;offset=0&amp;query=any,contains,991003593669702656","Catalog Record")</f>
        <v>Catalog Record</v>
      </c>
      <c r="AT133" s="6" t="str">
        <f>HYPERLINK("http://www.worldcat.org/oclc/1175449","WorldCat Record")</f>
        <v>WorldCat Record</v>
      </c>
      <c r="AU133" s="3" t="s">
        <v>1786</v>
      </c>
      <c r="AV133" s="3" t="s">
        <v>1787</v>
      </c>
      <c r="AW133" s="3" t="s">
        <v>1788</v>
      </c>
      <c r="AX133" s="3" t="s">
        <v>1788</v>
      </c>
      <c r="AY133" s="3" t="s">
        <v>1789</v>
      </c>
      <c r="AZ133" s="3" t="s">
        <v>74</v>
      </c>
      <c r="BC133" s="3" t="s">
        <v>1790</v>
      </c>
      <c r="BD133" s="3" t="s">
        <v>1791</v>
      </c>
    </row>
    <row r="134" spans="1:56" ht="40.5" customHeight="1" x14ac:dyDescent="0.25">
      <c r="A134" s="8" t="s">
        <v>58</v>
      </c>
      <c r="B134" s="2" t="s">
        <v>1792</v>
      </c>
      <c r="C134" s="2" t="s">
        <v>1793</v>
      </c>
      <c r="D134" s="2" t="s">
        <v>1794</v>
      </c>
      <c r="F134" s="3" t="s">
        <v>58</v>
      </c>
      <c r="G134" s="3" t="s">
        <v>59</v>
      </c>
      <c r="H134" s="3" t="s">
        <v>69</v>
      </c>
      <c r="I134" s="3" t="s">
        <v>58</v>
      </c>
      <c r="J134" s="3" t="s">
        <v>60</v>
      </c>
      <c r="K134" s="2" t="s">
        <v>1795</v>
      </c>
      <c r="L134" s="2" t="s">
        <v>1796</v>
      </c>
      <c r="M134" s="3" t="s">
        <v>1500</v>
      </c>
      <c r="O134" s="3" t="s">
        <v>64</v>
      </c>
      <c r="P134" s="3" t="s">
        <v>83</v>
      </c>
      <c r="R134" s="3" t="s">
        <v>66</v>
      </c>
      <c r="S134" s="4">
        <v>0</v>
      </c>
      <c r="T134" s="4">
        <v>2</v>
      </c>
      <c r="V134" s="5" t="s">
        <v>1797</v>
      </c>
      <c r="W134" s="5" t="s">
        <v>1798</v>
      </c>
      <c r="X134" s="5" t="s">
        <v>1798</v>
      </c>
      <c r="Y134" s="4">
        <v>553</v>
      </c>
      <c r="Z134" s="4">
        <v>464</v>
      </c>
      <c r="AA134" s="4">
        <v>475</v>
      </c>
      <c r="AB134" s="4">
        <v>3</v>
      </c>
      <c r="AC134" s="4">
        <v>3</v>
      </c>
      <c r="AD134" s="4">
        <v>20</v>
      </c>
      <c r="AE134" s="4">
        <v>20</v>
      </c>
      <c r="AF134" s="4">
        <v>8</v>
      </c>
      <c r="AG134" s="4">
        <v>8</v>
      </c>
      <c r="AH134" s="4">
        <v>6</v>
      </c>
      <c r="AI134" s="4">
        <v>6</v>
      </c>
      <c r="AJ134" s="4">
        <v>11</v>
      </c>
      <c r="AK134" s="4">
        <v>11</v>
      </c>
      <c r="AL134" s="4">
        <v>1</v>
      </c>
      <c r="AM134" s="4">
        <v>1</v>
      </c>
      <c r="AN134" s="4">
        <v>0</v>
      </c>
      <c r="AO134" s="4">
        <v>0</v>
      </c>
      <c r="AP134" s="3" t="s">
        <v>58</v>
      </c>
      <c r="AQ134" s="3" t="s">
        <v>69</v>
      </c>
      <c r="AR134" s="6" t="str">
        <f>HYPERLINK("http://catalog.hathitrust.org/Record/001496012","HathiTrust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HYPERLINK("https://creighton-primo.hosted.exlibrisgroup.com/primo-explore/search?tab=default_tab&amp;search_scope=EVERYTHING&amp;vid=01CRU&amp;lang=en_US&amp;offset=0&amp;query=any,contains,991001779599702656","Catalog Record")</f>
        <v>Catalog Record</v>
      </c>
      <c r="AT134" s="6" t="str">
        <f>HYPERLINK("http://www.worldcat.org/oclc/556031","WorldCat Record")</f>
        <v>WorldCat Record</v>
      </c>
      <c r="AU134" s="3" t="s">
        <v>1799</v>
      </c>
      <c r="AV134" s="3" t="s">
        <v>1800</v>
      </c>
      <c r="AW134" s="3" t="s">
        <v>1801</v>
      </c>
      <c r="AX134" s="3" t="s">
        <v>1801</v>
      </c>
      <c r="AY134" s="3" t="s">
        <v>1802</v>
      </c>
      <c r="AZ134" s="3" t="s">
        <v>74</v>
      </c>
      <c r="BC134" s="3" t="s">
        <v>1803</v>
      </c>
      <c r="BD134" s="3" t="s">
        <v>1804</v>
      </c>
    </row>
    <row r="135" spans="1:56" ht="40.5" customHeight="1" x14ac:dyDescent="0.25">
      <c r="A135" s="8" t="s">
        <v>58</v>
      </c>
      <c r="B135" s="2" t="s">
        <v>1805</v>
      </c>
      <c r="C135" s="2" t="s">
        <v>1806</v>
      </c>
      <c r="D135" s="2" t="s">
        <v>1807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L135" s="2" t="s">
        <v>1808</v>
      </c>
      <c r="M135" s="3" t="s">
        <v>480</v>
      </c>
      <c r="O135" s="3" t="s">
        <v>64</v>
      </c>
      <c r="P135" s="3" t="s">
        <v>113</v>
      </c>
      <c r="Q135" s="2" t="s">
        <v>1809</v>
      </c>
      <c r="R135" s="3" t="s">
        <v>66</v>
      </c>
      <c r="S135" s="4">
        <v>4</v>
      </c>
      <c r="T135" s="4">
        <v>4</v>
      </c>
      <c r="U135" s="5" t="s">
        <v>1810</v>
      </c>
      <c r="V135" s="5" t="s">
        <v>1810</v>
      </c>
      <c r="W135" s="5" t="s">
        <v>1811</v>
      </c>
      <c r="X135" s="5" t="s">
        <v>1811</v>
      </c>
      <c r="Y135" s="4">
        <v>179</v>
      </c>
      <c r="Z135" s="4">
        <v>111</v>
      </c>
      <c r="AA135" s="4">
        <v>113</v>
      </c>
      <c r="AB135" s="4">
        <v>1</v>
      </c>
      <c r="AC135" s="4">
        <v>1</v>
      </c>
      <c r="AD135" s="4">
        <v>2</v>
      </c>
      <c r="AE135" s="4">
        <v>2</v>
      </c>
      <c r="AF135" s="4">
        <v>0</v>
      </c>
      <c r="AG135" s="4">
        <v>0</v>
      </c>
      <c r="AH135" s="4">
        <v>2</v>
      </c>
      <c r="AI135" s="4">
        <v>2</v>
      </c>
      <c r="AJ135" s="4">
        <v>1</v>
      </c>
      <c r="AK135" s="4">
        <v>1</v>
      </c>
      <c r="AL135" s="4">
        <v>0</v>
      </c>
      <c r="AM135" s="4">
        <v>0</v>
      </c>
      <c r="AN135" s="4">
        <v>0</v>
      </c>
      <c r="AO135" s="4">
        <v>0</v>
      </c>
      <c r="AP135" s="3" t="s">
        <v>58</v>
      </c>
      <c r="AQ135" s="3" t="s">
        <v>69</v>
      </c>
      <c r="AR135" s="6" t="str">
        <f>HYPERLINK("http://catalog.hathitrust.org/Record/002208467","HathiTrust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HYPERLINK("https://creighton-primo.hosted.exlibrisgroup.com/primo-explore/search?tab=default_tab&amp;search_scope=EVERYTHING&amp;vid=01CRU&amp;lang=en_US&amp;offset=0&amp;query=any,contains,991001587739702656","Catalog Record")</f>
        <v>Catalog Record</v>
      </c>
      <c r="AT135" s="6" t="str">
        <f>HYPERLINK("http://www.worldcat.org/oclc/20560591","WorldCat Record")</f>
        <v>WorldCat Record</v>
      </c>
      <c r="AU135" s="3" t="s">
        <v>1812</v>
      </c>
      <c r="AV135" s="3" t="s">
        <v>1813</v>
      </c>
      <c r="AW135" s="3" t="s">
        <v>1814</v>
      </c>
      <c r="AX135" s="3" t="s">
        <v>1814</v>
      </c>
      <c r="AY135" s="3" t="s">
        <v>1815</v>
      </c>
      <c r="AZ135" s="3" t="s">
        <v>74</v>
      </c>
      <c r="BB135" s="3" t="s">
        <v>1816</v>
      </c>
      <c r="BC135" s="3" t="s">
        <v>1817</v>
      </c>
      <c r="BD135" s="3" t="s">
        <v>1818</v>
      </c>
    </row>
    <row r="136" spans="1:56" ht="40.5" customHeight="1" x14ac:dyDescent="0.25">
      <c r="A136" s="8" t="s">
        <v>58</v>
      </c>
      <c r="B136" s="2" t="s">
        <v>1819</v>
      </c>
      <c r="C136" s="2" t="s">
        <v>1820</v>
      </c>
      <c r="D136" s="2" t="s">
        <v>1821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1822</v>
      </c>
      <c r="L136" s="2" t="s">
        <v>1823</v>
      </c>
      <c r="M136" s="3" t="s">
        <v>829</v>
      </c>
      <c r="N136" s="2" t="s">
        <v>271</v>
      </c>
      <c r="O136" s="3" t="s">
        <v>64</v>
      </c>
      <c r="P136" s="3" t="s">
        <v>83</v>
      </c>
      <c r="Q136" s="2" t="s">
        <v>1824</v>
      </c>
      <c r="R136" s="3" t="s">
        <v>66</v>
      </c>
      <c r="S136" s="4">
        <v>1</v>
      </c>
      <c r="T136" s="4">
        <v>1</v>
      </c>
      <c r="U136" s="5" t="s">
        <v>1173</v>
      </c>
      <c r="V136" s="5" t="s">
        <v>1173</v>
      </c>
      <c r="W136" s="5" t="s">
        <v>1825</v>
      </c>
      <c r="X136" s="5" t="s">
        <v>1825</v>
      </c>
      <c r="Y136" s="4">
        <v>517</v>
      </c>
      <c r="Z136" s="4">
        <v>331</v>
      </c>
      <c r="AA136" s="4">
        <v>586</v>
      </c>
      <c r="AB136" s="4">
        <v>3</v>
      </c>
      <c r="AC136" s="4">
        <v>3</v>
      </c>
      <c r="AD136" s="4">
        <v>13</v>
      </c>
      <c r="AE136" s="4">
        <v>21</v>
      </c>
      <c r="AF136" s="4">
        <v>4</v>
      </c>
      <c r="AG136" s="4">
        <v>7</v>
      </c>
      <c r="AH136" s="4">
        <v>3</v>
      </c>
      <c r="AI136" s="4">
        <v>7</v>
      </c>
      <c r="AJ136" s="4">
        <v>7</v>
      </c>
      <c r="AK136" s="4">
        <v>13</v>
      </c>
      <c r="AL136" s="4">
        <v>2</v>
      </c>
      <c r="AM136" s="4">
        <v>2</v>
      </c>
      <c r="AN136" s="4">
        <v>0</v>
      </c>
      <c r="AO136" s="4">
        <v>0</v>
      </c>
      <c r="AP136" s="3" t="s">
        <v>58</v>
      </c>
      <c r="AQ136" s="3" t="s">
        <v>58</v>
      </c>
      <c r="AS136" s="6" t="str">
        <f>HYPERLINK("https://creighton-primo.hosted.exlibrisgroup.com/primo-explore/search?tab=default_tab&amp;search_scope=EVERYTHING&amp;vid=01CRU&amp;lang=en_US&amp;offset=0&amp;query=any,contains,991000641479702656","Catalog Record")</f>
        <v>Catalog Record</v>
      </c>
      <c r="AT136" s="6" t="str">
        <f>HYPERLINK("http://www.worldcat.org/oclc/12104993","WorldCat Record")</f>
        <v>WorldCat Record</v>
      </c>
      <c r="AU136" s="3" t="s">
        <v>1826</v>
      </c>
      <c r="AV136" s="3" t="s">
        <v>1827</v>
      </c>
      <c r="AW136" s="3" t="s">
        <v>1828</v>
      </c>
      <c r="AX136" s="3" t="s">
        <v>1828</v>
      </c>
      <c r="AY136" s="3" t="s">
        <v>1829</v>
      </c>
      <c r="AZ136" s="3" t="s">
        <v>74</v>
      </c>
      <c r="BB136" s="3" t="s">
        <v>1830</v>
      </c>
      <c r="BC136" s="3" t="s">
        <v>1831</v>
      </c>
      <c r="BD136" s="3" t="s">
        <v>1832</v>
      </c>
    </row>
    <row r="137" spans="1:56" ht="40.5" customHeight="1" x14ac:dyDescent="0.25">
      <c r="A137" s="8" t="s">
        <v>58</v>
      </c>
      <c r="B137" s="2" t="s">
        <v>1833</v>
      </c>
      <c r="C137" s="2" t="s">
        <v>1834</v>
      </c>
      <c r="D137" s="2" t="s">
        <v>1835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1836</v>
      </c>
      <c r="L137" s="2" t="s">
        <v>1837</v>
      </c>
      <c r="M137" s="3" t="s">
        <v>1676</v>
      </c>
      <c r="N137" s="2" t="s">
        <v>1606</v>
      </c>
      <c r="O137" s="3" t="s">
        <v>64</v>
      </c>
      <c r="P137" s="3" t="s">
        <v>83</v>
      </c>
      <c r="R137" s="3" t="s">
        <v>66</v>
      </c>
      <c r="S137" s="4">
        <v>3</v>
      </c>
      <c r="T137" s="4">
        <v>3</v>
      </c>
      <c r="U137" s="5" t="s">
        <v>1173</v>
      </c>
      <c r="V137" s="5" t="s">
        <v>1173</v>
      </c>
      <c r="W137" s="5" t="s">
        <v>1838</v>
      </c>
      <c r="X137" s="5" t="s">
        <v>1838</v>
      </c>
      <c r="Y137" s="4">
        <v>273</v>
      </c>
      <c r="Z137" s="4">
        <v>174</v>
      </c>
      <c r="AA137" s="4">
        <v>438</v>
      </c>
      <c r="AB137" s="4">
        <v>2</v>
      </c>
      <c r="AC137" s="4">
        <v>3</v>
      </c>
      <c r="AD137" s="4">
        <v>8</v>
      </c>
      <c r="AE137" s="4">
        <v>20</v>
      </c>
      <c r="AF137" s="4">
        <v>2</v>
      </c>
      <c r="AG137" s="4">
        <v>6</v>
      </c>
      <c r="AH137" s="4">
        <v>4</v>
      </c>
      <c r="AI137" s="4">
        <v>6</v>
      </c>
      <c r="AJ137" s="4">
        <v>3</v>
      </c>
      <c r="AK137" s="4">
        <v>10</v>
      </c>
      <c r="AL137" s="4">
        <v>1</v>
      </c>
      <c r="AM137" s="4">
        <v>2</v>
      </c>
      <c r="AN137" s="4">
        <v>0</v>
      </c>
      <c r="AO137" s="4">
        <v>0</v>
      </c>
      <c r="AP137" s="3" t="s">
        <v>58</v>
      </c>
      <c r="AQ137" s="3" t="s">
        <v>69</v>
      </c>
      <c r="AR137" s="6" t="str">
        <f>HYPERLINK("http://catalog.hathitrust.org/Record/005214890","HathiTrust Record")</f>
        <v>HathiTrust Record</v>
      </c>
      <c r="AS137" s="6" t="str">
        <f>HYPERLINK("https://creighton-primo.hosted.exlibrisgroup.com/primo-explore/search?tab=default_tab&amp;search_scope=EVERYTHING&amp;vid=01CRU&amp;lang=en_US&amp;offset=0&amp;query=any,contains,991004933159702656","Catalog Record")</f>
        <v>Catalog Record</v>
      </c>
      <c r="AT137" s="6" t="str">
        <f>HYPERLINK("http://www.worldcat.org/oclc/60414377","WorldCat Record")</f>
        <v>WorldCat Record</v>
      </c>
      <c r="AU137" s="3" t="s">
        <v>1839</v>
      </c>
      <c r="AV137" s="3" t="s">
        <v>1840</v>
      </c>
      <c r="AW137" s="3" t="s">
        <v>1841</v>
      </c>
      <c r="AX137" s="3" t="s">
        <v>1841</v>
      </c>
      <c r="AY137" s="3" t="s">
        <v>1842</v>
      </c>
      <c r="AZ137" s="3" t="s">
        <v>74</v>
      </c>
      <c r="BB137" s="3" t="s">
        <v>1843</v>
      </c>
      <c r="BC137" s="3" t="s">
        <v>1844</v>
      </c>
      <c r="BD137" s="3" t="s">
        <v>1845</v>
      </c>
    </row>
    <row r="138" spans="1:56" ht="40.5" customHeight="1" x14ac:dyDescent="0.25">
      <c r="A138" s="8" t="s">
        <v>58</v>
      </c>
      <c r="B138" s="2" t="s">
        <v>1846</v>
      </c>
      <c r="C138" s="2" t="s">
        <v>1847</v>
      </c>
      <c r="D138" s="2" t="s">
        <v>1848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1849</v>
      </c>
      <c r="L138" s="2" t="s">
        <v>1850</v>
      </c>
      <c r="M138" s="3" t="s">
        <v>480</v>
      </c>
      <c r="O138" s="3" t="s">
        <v>64</v>
      </c>
      <c r="P138" s="3" t="s">
        <v>113</v>
      </c>
      <c r="R138" s="3" t="s">
        <v>66</v>
      </c>
      <c r="S138" s="4">
        <v>11</v>
      </c>
      <c r="T138" s="4">
        <v>11</v>
      </c>
      <c r="U138" s="5" t="s">
        <v>1851</v>
      </c>
      <c r="V138" s="5" t="s">
        <v>1851</v>
      </c>
      <c r="W138" s="5" t="s">
        <v>1852</v>
      </c>
      <c r="X138" s="5" t="s">
        <v>1852</v>
      </c>
      <c r="Y138" s="4">
        <v>330</v>
      </c>
      <c r="Z138" s="4">
        <v>227</v>
      </c>
      <c r="AA138" s="4">
        <v>234</v>
      </c>
      <c r="AB138" s="4">
        <v>2</v>
      </c>
      <c r="AC138" s="4">
        <v>2</v>
      </c>
      <c r="AD138" s="4">
        <v>10</v>
      </c>
      <c r="AE138" s="4">
        <v>10</v>
      </c>
      <c r="AF138" s="4">
        <v>5</v>
      </c>
      <c r="AG138" s="4">
        <v>5</v>
      </c>
      <c r="AH138" s="4">
        <v>2</v>
      </c>
      <c r="AI138" s="4">
        <v>2</v>
      </c>
      <c r="AJ138" s="4">
        <v>4</v>
      </c>
      <c r="AK138" s="4">
        <v>4</v>
      </c>
      <c r="AL138" s="4">
        <v>1</v>
      </c>
      <c r="AM138" s="4">
        <v>1</v>
      </c>
      <c r="AN138" s="4">
        <v>0</v>
      </c>
      <c r="AO138" s="4">
        <v>0</v>
      </c>
      <c r="AP138" s="3" t="s">
        <v>58</v>
      </c>
      <c r="AQ138" s="3" t="s">
        <v>69</v>
      </c>
      <c r="AR138" s="6" t="str">
        <f>HYPERLINK("http://catalog.hathitrust.org/Record/002463402","HathiTrust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HYPERLINK("https://creighton-primo.hosted.exlibrisgroup.com/primo-explore/search?tab=default_tab&amp;search_scope=EVERYTHING&amp;vid=01CRU&amp;lang=en_US&amp;offset=0&amp;query=any,contains,991001767129702656","Catalog Record")</f>
        <v>Catalog Record</v>
      </c>
      <c r="AT138" s="6" t="str">
        <f>HYPERLINK("http://www.worldcat.org/oclc/22311341","WorldCat Record")</f>
        <v>WorldCat Record</v>
      </c>
      <c r="AU138" s="3" t="s">
        <v>1853</v>
      </c>
      <c r="AV138" s="3" t="s">
        <v>1854</v>
      </c>
      <c r="AW138" s="3" t="s">
        <v>1855</v>
      </c>
      <c r="AX138" s="3" t="s">
        <v>1855</v>
      </c>
      <c r="AY138" s="3" t="s">
        <v>1856</v>
      </c>
      <c r="AZ138" s="3" t="s">
        <v>74</v>
      </c>
      <c r="BB138" s="3" t="s">
        <v>1857</v>
      </c>
      <c r="BC138" s="3" t="s">
        <v>1858</v>
      </c>
      <c r="BD138" s="3" t="s">
        <v>1859</v>
      </c>
    </row>
    <row r="139" spans="1:56" ht="40.5" customHeight="1" x14ac:dyDescent="0.25">
      <c r="A139" s="8" t="s">
        <v>58</v>
      </c>
      <c r="B139" s="2" t="s">
        <v>1860</v>
      </c>
      <c r="C139" s="2" t="s">
        <v>1861</v>
      </c>
      <c r="D139" s="2" t="s">
        <v>1862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L139" s="2" t="s">
        <v>1863</v>
      </c>
      <c r="M139" s="3" t="s">
        <v>1864</v>
      </c>
      <c r="O139" s="3" t="s">
        <v>64</v>
      </c>
      <c r="P139" s="3" t="s">
        <v>113</v>
      </c>
      <c r="R139" s="3" t="s">
        <v>66</v>
      </c>
      <c r="S139" s="4">
        <v>4</v>
      </c>
      <c r="T139" s="4">
        <v>4</v>
      </c>
      <c r="U139" s="5" t="s">
        <v>1865</v>
      </c>
      <c r="V139" s="5" t="s">
        <v>1865</v>
      </c>
      <c r="W139" s="5" t="s">
        <v>68</v>
      </c>
      <c r="X139" s="5" t="s">
        <v>68</v>
      </c>
      <c r="Y139" s="4">
        <v>291</v>
      </c>
      <c r="Z139" s="4">
        <v>179</v>
      </c>
      <c r="AA139" s="4">
        <v>180</v>
      </c>
      <c r="AB139" s="4">
        <v>1</v>
      </c>
      <c r="AC139" s="4">
        <v>1</v>
      </c>
      <c r="AD139" s="4">
        <v>1</v>
      </c>
      <c r="AE139" s="4">
        <v>1</v>
      </c>
      <c r="AF139" s="4">
        <v>0</v>
      </c>
      <c r="AG139" s="4">
        <v>0</v>
      </c>
      <c r="AH139" s="4">
        <v>1</v>
      </c>
      <c r="AI139" s="4">
        <v>1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3" t="s">
        <v>58</v>
      </c>
      <c r="AQ139" s="3" t="s">
        <v>69</v>
      </c>
      <c r="AR139" s="6" t="str">
        <f>HYPERLINK("http://catalog.hathitrust.org/Record/006253456","HathiTrust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HYPERLINK("https://creighton-primo.hosted.exlibrisgroup.com/primo-explore/search?tab=default_tab&amp;search_scope=EVERYTHING&amp;vid=01CRU&amp;lang=en_US&amp;offset=0&amp;query=any,contains,991004545399702656","Catalog Record")</f>
        <v>Catalog Record</v>
      </c>
      <c r="AT139" s="6" t="str">
        <f>HYPERLINK("http://www.worldcat.org/oclc/3913258","WorldCat Record")</f>
        <v>WorldCat Record</v>
      </c>
      <c r="AU139" s="3" t="s">
        <v>1866</v>
      </c>
      <c r="AV139" s="3" t="s">
        <v>1867</v>
      </c>
      <c r="AW139" s="3" t="s">
        <v>1868</v>
      </c>
      <c r="AX139" s="3" t="s">
        <v>1868</v>
      </c>
      <c r="AY139" s="3" t="s">
        <v>1869</v>
      </c>
      <c r="AZ139" s="3" t="s">
        <v>74</v>
      </c>
      <c r="BB139" s="3" t="s">
        <v>1870</v>
      </c>
      <c r="BC139" s="3" t="s">
        <v>1871</v>
      </c>
      <c r="BD139" s="3" t="s">
        <v>1872</v>
      </c>
    </row>
    <row r="140" spans="1:56" ht="40.5" customHeight="1" x14ac:dyDescent="0.25">
      <c r="A140" s="8" t="s">
        <v>58</v>
      </c>
      <c r="B140" s="2" t="s">
        <v>1873</v>
      </c>
      <c r="C140" s="2" t="s">
        <v>1874</v>
      </c>
      <c r="D140" s="2" t="s">
        <v>1875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K140" s="2" t="s">
        <v>1876</v>
      </c>
      <c r="L140" s="2" t="s">
        <v>869</v>
      </c>
      <c r="M140" s="3" t="s">
        <v>870</v>
      </c>
      <c r="O140" s="3" t="s">
        <v>64</v>
      </c>
      <c r="P140" s="3" t="s">
        <v>83</v>
      </c>
      <c r="Q140" s="2" t="s">
        <v>1877</v>
      </c>
      <c r="R140" s="3" t="s">
        <v>66</v>
      </c>
      <c r="S140" s="4">
        <v>2</v>
      </c>
      <c r="T140" s="4">
        <v>2</v>
      </c>
      <c r="U140" s="5" t="s">
        <v>1878</v>
      </c>
      <c r="V140" s="5" t="s">
        <v>1878</v>
      </c>
      <c r="W140" s="5" t="s">
        <v>68</v>
      </c>
      <c r="X140" s="5" t="s">
        <v>68</v>
      </c>
      <c r="Y140" s="4">
        <v>235</v>
      </c>
      <c r="Z140" s="4">
        <v>154</v>
      </c>
      <c r="AA140" s="4">
        <v>171</v>
      </c>
      <c r="AB140" s="4">
        <v>1</v>
      </c>
      <c r="AC140" s="4">
        <v>1</v>
      </c>
      <c r="AD140" s="4">
        <v>3</v>
      </c>
      <c r="AE140" s="4">
        <v>3</v>
      </c>
      <c r="AF140" s="4">
        <v>2</v>
      </c>
      <c r="AG140" s="4">
        <v>2</v>
      </c>
      <c r="AH140" s="4">
        <v>1</v>
      </c>
      <c r="AI140" s="4">
        <v>1</v>
      </c>
      <c r="AJ140" s="4">
        <v>3</v>
      </c>
      <c r="AK140" s="4">
        <v>3</v>
      </c>
      <c r="AL140" s="4">
        <v>0</v>
      </c>
      <c r="AM140" s="4">
        <v>0</v>
      </c>
      <c r="AN140" s="4">
        <v>0</v>
      </c>
      <c r="AO140" s="4">
        <v>0</v>
      </c>
      <c r="AP140" s="3" t="s">
        <v>58</v>
      </c>
      <c r="AQ140" s="3" t="s">
        <v>69</v>
      </c>
      <c r="AR140" s="6" t="str">
        <f>HYPERLINK("http://catalog.hathitrust.org/Record/000104275","HathiTrust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HYPERLINK("https://creighton-primo.hosted.exlibrisgroup.com/primo-explore/search?tab=default_tab&amp;search_scope=EVERYTHING&amp;vid=01CRU&amp;lang=en_US&amp;offset=0&amp;query=any,contains,991005099119702656","Catalog Record")</f>
        <v>Catalog Record</v>
      </c>
      <c r="AT140" s="6" t="str">
        <f>HYPERLINK("http://www.worldcat.org/oclc/7279072","WorldCat Record")</f>
        <v>WorldCat Record</v>
      </c>
      <c r="AU140" s="3" t="s">
        <v>1879</v>
      </c>
      <c r="AV140" s="3" t="s">
        <v>1880</v>
      </c>
      <c r="AW140" s="3" t="s">
        <v>1881</v>
      </c>
      <c r="AX140" s="3" t="s">
        <v>1881</v>
      </c>
      <c r="AY140" s="3" t="s">
        <v>1882</v>
      </c>
      <c r="AZ140" s="3" t="s">
        <v>74</v>
      </c>
      <c r="BB140" s="3" t="s">
        <v>1883</v>
      </c>
      <c r="BC140" s="3" t="s">
        <v>1884</v>
      </c>
      <c r="BD140" s="3" t="s">
        <v>1885</v>
      </c>
    </row>
    <row r="141" spans="1:56" ht="40.5" customHeight="1" x14ac:dyDescent="0.25">
      <c r="A141" s="8" t="s">
        <v>58</v>
      </c>
      <c r="B141" s="2" t="s">
        <v>1886</v>
      </c>
      <c r="C141" s="2" t="s">
        <v>1887</v>
      </c>
      <c r="D141" s="2" t="s">
        <v>1888</v>
      </c>
      <c r="F141" s="3" t="s">
        <v>58</v>
      </c>
      <c r="G141" s="3" t="s">
        <v>59</v>
      </c>
      <c r="H141" s="3" t="s">
        <v>58</v>
      </c>
      <c r="I141" s="3" t="s">
        <v>69</v>
      </c>
      <c r="J141" s="3" t="s">
        <v>60</v>
      </c>
      <c r="K141" s="2" t="s">
        <v>1889</v>
      </c>
      <c r="L141" s="2" t="s">
        <v>1890</v>
      </c>
      <c r="M141" s="3" t="s">
        <v>243</v>
      </c>
      <c r="N141" s="2" t="s">
        <v>271</v>
      </c>
      <c r="O141" s="3" t="s">
        <v>64</v>
      </c>
      <c r="P141" s="3" t="s">
        <v>113</v>
      </c>
      <c r="R141" s="3" t="s">
        <v>66</v>
      </c>
      <c r="S141" s="4">
        <v>8</v>
      </c>
      <c r="T141" s="4">
        <v>8</v>
      </c>
      <c r="U141" s="5" t="s">
        <v>1891</v>
      </c>
      <c r="V141" s="5" t="s">
        <v>1891</v>
      </c>
      <c r="W141" s="5" t="s">
        <v>1892</v>
      </c>
      <c r="X141" s="5" t="s">
        <v>1892</v>
      </c>
      <c r="Y141" s="4">
        <v>527</v>
      </c>
      <c r="Z141" s="4">
        <v>351</v>
      </c>
      <c r="AA141" s="4">
        <v>1358</v>
      </c>
      <c r="AB141" s="4">
        <v>1</v>
      </c>
      <c r="AC141" s="4">
        <v>5</v>
      </c>
      <c r="AD141" s="4">
        <v>6</v>
      </c>
      <c r="AE141" s="4">
        <v>47</v>
      </c>
      <c r="AF141" s="4">
        <v>4</v>
      </c>
      <c r="AG141" s="4">
        <v>23</v>
      </c>
      <c r="AH141" s="4">
        <v>1</v>
      </c>
      <c r="AI141" s="4">
        <v>9</v>
      </c>
      <c r="AJ141" s="4">
        <v>3</v>
      </c>
      <c r="AK141" s="4">
        <v>21</v>
      </c>
      <c r="AL141" s="4">
        <v>0</v>
      </c>
      <c r="AM141" s="4">
        <v>4</v>
      </c>
      <c r="AN141" s="4">
        <v>0</v>
      </c>
      <c r="AO141" s="4">
        <v>0</v>
      </c>
      <c r="AP141" s="3" t="s">
        <v>58</v>
      </c>
      <c r="AQ141" s="3" t="s">
        <v>69</v>
      </c>
      <c r="AR141" s="6" t="str">
        <f>HYPERLINK("http://catalog.hathitrust.org/Record/000846707","HathiTrust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HYPERLINK("https://creighton-primo.hosted.exlibrisgroup.com/primo-explore/search?tab=default_tab&amp;search_scope=EVERYTHING&amp;vid=01CRU&amp;lang=en_US&amp;offset=0&amp;query=any,contains,991001092579702656","Catalog Record")</f>
        <v>Catalog Record</v>
      </c>
      <c r="AT141" s="6" t="str">
        <f>HYPERLINK("http://www.worldcat.org/oclc/16226156","WorldCat Record")</f>
        <v>WorldCat Record</v>
      </c>
      <c r="AU141" s="3" t="s">
        <v>1893</v>
      </c>
      <c r="AV141" s="3" t="s">
        <v>1894</v>
      </c>
      <c r="AW141" s="3" t="s">
        <v>1895</v>
      </c>
      <c r="AX141" s="3" t="s">
        <v>1895</v>
      </c>
      <c r="AY141" s="3" t="s">
        <v>1896</v>
      </c>
      <c r="AZ141" s="3" t="s">
        <v>74</v>
      </c>
      <c r="BB141" s="3" t="s">
        <v>1897</v>
      </c>
      <c r="BC141" s="3" t="s">
        <v>1898</v>
      </c>
      <c r="BD141" s="3" t="s">
        <v>1899</v>
      </c>
    </row>
    <row r="142" spans="1:56" ht="40.5" customHeight="1" x14ac:dyDescent="0.25">
      <c r="A142" s="8" t="s">
        <v>58</v>
      </c>
      <c r="B142" s="2" t="s">
        <v>1901</v>
      </c>
      <c r="C142" s="2" t="s">
        <v>1902</v>
      </c>
      <c r="D142" s="2" t="s">
        <v>1903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1904</v>
      </c>
      <c r="L142" s="2" t="s">
        <v>1905</v>
      </c>
      <c r="M142" s="3" t="s">
        <v>126</v>
      </c>
      <c r="N142" s="2" t="s">
        <v>1759</v>
      </c>
      <c r="O142" s="3" t="s">
        <v>64</v>
      </c>
      <c r="P142" s="3" t="s">
        <v>172</v>
      </c>
      <c r="Q142" s="2" t="s">
        <v>1906</v>
      </c>
      <c r="R142" s="3" t="s">
        <v>1907</v>
      </c>
      <c r="S142" s="4">
        <v>52</v>
      </c>
      <c r="T142" s="4">
        <v>52</v>
      </c>
      <c r="U142" s="5" t="s">
        <v>1908</v>
      </c>
      <c r="V142" s="5" t="s">
        <v>1908</v>
      </c>
      <c r="W142" s="5" t="s">
        <v>1909</v>
      </c>
      <c r="X142" s="5" t="s">
        <v>1909</v>
      </c>
      <c r="Y142" s="4">
        <v>162</v>
      </c>
      <c r="Z142" s="4">
        <v>94</v>
      </c>
      <c r="AA142" s="4">
        <v>418</v>
      </c>
      <c r="AB142" s="4">
        <v>1</v>
      </c>
      <c r="AC142" s="4">
        <v>1</v>
      </c>
      <c r="AD142" s="4">
        <v>1</v>
      </c>
      <c r="AE142" s="4">
        <v>10</v>
      </c>
      <c r="AF142" s="4">
        <v>1</v>
      </c>
      <c r="AG142" s="4">
        <v>4</v>
      </c>
      <c r="AH142" s="4">
        <v>0</v>
      </c>
      <c r="AI142" s="4">
        <v>3</v>
      </c>
      <c r="AJ142" s="4">
        <v>0</v>
      </c>
      <c r="AK142" s="4">
        <v>4</v>
      </c>
      <c r="AL142" s="4">
        <v>0</v>
      </c>
      <c r="AM142" s="4">
        <v>0</v>
      </c>
      <c r="AN142" s="4">
        <v>0</v>
      </c>
      <c r="AO142" s="4">
        <v>0</v>
      </c>
      <c r="AP142" s="3" t="s">
        <v>58</v>
      </c>
      <c r="AQ142" s="3" t="s">
        <v>69</v>
      </c>
      <c r="AR142" s="6" t="str">
        <f>HYPERLINK("http://catalog.hathitrust.org/Record/002812163","HathiTrust Record")</f>
        <v>HathiTrust Record</v>
      </c>
      <c r="AS142" s="6" t="str">
        <f>HYPERLINK("https://creighton-primo.hosted.exlibrisgroup.com/primo-explore/search?tab=default_tab&amp;search_scope=EVERYTHING&amp;vid=01CRU&amp;lang=en_US&amp;offset=0&amp;query=any,contains,991001395409702656","Catalog Record")</f>
        <v>Catalog Record</v>
      </c>
      <c r="AT142" s="6" t="str">
        <f>HYPERLINK("http://www.worldcat.org/oclc/29517617","WorldCat Record")</f>
        <v>WorldCat Record</v>
      </c>
    </row>
    <row r="143" spans="1:56" ht="40.5" customHeight="1" x14ac:dyDescent="0.25">
      <c r="A143" s="8" t="s">
        <v>58</v>
      </c>
      <c r="B143" s="2" t="s">
        <v>1910</v>
      </c>
      <c r="C143" s="2" t="s">
        <v>1911</v>
      </c>
      <c r="D143" s="2" t="s">
        <v>1912</v>
      </c>
      <c r="F143" s="3" t="s">
        <v>58</v>
      </c>
      <c r="G143" s="3" t="s">
        <v>59</v>
      </c>
      <c r="H143" s="3" t="s">
        <v>58</v>
      </c>
      <c r="I143" s="3" t="s">
        <v>69</v>
      </c>
      <c r="J143" s="3" t="s">
        <v>60</v>
      </c>
      <c r="K143" s="2" t="s">
        <v>1913</v>
      </c>
      <c r="L143" s="2" t="s">
        <v>911</v>
      </c>
      <c r="M143" s="3" t="s">
        <v>525</v>
      </c>
      <c r="N143" s="2" t="s">
        <v>1914</v>
      </c>
      <c r="O143" s="3" t="s">
        <v>64</v>
      </c>
      <c r="P143" s="3" t="s">
        <v>186</v>
      </c>
      <c r="R143" s="3" t="s">
        <v>1907</v>
      </c>
      <c r="S143" s="4">
        <v>147</v>
      </c>
      <c r="T143" s="4">
        <v>147</v>
      </c>
      <c r="U143" s="5" t="s">
        <v>1915</v>
      </c>
      <c r="V143" s="5" t="s">
        <v>1915</v>
      </c>
      <c r="W143" s="5" t="s">
        <v>1916</v>
      </c>
      <c r="X143" s="5" t="s">
        <v>1916</v>
      </c>
      <c r="Y143" s="4">
        <v>186</v>
      </c>
      <c r="Z143" s="4">
        <v>135</v>
      </c>
      <c r="AA143" s="4">
        <v>470</v>
      </c>
      <c r="AB143" s="4">
        <v>1</v>
      </c>
      <c r="AC143" s="4">
        <v>3</v>
      </c>
      <c r="AD143" s="4">
        <v>3</v>
      </c>
      <c r="AE143" s="4">
        <v>15</v>
      </c>
      <c r="AF143" s="4">
        <v>0</v>
      </c>
      <c r="AG143" s="4">
        <v>5</v>
      </c>
      <c r="AH143" s="4">
        <v>2</v>
      </c>
      <c r="AI143" s="4">
        <v>3</v>
      </c>
      <c r="AJ143" s="4">
        <v>2</v>
      </c>
      <c r="AK143" s="4">
        <v>7</v>
      </c>
      <c r="AL143" s="4">
        <v>0</v>
      </c>
      <c r="AM143" s="4">
        <v>2</v>
      </c>
      <c r="AN143" s="4">
        <v>0</v>
      </c>
      <c r="AO143" s="4">
        <v>0</v>
      </c>
      <c r="AP143" s="3" t="s">
        <v>58</v>
      </c>
      <c r="AQ143" s="3" t="s">
        <v>69</v>
      </c>
      <c r="AR143" s="6" t="str">
        <f>HYPERLINK("http://catalog.hathitrust.org/Record/002468215","HathiTrust Record")</f>
        <v>HathiTrust Record</v>
      </c>
      <c r="AS143" s="6" t="str">
        <f>HYPERLINK("https://creighton-primo.hosted.exlibrisgroup.com/primo-explore/search?tab=default_tab&amp;search_scope=EVERYTHING&amp;vid=01CRU&amp;lang=en_US&amp;offset=0&amp;query=any,contains,991000827079702656","Catalog Record")</f>
        <v>Catalog Record</v>
      </c>
      <c r="AT143" s="6" t="str">
        <f>HYPERLINK("http://www.worldcat.org/oclc/24106523","WorldCat Record")</f>
        <v>WorldCat Record</v>
      </c>
    </row>
    <row r="144" spans="1:56" ht="40.5" customHeight="1" x14ac:dyDescent="0.25">
      <c r="A144" s="8" t="s">
        <v>58</v>
      </c>
      <c r="B144" s="2" t="s">
        <v>1917</v>
      </c>
      <c r="C144" s="2" t="s">
        <v>1918</v>
      </c>
      <c r="D144" s="2" t="s">
        <v>1919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1913</v>
      </c>
      <c r="L144" s="2" t="s">
        <v>1920</v>
      </c>
      <c r="M144" s="3" t="s">
        <v>63</v>
      </c>
      <c r="O144" s="3" t="s">
        <v>64</v>
      </c>
      <c r="P144" s="3" t="s">
        <v>1921</v>
      </c>
      <c r="R144" s="3" t="s">
        <v>1907</v>
      </c>
      <c r="S144" s="4">
        <v>18</v>
      </c>
      <c r="T144" s="4">
        <v>18</v>
      </c>
      <c r="U144" s="5" t="s">
        <v>1922</v>
      </c>
      <c r="V144" s="5" t="s">
        <v>1922</v>
      </c>
      <c r="W144" s="5" t="s">
        <v>1923</v>
      </c>
      <c r="X144" s="5" t="s">
        <v>1923</v>
      </c>
      <c r="Y144" s="4">
        <v>261</v>
      </c>
      <c r="Z144" s="4">
        <v>165</v>
      </c>
      <c r="AA144" s="4">
        <v>237</v>
      </c>
      <c r="AB144" s="4">
        <v>1</v>
      </c>
      <c r="AC144" s="4">
        <v>1</v>
      </c>
      <c r="AD144" s="4">
        <v>5</v>
      </c>
      <c r="AE144" s="4">
        <v>8</v>
      </c>
      <c r="AF144" s="4">
        <v>2</v>
      </c>
      <c r="AG144" s="4">
        <v>4</v>
      </c>
      <c r="AH144" s="4">
        <v>1</v>
      </c>
      <c r="AI144" s="4">
        <v>2</v>
      </c>
      <c r="AJ144" s="4">
        <v>4</v>
      </c>
      <c r="AK144" s="4">
        <v>4</v>
      </c>
      <c r="AL144" s="4">
        <v>0</v>
      </c>
      <c r="AM144" s="4">
        <v>0</v>
      </c>
      <c r="AN144" s="4">
        <v>0</v>
      </c>
      <c r="AO144" s="4">
        <v>0</v>
      </c>
      <c r="AP144" s="3" t="s">
        <v>58</v>
      </c>
      <c r="AQ144" s="3" t="s">
        <v>69</v>
      </c>
      <c r="AR144" s="6" t="str">
        <f>HYPERLINK("http://catalog.hathitrust.org/Record/002707737","HathiTrust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HYPERLINK("https://creighton-primo.hosted.exlibrisgroup.com/primo-explore/search?tab=default_tab&amp;search_scope=EVERYTHING&amp;vid=01CRU&amp;lang=en_US&amp;offset=0&amp;query=any,contains,991000994189702656","Catalog Record")</f>
        <v>Catalog Record</v>
      </c>
      <c r="AT144" s="6" t="str">
        <f>HYPERLINK("http://www.worldcat.org/oclc/9945894","WorldCat Record")</f>
        <v>WorldCat Record</v>
      </c>
    </row>
    <row r="145" spans="1:46" ht="40.5" customHeight="1" x14ac:dyDescent="0.25">
      <c r="A145" s="8" t="s">
        <v>58</v>
      </c>
      <c r="B145" s="2" t="s">
        <v>1924</v>
      </c>
      <c r="C145" s="2" t="s">
        <v>1925</v>
      </c>
      <c r="D145" s="2" t="s">
        <v>1926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1913</v>
      </c>
      <c r="L145" s="2" t="s">
        <v>1927</v>
      </c>
      <c r="M145" s="3" t="s">
        <v>1121</v>
      </c>
      <c r="N145" s="2" t="s">
        <v>127</v>
      </c>
      <c r="O145" s="3" t="s">
        <v>64</v>
      </c>
      <c r="P145" s="3" t="s">
        <v>186</v>
      </c>
      <c r="R145" s="3" t="s">
        <v>1907</v>
      </c>
      <c r="S145" s="4">
        <v>15</v>
      </c>
      <c r="T145" s="4">
        <v>15</v>
      </c>
      <c r="U145" s="5" t="s">
        <v>1928</v>
      </c>
      <c r="V145" s="5" t="s">
        <v>1928</v>
      </c>
      <c r="W145" s="5" t="s">
        <v>1923</v>
      </c>
      <c r="X145" s="5" t="s">
        <v>1923</v>
      </c>
      <c r="Y145" s="4">
        <v>135</v>
      </c>
      <c r="Z145" s="4">
        <v>98</v>
      </c>
      <c r="AA145" s="4">
        <v>98</v>
      </c>
      <c r="AB145" s="4">
        <v>1</v>
      </c>
      <c r="AC145" s="4">
        <v>1</v>
      </c>
      <c r="AD145" s="4">
        <v>3</v>
      </c>
      <c r="AE145" s="4">
        <v>3</v>
      </c>
      <c r="AF145" s="4">
        <v>1</v>
      </c>
      <c r="AG145" s="4">
        <v>1</v>
      </c>
      <c r="AH145" s="4">
        <v>0</v>
      </c>
      <c r="AI145" s="4">
        <v>0</v>
      </c>
      <c r="AJ145" s="4">
        <v>2</v>
      </c>
      <c r="AK145" s="4">
        <v>2</v>
      </c>
      <c r="AL145" s="4">
        <v>0</v>
      </c>
      <c r="AM145" s="4">
        <v>0</v>
      </c>
      <c r="AN145" s="4">
        <v>0</v>
      </c>
      <c r="AO145" s="4">
        <v>0</v>
      </c>
      <c r="AP145" s="3" t="s">
        <v>58</v>
      </c>
      <c r="AQ145" s="3" t="s">
        <v>58</v>
      </c>
      <c r="AS145" s="6" t="str">
        <f>HYPERLINK("https://creighton-primo.hosted.exlibrisgroup.com/primo-explore/search?tab=default_tab&amp;search_scope=EVERYTHING&amp;vid=01CRU&amp;lang=en_US&amp;offset=0&amp;query=any,contains,991000994239702656","Catalog Record")</f>
        <v>Catalog Record</v>
      </c>
      <c r="AT145" s="6" t="str">
        <f>HYPERLINK("http://www.worldcat.org/oclc/6834553","WorldCat Record")</f>
        <v>WorldCat Record</v>
      </c>
    </row>
    <row r="146" spans="1:46" ht="40.5" customHeight="1" x14ac:dyDescent="0.25">
      <c r="A146" s="8" t="s">
        <v>58</v>
      </c>
      <c r="B146" s="2" t="s">
        <v>1929</v>
      </c>
      <c r="C146" s="2" t="s">
        <v>1930</v>
      </c>
      <c r="D146" s="2" t="s">
        <v>1931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1932</v>
      </c>
      <c r="L146" s="2" t="s">
        <v>1933</v>
      </c>
      <c r="M146" s="3" t="s">
        <v>870</v>
      </c>
      <c r="O146" s="3" t="s">
        <v>64</v>
      </c>
      <c r="P146" s="3" t="s">
        <v>1921</v>
      </c>
      <c r="Q146" s="2" t="s">
        <v>1934</v>
      </c>
      <c r="R146" s="3" t="s">
        <v>1907</v>
      </c>
      <c r="S146" s="4">
        <v>7</v>
      </c>
      <c r="T146" s="4">
        <v>7</v>
      </c>
      <c r="U146" s="5" t="s">
        <v>1935</v>
      </c>
      <c r="V146" s="5" t="s">
        <v>1935</v>
      </c>
      <c r="W146" s="5" t="s">
        <v>1923</v>
      </c>
      <c r="X146" s="5" t="s">
        <v>1923</v>
      </c>
      <c r="Y146" s="4">
        <v>305</v>
      </c>
      <c r="Z146" s="4">
        <v>252</v>
      </c>
      <c r="AA146" s="4">
        <v>257</v>
      </c>
      <c r="AB146" s="4">
        <v>1</v>
      </c>
      <c r="AC146" s="4">
        <v>1</v>
      </c>
      <c r="AD146" s="4">
        <v>10</v>
      </c>
      <c r="AE146" s="4">
        <v>10</v>
      </c>
      <c r="AF146" s="4">
        <v>4</v>
      </c>
      <c r="AG146" s="4">
        <v>4</v>
      </c>
      <c r="AH146" s="4">
        <v>2</v>
      </c>
      <c r="AI146" s="4">
        <v>2</v>
      </c>
      <c r="AJ146" s="4">
        <v>7</v>
      </c>
      <c r="AK146" s="4">
        <v>7</v>
      </c>
      <c r="AL146" s="4">
        <v>0</v>
      </c>
      <c r="AM146" s="4">
        <v>0</v>
      </c>
      <c r="AN146" s="4">
        <v>0</v>
      </c>
      <c r="AO146" s="4">
        <v>0</v>
      </c>
      <c r="AP146" s="3" t="s">
        <v>58</v>
      </c>
      <c r="AQ146" s="3" t="s">
        <v>58</v>
      </c>
      <c r="AS146" s="6" t="str">
        <f>HYPERLINK("https://creighton-primo.hosted.exlibrisgroup.com/primo-explore/search?tab=default_tab&amp;search_scope=EVERYTHING&amp;vid=01CRU&amp;lang=en_US&amp;offset=0&amp;query=any,contains,991000994129702656","Catalog Record")</f>
        <v>Catalog Record</v>
      </c>
      <c r="AT146" s="6" t="str">
        <f>HYPERLINK("http://www.worldcat.org/oclc/6357248","WorldCat Record")</f>
        <v>WorldCat Record</v>
      </c>
    </row>
    <row r="147" spans="1:46" ht="40.5" customHeight="1" x14ac:dyDescent="0.25">
      <c r="A147" s="8" t="s">
        <v>58</v>
      </c>
      <c r="B147" s="2" t="s">
        <v>1936</v>
      </c>
      <c r="C147" s="2" t="s">
        <v>1937</v>
      </c>
      <c r="D147" s="2" t="s">
        <v>1938</v>
      </c>
      <c r="F147" s="3" t="s">
        <v>58</v>
      </c>
      <c r="G147" s="3" t="s">
        <v>59</v>
      </c>
      <c r="H147" s="3" t="s">
        <v>58</v>
      </c>
      <c r="I147" s="3" t="s">
        <v>69</v>
      </c>
      <c r="J147" s="3" t="s">
        <v>60</v>
      </c>
      <c r="K147" s="2" t="s">
        <v>1939</v>
      </c>
      <c r="L147" s="2" t="s">
        <v>1940</v>
      </c>
      <c r="M147" s="3" t="s">
        <v>357</v>
      </c>
      <c r="N147" s="2" t="s">
        <v>1941</v>
      </c>
      <c r="O147" s="3" t="s">
        <v>64</v>
      </c>
      <c r="P147" s="3" t="s">
        <v>939</v>
      </c>
      <c r="R147" s="3" t="s">
        <v>1907</v>
      </c>
      <c r="S147" s="4">
        <v>3</v>
      </c>
      <c r="T147" s="4">
        <v>3</v>
      </c>
      <c r="U147" s="5" t="s">
        <v>1942</v>
      </c>
      <c r="V147" s="5" t="s">
        <v>1942</v>
      </c>
      <c r="W147" s="5" t="s">
        <v>1943</v>
      </c>
      <c r="X147" s="5" t="s">
        <v>1943</v>
      </c>
      <c r="Y147" s="4">
        <v>640</v>
      </c>
      <c r="Z147" s="4">
        <v>526</v>
      </c>
      <c r="AA147" s="4">
        <v>1918</v>
      </c>
      <c r="AB147" s="4">
        <v>5</v>
      </c>
      <c r="AC147" s="4">
        <v>17</v>
      </c>
      <c r="AD147" s="4">
        <v>17</v>
      </c>
      <c r="AE147" s="4">
        <v>58</v>
      </c>
      <c r="AF147" s="4">
        <v>5</v>
      </c>
      <c r="AG147" s="4">
        <v>23</v>
      </c>
      <c r="AH147" s="4">
        <v>4</v>
      </c>
      <c r="AI147" s="4">
        <v>9</v>
      </c>
      <c r="AJ147" s="4">
        <v>9</v>
      </c>
      <c r="AK147" s="4">
        <v>25</v>
      </c>
      <c r="AL147" s="4">
        <v>4</v>
      </c>
      <c r="AM147" s="4">
        <v>13</v>
      </c>
      <c r="AN147" s="4">
        <v>0</v>
      </c>
      <c r="AO147" s="4">
        <v>0</v>
      </c>
      <c r="AP147" s="3" t="s">
        <v>58</v>
      </c>
      <c r="AQ147" s="3" t="s">
        <v>58</v>
      </c>
      <c r="AR147" s="6" t="str">
        <f>HYPERLINK("http://catalog.hathitrust.org/Record/010067626","HathiTrust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HYPERLINK("https://creighton-primo.hosted.exlibrisgroup.com/primo-explore/search?tab=default_tab&amp;search_scope=EVERYTHING&amp;vid=01CRU&amp;lang=en_US&amp;offset=0&amp;query=any,contains,991000994029702656","Catalog Record")</f>
        <v>Catalog Record</v>
      </c>
      <c r="AT147" s="6" t="str">
        <f>HYPERLINK("http://www.worldcat.org/oclc/168720","WorldCat Record")</f>
        <v>WorldCat Record</v>
      </c>
    </row>
    <row r="148" spans="1:46" ht="40.5" customHeight="1" x14ac:dyDescent="0.25">
      <c r="A148" s="8" t="s">
        <v>58</v>
      </c>
      <c r="B148" s="2" t="s">
        <v>1944</v>
      </c>
      <c r="C148" s="2" t="s">
        <v>1945</v>
      </c>
      <c r="D148" s="2" t="s">
        <v>1946</v>
      </c>
      <c r="E148" s="3" t="s">
        <v>1947</v>
      </c>
      <c r="F148" s="3" t="s">
        <v>69</v>
      </c>
      <c r="G148" s="3" t="s">
        <v>59</v>
      </c>
      <c r="H148" s="3" t="s">
        <v>58</v>
      </c>
      <c r="I148" s="3" t="s">
        <v>58</v>
      </c>
      <c r="J148" s="3" t="s">
        <v>1948</v>
      </c>
      <c r="L148" s="2" t="s">
        <v>1949</v>
      </c>
      <c r="M148" s="3" t="s">
        <v>63</v>
      </c>
      <c r="O148" s="3" t="s">
        <v>64</v>
      </c>
      <c r="P148" s="3" t="s">
        <v>400</v>
      </c>
      <c r="R148" s="3" t="s">
        <v>1907</v>
      </c>
      <c r="S148" s="4">
        <v>9</v>
      </c>
      <c r="T148" s="4">
        <v>18</v>
      </c>
      <c r="U148" s="5" t="s">
        <v>1950</v>
      </c>
      <c r="V148" s="5" t="s">
        <v>1950</v>
      </c>
      <c r="W148" s="5" t="s">
        <v>1951</v>
      </c>
      <c r="X148" s="5" t="s">
        <v>1951</v>
      </c>
      <c r="Y148" s="4">
        <v>1388</v>
      </c>
      <c r="Z148" s="4">
        <v>1183</v>
      </c>
      <c r="AA148" s="4">
        <v>1248</v>
      </c>
      <c r="AB148" s="4">
        <v>13</v>
      </c>
      <c r="AC148" s="4">
        <v>13</v>
      </c>
      <c r="AD148" s="4">
        <v>40</v>
      </c>
      <c r="AE148" s="4">
        <v>44</v>
      </c>
      <c r="AF148" s="4">
        <v>15</v>
      </c>
      <c r="AG148" s="4">
        <v>17</v>
      </c>
      <c r="AH148" s="4">
        <v>5</v>
      </c>
      <c r="AI148" s="4">
        <v>7</v>
      </c>
      <c r="AJ148" s="4">
        <v>17</v>
      </c>
      <c r="AK148" s="4">
        <v>20</v>
      </c>
      <c r="AL148" s="4">
        <v>11</v>
      </c>
      <c r="AM148" s="4">
        <v>11</v>
      </c>
      <c r="AN148" s="4">
        <v>0</v>
      </c>
      <c r="AO148" s="4">
        <v>0</v>
      </c>
      <c r="AP148" s="3" t="s">
        <v>58</v>
      </c>
      <c r="AQ148" s="3" t="s">
        <v>69</v>
      </c>
      <c r="AR148" s="6" t="str">
        <f>HYPERLINK("http://catalog.hathitrust.org/Record/000284557","HathiTrust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HYPERLINK("https://creighton-primo.hosted.exlibrisgroup.com/primo-explore/search?tab=default_tab&amp;search_scope=EVERYTHING&amp;vid=01CRU&amp;lang=en_US&amp;offset=0&amp;query=any,contains,991001415209702656","Catalog Record")</f>
        <v>Catalog Record</v>
      </c>
      <c r="AT148" s="6" t="str">
        <f>HYPERLINK("http://www.worldcat.org/oclc/9042846","WorldCat Record")</f>
        <v>WorldCat Record</v>
      </c>
    </row>
    <row r="149" spans="1:46" ht="40.5" customHeight="1" x14ac:dyDescent="0.25">
      <c r="A149" s="8" t="s">
        <v>58</v>
      </c>
      <c r="B149" s="2" t="s">
        <v>1944</v>
      </c>
      <c r="C149" s="2" t="s">
        <v>1945</v>
      </c>
      <c r="D149" s="2" t="s">
        <v>1946</v>
      </c>
      <c r="E149" s="3" t="s">
        <v>1952</v>
      </c>
      <c r="F149" s="3" t="s">
        <v>69</v>
      </c>
      <c r="G149" s="3" t="s">
        <v>59</v>
      </c>
      <c r="H149" s="3" t="s">
        <v>58</v>
      </c>
      <c r="I149" s="3" t="s">
        <v>58</v>
      </c>
      <c r="J149" s="3" t="s">
        <v>1948</v>
      </c>
      <c r="L149" s="2" t="s">
        <v>1949</v>
      </c>
      <c r="M149" s="3" t="s">
        <v>63</v>
      </c>
      <c r="O149" s="3" t="s">
        <v>64</v>
      </c>
      <c r="P149" s="3" t="s">
        <v>400</v>
      </c>
      <c r="R149" s="3" t="s">
        <v>1907</v>
      </c>
      <c r="S149" s="4">
        <v>9</v>
      </c>
      <c r="T149" s="4">
        <v>18</v>
      </c>
      <c r="U149" s="5" t="s">
        <v>1950</v>
      </c>
      <c r="V149" s="5" t="s">
        <v>1950</v>
      </c>
      <c r="W149" s="5" t="s">
        <v>1951</v>
      </c>
      <c r="X149" s="5" t="s">
        <v>1951</v>
      </c>
      <c r="Y149" s="4">
        <v>1388</v>
      </c>
      <c r="Z149" s="4">
        <v>1183</v>
      </c>
      <c r="AA149" s="4">
        <v>1248</v>
      </c>
      <c r="AB149" s="4">
        <v>13</v>
      </c>
      <c r="AC149" s="4">
        <v>13</v>
      </c>
      <c r="AD149" s="4">
        <v>40</v>
      </c>
      <c r="AE149" s="4">
        <v>44</v>
      </c>
      <c r="AF149" s="4">
        <v>15</v>
      </c>
      <c r="AG149" s="4">
        <v>17</v>
      </c>
      <c r="AH149" s="4">
        <v>5</v>
      </c>
      <c r="AI149" s="4">
        <v>7</v>
      </c>
      <c r="AJ149" s="4">
        <v>17</v>
      </c>
      <c r="AK149" s="4">
        <v>20</v>
      </c>
      <c r="AL149" s="4">
        <v>11</v>
      </c>
      <c r="AM149" s="4">
        <v>11</v>
      </c>
      <c r="AN149" s="4">
        <v>0</v>
      </c>
      <c r="AO149" s="4">
        <v>0</v>
      </c>
      <c r="AP149" s="3" t="s">
        <v>58</v>
      </c>
      <c r="AQ149" s="3" t="s">
        <v>69</v>
      </c>
      <c r="AR149" s="6" t="str">
        <f>HYPERLINK("http://catalog.hathitrust.org/Record/000284557","HathiTrust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HYPERLINK("https://creighton-primo.hosted.exlibrisgroup.com/primo-explore/search?tab=default_tab&amp;search_scope=EVERYTHING&amp;vid=01CRU&amp;lang=en_US&amp;offset=0&amp;query=any,contains,991001415209702656","Catalog Record")</f>
        <v>Catalog Record</v>
      </c>
      <c r="AT149" s="6" t="str">
        <f>HYPERLINK("http://www.worldcat.org/oclc/9042846","WorldCat Record")</f>
        <v>WorldCat Record</v>
      </c>
    </row>
    <row r="150" spans="1:46" ht="40.5" customHeight="1" x14ac:dyDescent="0.25">
      <c r="A150" s="8" t="s">
        <v>58</v>
      </c>
      <c r="B150" s="2" t="s">
        <v>1953</v>
      </c>
      <c r="C150" s="2" t="s">
        <v>1954</v>
      </c>
      <c r="D150" s="2" t="s">
        <v>1955</v>
      </c>
      <c r="E150" s="3" t="s">
        <v>1956</v>
      </c>
      <c r="F150" s="3" t="s">
        <v>69</v>
      </c>
      <c r="G150" s="3" t="s">
        <v>59</v>
      </c>
      <c r="H150" s="3" t="s">
        <v>58</v>
      </c>
      <c r="I150" s="3" t="s">
        <v>58</v>
      </c>
      <c r="J150" s="3" t="s">
        <v>1948</v>
      </c>
      <c r="L150" s="2" t="s">
        <v>1957</v>
      </c>
      <c r="M150" s="3" t="s">
        <v>258</v>
      </c>
      <c r="N150" s="2" t="s">
        <v>1958</v>
      </c>
      <c r="O150" s="3" t="s">
        <v>64</v>
      </c>
      <c r="P150" s="3" t="s">
        <v>1921</v>
      </c>
      <c r="R150" s="3" t="s">
        <v>1907</v>
      </c>
      <c r="S150" s="4">
        <v>6</v>
      </c>
      <c r="T150" s="4">
        <v>12</v>
      </c>
      <c r="U150" s="5" t="s">
        <v>1959</v>
      </c>
      <c r="V150" s="5" t="s">
        <v>1959</v>
      </c>
      <c r="W150" s="5" t="s">
        <v>1951</v>
      </c>
      <c r="X150" s="5" t="s">
        <v>1951</v>
      </c>
      <c r="Y150" s="4">
        <v>1388</v>
      </c>
      <c r="Z150" s="4">
        <v>1183</v>
      </c>
      <c r="AA150" s="4">
        <v>1248</v>
      </c>
      <c r="AB150" s="4">
        <v>13</v>
      </c>
      <c r="AC150" s="4">
        <v>13</v>
      </c>
      <c r="AD150" s="4">
        <v>40</v>
      </c>
      <c r="AE150" s="4">
        <v>44</v>
      </c>
      <c r="AF150" s="4">
        <v>15</v>
      </c>
      <c r="AG150" s="4">
        <v>17</v>
      </c>
      <c r="AH150" s="4">
        <v>5</v>
      </c>
      <c r="AI150" s="4">
        <v>7</v>
      </c>
      <c r="AJ150" s="4">
        <v>17</v>
      </c>
      <c r="AK150" s="4">
        <v>20</v>
      </c>
      <c r="AL150" s="4">
        <v>11</v>
      </c>
      <c r="AM150" s="4">
        <v>11</v>
      </c>
      <c r="AN150" s="4">
        <v>0</v>
      </c>
      <c r="AO150" s="4">
        <v>0</v>
      </c>
      <c r="AP150" s="3" t="s">
        <v>58</v>
      </c>
      <c r="AQ150" s="3" t="s">
        <v>69</v>
      </c>
      <c r="AR150" s="6" t="str">
        <f>HYPERLINK("http://catalog.hathitrust.org/Record/000284557","HathiTrust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HYPERLINK("https://creighton-primo.hosted.exlibrisgroup.com/primo-explore/search?tab=default_tab&amp;search_scope=EVERYTHING&amp;vid=01CRU&amp;lang=en_US&amp;offset=0&amp;query=any,contains,991001415269702656","Catalog Record")</f>
        <v>Catalog Record</v>
      </c>
      <c r="AT150" s="6" t="str">
        <f>HYPERLINK("http://www.worldcat.org/oclc/9042846","WorldCat Record")</f>
        <v>WorldCat Record</v>
      </c>
    </row>
    <row r="151" spans="1:46" ht="40.5" customHeight="1" x14ac:dyDescent="0.25">
      <c r="A151" s="8" t="s">
        <v>58</v>
      </c>
      <c r="B151" s="2" t="s">
        <v>1953</v>
      </c>
      <c r="C151" s="2" t="s">
        <v>1954</v>
      </c>
      <c r="D151" s="2" t="s">
        <v>1955</v>
      </c>
      <c r="E151" s="3" t="s">
        <v>1960</v>
      </c>
      <c r="F151" s="3" t="s">
        <v>69</v>
      </c>
      <c r="G151" s="3" t="s">
        <v>59</v>
      </c>
      <c r="H151" s="3" t="s">
        <v>58</v>
      </c>
      <c r="I151" s="3" t="s">
        <v>58</v>
      </c>
      <c r="J151" s="3" t="s">
        <v>1948</v>
      </c>
      <c r="L151" s="2" t="s">
        <v>1957</v>
      </c>
      <c r="M151" s="3" t="s">
        <v>258</v>
      </c>
      <c r="N151" s="2" t="s">
        <v>1958</v>
      </c>
      <c r="O151" s="3" t="s">
        <v>64</v>
      </c>
      <c r="P151" s="3" t="s">
        <v>1921</v>
      </c>
      <c r="R151" s="3" t="s">
        <v>1907</v>
      </c>
      <c r="S151" s="4">
        <v>6</v>
      </c>
      <c r="T151" s="4">
        <v>12</v>
      </c>
      <c r="U151" s="5" t="s">
        <v>1959</v>
      </c>
      <c r="V151" s="5" t="s">
        <v>1959</v>
      </c>
      <c r="W151" s="5" t="s">
        <v>1951</v>
      </c>
      <c r="X151" s="5" t="s">
        <v>1951</v>
      </c>
      <c r="Y151" s="4">
        <v>1388</v>
      </c>
      <c r="Z151" s="4">
        <v>1183</v>
      </c>
      <c r="AA151" s="4">
        <v>1248</v>
      </c>
      <c r="AB151" s="4">
        <v>13</v>
      </c>
      <c r="AC151" s="4">
        <v>13</v>
      </c>
      <c r="AD151" s="4">
        <v>40</v>
      </c>
      <c r="AE151" s="4">
        <v>44</v>
      </c>
      <c r="AF151" s="4">
        <v>15</v>
      </c>
      <c r="AG151" s="4">
        <v>17</v>
      </c>
      <c r="AH151" s="4">
        <v>5</v>
      </c>
      <c r="AI151" s="4">
        <v>7</v>
      </c>
      <c r="AJ151" s="4">
        <v>17</v>
      </c>
      <c r="AK151" s="4">
        <v>20</v>
      </c>
      <c r="AL151" s="4">
        <v>11</v>
      </c>
      <c r="AM151" s="4">
        <v>11</v>
      </c>
      <c r="AN151" s="4">
        <v>0</v>
      </c>
      <c r="AO151" s="4">
        <v>0</v>
      </c>
      <c r="AP151" s="3" t="s">
        <v>58</v>
      </c>
      <c r="AQ151" s="3" t="s">
        <v>69</v>
      </c>
      <c r="AR151" s="6" t="str">
        <f>HYPERLINK("http://catalog.hathitrust.org/Record/000284557","HathiTrust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HYPERLINK("https://creighton-primo.hosted.exlibrisgroup.com/primo-explore/search?tab=default_tab&amp;search_scope=EVERYTHING&amp;vid=01CRU&amp;lang=en_US&amp;offset=0&amp;query=any,contains,991001415269702656","Catalog Record")</f>
        <v>Catalog Record</v>
      </c>
      <c r="AT151" s="6" t="str">
        <f>HYPERLINK("http://www.worldcat.org/oclc/9042846","WorldCat Record")</f>
        <v>WorldCat Record</v>
      </c>
    </row>
    <row r="152" spans="1:46" ht="40.5" customHeight="1" x14ac:dyDescent="0.25">
      <c r="A152" s="8" t="s">
        <v>58</v>
      </c>
      <c r="B152" s="2" t="s">
        <v>1961</v>
      </c>
      <c r="C152" s="2" t="s">
        <v>1962</v>
      </c>
      <c r="D152" s="2" t="s">
        <v>1963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1207</v>
      </c>
      <c r="L152" s="2" t="s">
        <v>1964</v>
      </c>
      <c r="M152" s="3" t="s">
        <v>1965</v>
      </c>
      <c r="N152" s="2" t="s">
        <v>1966</v>
      </c>
      <c r="O152" s="3" t="s">
        <v>64</v>
      </c>
      <c r="P152" s="3" t="s">
        <v>939</v>
      </c>
      <c r="R152" s="3" t="s">
        <v>1907</v>
      </c>
      <c r="S152" s="4">
        <v>5</v>
      </c>
      <c r="T152" s="4">
        <v>5</v>
      </c>
      <c r="U152" s="5" t="s">
        <v>1967</v>
      </c>
      <c r="V152" s="5" t="s">
        <v>1967</v>
      </c>
      <c r="W152" s="5" t="s">
        <v>1968</v>
      </c>
      <c r="X152" s="5" t="s">
        <v>1968</v>
      </c>
      <c r="Y152" s="4">
        <v>118</v>
      </c>
      <c r="Z152" s="4">
        <v>101</v>
      </c>
      <c r="AA152" s="4">
        <v>199</v>
      </c>
      <c r="AB152" s="4">
        <v>1</v>
      </c>
      <c r="AC152" s="4">
        <v>1</v>
      </c>
      <c r="AD152" s="4">
        <v>1</v>
      </c>
      <c r="AE152" s="4">
        <v>2</v>
      </c>
      <c r="AF152" s="4">
        <v>0</v>
      </c>
      <c r="AG152" s="4">
        <v>1</v>
      </c>
      <c r="AH152" s="4">
        <v>1</v>
      </c>
      <c r="AI152" s="4">
        <v>1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3" t="s">
        <v>58</v>
      </c>
      <c r="AQ152" s="3" t="s">
        <v>69</v>
      </c>
      <c r="AR152" s="6" t="str">
        <f>HYPERLINK("http://catalog.hathitrust.org/Record/001556157","HathiTrust Record")</f>
        <v>HathiTrust Record</v>
      </c>
      <c r="AS152" s="6" t="str">
        <f>HYPERLINK("https://creighton-primo.hosted.exlibrisgroup.com/primo-explore/search?tab=default_tab&amp;search_scope=EVERYTHING&amp;vid=01CRU&amp;lang=en_US&amp;offset=0&amp;query=any,contains,991000993989702656","Catalog Record")</f>
        <v>Catalog Record</v>
      </c>
      <c r="AT152" s="6" t="str">
        <f>HYPERLINK("http://www.worldcat.org/oclc/2394378","WorldCat Record")</f>
        <v>WorldCat Record</v>
      </c>
    </row>
    <row r="153" spans="1:46" ht="40.5" customHeight="1" x14ac:dyDescent="0.25">
      <c r="A153" s="8" t="s">
        <v>58</v>
      </c>
      <c r="B153" s="2" t="s">
        <v>1969</v>
      </c>
      <c r="C153" s="2" t="s">
        <v>1970</v>
      </c>
      <c r="D153" s="2" t="s">
        <v>1971</v>
      </c>
      <c r="F153" s="3" t="s">
        <v>58</v>
      </c>
      <c r="G153" s="3" t="s">
        <v>59</v>
      </c>
      <c r="H153" s="3" t="s">
        <v>58</v>
      </c>
      <c r="I153" s="3" t="s">
        <v>69</v>
      </c>
      <c r="J153" s="3" t="s">
        <v>60</v>
      </c>
      <c r="K153" s="2" t="s">
        <v>1207</v>
      </c>
      <c r="L153" s="2" t="s">
        <v>1972</v>
      </c>
      <c r="M153" s="3" t="s">
        <v>884</v>
      </c>
      <c r="N153" s="2" t="s">
        <v>1973</v>
      </c>
      <c r="O153" s="3" t="s">
        <v>64</v>
      </c>
      <c r="P153" s="3" t="s">
        <v>1921</v>
      </c>
      <c r="R153" s="3" t="s">
        <v>1907</v>
      </c>
      <c r="S153" s="4">
        <v>13</v>
      </c>
      <c r="T153" s="4">
        <v>13</v>
      </c>
      <c r="U153" s="5" t="s">
        <v>1928</v>
      </c>
      <c r="V153" s="5" t="s">
        <v>1928</v>
      </c>
      <c r="W153" s="5" t="s">
        <v>1974</v>
      </c>
      <c r="X153" s="5" t="s">
        <v>1974</v>
      </c>
      <c r="Y153" s="4">
        <v>418</v>
      </c>
      <c r="Z153" s="4">
        <v>325</v>
      </c>
      <c r="AA153" s="4">
        <v>846</v>
      </c>
      <c r="AB153" s="4">
        <v>2</v>
      </c>
      <c r="AC153" s="4">
        <v>8</v>
      </c>
      <c r="AD153" s="4">
        <v>12</v>
      </c>
      <c r="AE153" s="4">
        <v>34</v>
      </c>
      <c r="AF153" s="4">
        <v>5</v>
      </c>
      <c r="AG153" s="4">
        <v>13</v>
      </c>
      <c r="AH153" s="4">
        <v>4</v>
      </c>
      <c r="AI153" s="4">
        <v>8</v>
      </c>
      <c r="AJ153" s="4">
        <v>4</v>
      </c>
      <c r="AK153" s="4">
        <v>16</v>
      </c>
      <c r="AL153" s="4">
        <v>1</v>
      </c>
      <c r="AM153" s="4">
        <v>5</v>
      </c>
      <c r="AN153" s="4">
        <v>0</v>
      </c>
      <c r="AO153" s="4">
        <v>0</v>
      </c>
      <c r="AP153" s="3" t="s">
        <v>58</v>
      </c>
      <c r="AQ153" s="3" t="s">
        <v>69</v>
      </c>
      <c r="AR153" s="6" t="str">
        <f>HYPERLINK("http://catalog.hathitrust.org/Record/000361644","HathiTrust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HYPERLINK("https://creighton-primo.hosted.exlibrisgroup.com/primo-explore/search?tab=default_tab&amp;search_scope=EVERYTHING&amp;vid=01CRU&amp;lang=en_US&amp;offset=0&amp;query=any,contains,991000993949702656","Catalog Record")</f>
        <v>Catalog Record</v>
      </c>
      <c r="AT153" s="6" t="str">
        <f>HYPERLINK("http://www.worldcat.org/oclc/9945317","WorldCat Record")</f>
        <v>WorldCat Record</v>
      </c>
    </row>
    <row r="154" spans="1:46" ht="40.5" customHeight="1" x14ac:dyDescent="0.25">
      <c r="A154" s="8" t="s">
        <v>58</v>
      </c>
      <c r="B154" s="2" t="s">
        <v>1975</v>
      </c>
      <c r="C154" s="2" t="s">
        <v>1976</v>
      </c>
      <c r="D154" s="2" t="s">
        <v>1977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1978</v>
      </c>
      <c r="L154" s="2" t="s">
        <v>1979</v>
      </c>
      <c r="M154" s="3" t="s">
        <v>1980</v>
      </c>
      <c r="N154" s="2" t="s">
        <v>271</v>
      </c>
      <c r="O154" s="3" t="s">
        <v>64</v>
      </c>
      <c r="P154" s="3" t="s">
        <v>1921</v>
      </c>
      <c r="R154" s="3" t="s">
        <v>1907</v>
      </c>
      <c r="S154" s="4">
        <v>15</v>
      </c>
      <c r="T154" s="4">
        <v>15</v>
      </c>
      <c r="U154" s="5" t="s">
        <v>1981</v>
      </c>
      <c r="V154" s="5" t="s">
        <v>1981</v>
      </c>
      <c r="W154" s="5" t="s">
        <v>1923</v>
      </c>
      <c r="X154" s="5" t="s">
        <v>1923</v>
      </c>
      <c r="Y154" s="4">
        <v>109</v>
      </c>
      <c r="Z154" s="4">
        <v>74</v>
      </c>
      <c r="AA154" s="4">
        <v>949</v>
      </c>
      <c r="AB154" s="4">
        <v>1</v>
      </c>
      <c r="AC154" s="4">
        <v>3</v>
      </c>
      <c r="AD154" s="4">
        <v>1</v>
      </c>
      <c r="AE154" s="4">
        <v>22</v>
      </c>
      <c r="AF154" s="4">
        <v>0</v>
      </c>
      <c r="AG154" s="4">
        <v>8</v>
      </c>
      <c r="AH154" s="4">
        <v>1</v>
      </c>
      <c r="AI154" s="4">
        <v>4</v>
      </c>
      <c r="AJ154" s="4">
        <v>1</v>
      </c>
      <c r="AK154" s="4">
        <v>12</v>
      </c>
      <c r="AL154" s="4">
        <v>0</v>
      </c>
      <c r="AM154" s="4">
        <v>1</v>
      </c>
      <c r="AN154" s="4">
        <v>0</v>
      </c>
      <c r="AO154" s="4">
        <v>1</v>
      </c>
      <c r="AP154" s="3" t="s">
        <v>58</v>
      </c>
      <c r="AQ154" s="3" t="s">
        <v>69</v>
      </c>
      <c r="AR154" s="6" t="str">
        <f>HYPERLINK("http://catalog.hathitrust.org/Record/000645959","HathiTrust Record")</f>
        <v>HathiTrust Record</v>
      </c>
      <c r="AS154" s="6" t="str">
        <f>HYPERLINK("https://creighton-primo.hosted.exlibrisgroup.com/primo-explore/search?tab=default_tab&amp;search_scope=EVERYTHING&amp;vid=01CRU&amp;lang=en_US&amp;offset=0&amp;query=any,contains,991000995129702656","Catalog Record")</f>
        <v>Catalog Record</v>
      </c>
      <c r="AT154" s="6" t="str">
        <f>HYPERLINK("http://www.worldcat.org/oclc/9084351","WorldCat Record")</f>
        <v>WorldCat Record</v>
      </c>
    </row>
    <row r="155" spans="1:46" ht="40.5" customHeight="1" x14ac:dyDescent="0.25">
      <c r="A155" s="8" t="s">
        <v>58</v>
      </c>
      <c r="B155" s="2" t="s">
        <v>1982</v>
      </c>
      <c r="C155" s="2" t="s">
        <v>1983</v>
      </c>
      <c r="D155" s="2" t="s">
        <v>1984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1985</v>
      </c>
      <c r="L155" s="2" t="s">
        <v>1986</v>
      </c>
      <c r="M155" s="3" t="s">
        <v>63</v>
      </c>
      <c r="N155" s="2" t="s">
        <v>1606</v>
      </c>
      <c r="O155" s="3" t="s">
        <v>64</v>
      </c>
      <c r="P155" s="3" t="s">
        <v>97</v>
      </c>
      <c r="R155" s="3" t="s">
        <v>1907</v>
      </c>
      <c r="S155" s="4">
        <v>5</v>
      </c>
      <c r="T155" s="4">
        <v>5</v>
      </c>
      <c r="U155" s="5" t="s">
        <v>1987</v>
      </c>
      <c r="V155" s="5" t="s">
        <v>1987</v>
      </c>
      <c r="W155" s="5" t="s">
        <v>1923</v>
      </c>
      <c r="X155" s="5" t="s">
        <v>1923</v>
      </c>
      <c r="Y155" s="4">
        <v>199</v>
      </c>
      <c r="Z155" s="4">
        <v>151</v>
      </c>
      <c r="AA155" s="4">
        <v>336</v>
      </c>
      <c r="AB155" s="4">
        <v>1</v>
      </c>
      <c r="AC155" s="4">
        <v>3</v>
      </c>
      <c r="AD155" s="4">
        <v>3</v>
      </c>
      <c r="AE155" s="4">
        <v>8</v>
      </c>
      <c r="AF155" s="4">
        <v>2</v>
      </c>
      <c r="AG155" s="4">
        <v>4</v>
      </c>
      <c r="AH155" s="4">
        <v>1</v>
      </c>
      <c r="AI155" s="4">
        <v>2</v>
      </c>
      <c r="AJ155" s="4">
        <v>2</v>
      </c>
      <c r="AK155" s="4">
        <v>4</v>
      </c>
      <c r="AL155" s="4">
        <v>0</v>
      </c>
      <c r="AM155" s="4">
        <v>2</v>
      </c>
      <c r="AN155" s="4">
        <v>0</v>
      </c>
      <c r="AO155" s="4">
        <v>0</v>
      </c>
      <c r="AP155" s="3" t="s">
        <v>58</v>
      </c>
      <c r="AQ155" s="3" t="s">
        <v>69</v>
      </c>
      <c r="AR155" s="6" t="str">
        <f>HYPERLINK("http://catalog.hathitrust.org/Record/000374587","HathiTrust Record")</f>
        <v>HathiTrust Record</v>
      </c>
      <c r="AS155" s="6" t="str">
        <f>HYPERLINK("https://creighton-primo.hosted.exlibrisgroup.com/primo-explore/search?tab=default_tab&amp;search_scope=EVERYTHING&amp;vid=01CRU&amp;lang=en_US&amp;offset=0&amp;query=any,contains,991000993799702656","Catalog Record")</f>
        <v>Catalog Record</v>
      </c>
      <c r="AT155" s="6" t="str">
        <f>HYPERLINK("http://www.worldcat.org/oclc/10163328","WorldCat Record")</f>
        <v>WorldCat Record</v>
      </c>
    </row>
    <row r="156" spans="1:46" ht="40.5" customHeight="1" x14ac:dyDescent="0.25">
      <c r="A156" s="8" t="s">
        <v>58</v>
      </c>
      <c r="B156" s="2" t="s">
        <v>1988</v>
      </c>
      <c r="C156" s="2" t="s">
        <v>1989</v>
      </c>
      <c r="D156" s="2" t="s">
        <v>1990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1991</v>
      </c>
      <c r="L156" s="2" t="s">
        <v>1992</v>
      </c>
      <c r="M156" s="3" t="s">
        <v>1121</v>
      </c>
      <c r="N156" s="2" t="s">
        <v>156</v>
      </c>
      <c r="O156" s="3" t="s">
        <v>64</v>
      </c>
      <c r="P156" s="3" t="s">
        <v>1921</v>
      </c>
      <c r="R156" s="3" t="s">
        <v>1907</v>
      </c>
      <c r="S156" s="4">
        <v>5</v>
      </c>
      <c r="T156" s="4">
        <v>5</v>
      </c>
      <c r="U156" s="5" t="s">
        <v>1237</v>
      </c>
      <c r="V156" s="5" t="s">
        <v>1237</v>
      </c>
      <c r="W156" s="5" t="s">
        <v>1923</v>
      </c>
      <c r="X156" s="5" t="s">
        <v>1923</v>
      </c>
      <c r="Y156" s="4">
        <v>24</v>
      </c>
      <c r="Z156" s="4">
        <v>21</v>
      </c>
      <c r="AA156" s="4">
        <v>21</v>
      </c>
      <c r="AB156" s="4">
        <v>1</v>
      </c>
      <c r="AC156" s="4">
        <v>1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3" t="s">
        <v>58</v>
      </c>
      <c r="AQ156" s="3" t="s">
        <v>58</v>
      </c>
      <c r="AS156" s="6" t="str">
        <f>HYPERLINK("https://creighton-primo.hosted.exlibrisgroup.com/primo-explore/search?tab=default_tab&amp;search_scope=EVERYTHING&amp;vid=01CRU&amp;lang=en_US&amp;offset=0&amp;query=any,contains,991000993759702656","Catalog Record")</f>
        <v>Catalog Record</v>
      </c>
      <c r="AT156" s="6" t="str">
        <f>HYPERLINK("http://www.worldcat.org/oclc/6707028","WorldCat Record")</f>
        <v>WorldCat Record</v>
      </c>
    </row>
    <row r="157" spans="1:46" ht="40.5" customHeight="1" x14ac:dyDescent="0.25">
      <c r="A157" s="8" t="s">
        <v>58</v>
      </c>
      <c r="B157" s="2" t="s">
        <v>1993</v>
      </c>
      <c r="C157" s="2" t="s">
        <v>1994</v>
      </c>
      <c r="D157" s="2" t="s">
        <v>1995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1996</v>
      </c>
      <c r="L157" s="2" t="s">
        <v>1997</v>
      </c>
      <c r="M157" s="3" t="s">
        <v>1998</v>
      </c>
      <c r="O157" s="3" t="s">
        <v>64</v>
      </c>
      <c r="P157" s="3" t="s">
        <v>1921</v>
      </c>
      <c r="R157" s="3" t="s">
        <v>1907</v>
      </c>
      <c r="S157" s="4">
        <v>1</v>
      </c>
      <c r="T157" s="4">
        <v>1</v>
      </c>
      <c r="U157" s="5" t="s">
        <v>1999</v>
      </c>
      <c r="V157" s="5" t="s">
        <v>1999</v>
      </c>
      <c r="W157" s="5" t="s">
        <v>1923</v>
      </c>
      <c r="X157" s="5" t="s">
        <v>1923</v>
      </c>
      <c r="Y157" s="4">
        <v>10</v>
      </c>
      <c r="Z157" s="4">
        <v>10</v>
      </c>
      <c r="AA157" s="4">
        <v>70</v>
      </c>
      <c r="AB157" s="4">
        <v>1</v>
      </c>
      <c r="AC157" s="4">
        <v>1</v>
      </c>
      <c r="AD157" s="4">
        <v>0</v>
      </c>
      <c r="AE157" s="4">
        <v>4</v>
      </c>
      <c r="AF157" s="4">
        <v>0</v>
      </c>
      <c r="AG157" s="4">
        <v>2</v>
      </c>
      <c r="AH157" s="4">
        <v>0</v>
      </c>
      <c r="AI157" s="4">
        <v>2</v>
      </c>
      <c r="AJ157" s="4">
        <v>0</v>
      </c>
      <c r="AK157" s="4">
        <v>1</v>
      </c>
      <c r="AL157" s="4">
        <v>0</v>
      </c>
      <c r="AM157" s="4">
        <v>0</v>
      </c>
      <c r="AN157" s="4">
        <v>0</v>
      </c>
      <c r="AO157" s="4">
        <v>0</v>
      </c>
      <c r="AP157" s="3" t="s">
        <v>58</v>
      </c>
      <c r="AQ157" s="3" t="s">
        <v>58</v>
      </c>
      <c r="AR157" s="6" t="str">
        <f>HYPERLINK("http://catalog.hathitrust.org/Record/010058849","HathiTrust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HYPERLINK("https://creighton-primo.hosted.exlibrisgroup.com/primo-explore/search?tab=default_tab&amp;search_scope=EVERYTHING&amp;vid=01CRU&amp;lang=en_US&amp;offset=0&amp;query=any,contains,991000993719702656","Catalog Record")</f>
        <v>Catalog Record</v>
      </c>
      <c r="AT157" s="6" t="str">
        <f>HYPERLINK("http://www.worldcat.org/oclc/10864766","WorldCat Record")</f>
        <v>WorldCat Record</v>
      </c>
    </row>
    <row r="158" spans="1:46" ht="40.5" customHeight="1" x14ac:dyDescent="0.25">
      <c r="A158" s="8" t="s">
        <v>58</v>
      </c>
      <c r="B158" s="2" t="s">
        <v>2000</v>
      </c>
      <c r="C158" s="2" t="s">
        <v>2001</v>
      </c>
      <c r="D158" s="2" t="s">
        <v>2002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1300</v>
      </c>
      <c r="L158" s="2" t="s">
        <v>2003</v>
      </c>
      <c r="M158" s="3" t="s">
        <v>1980</v>
      </c>
      <c r="N158" s="2" t="s">
        <v>2004</v>
      </c>
      <c r="O158" s="3" t="s">
        <v>64</v>
      </c>
      <c r="P158" s="3" t="s">
        <v>97</v>
      </c>
      <c r="R158" s="3" t="s">
        <v>1907</v>
      </c>
      <c r="S158" s="4">
        <v>11</v>
      </c>
      <c r="T158" s="4">
        <v>11</v>
      </c>
      <c r="U158" s="5" t="s">
        <v>2005</v>
      </c>
      <c r="V158" s="5" t="s">
        <v>2005</v>
      </c>
      <c r="W158" s="5" t="s">
        <v>1923</v>
      </c>
      <c r="X158" s="5" t="s">
        <v>1923</v>
      </c>
      <c r="Y158" s="4">
        <v>348</v>
      </c>
      <c r="Z158" s="4">
        <v>284</v>
      </c>
      <c r="AA158" s="4">
        <v>437</v>
      </c>
      <c r="AB158" s="4">
        <v>3</v>
      </c>
      <c r="AC158" s="4">
        <v>3</v>
      </c>
      <c r="AD158" s="4">
        <v>11</v>
      </c>
      <c r="AE158" s="4">
        <v>16</v>
      </c>
      <c r="AF158" s="4">
        <v>6</v>
      </c>
      <c r="AG158" s="4">
        <v>8</v>
      </c>
      <c r="AH158" s="4">
        <v>3</v>
      </c>
      <c r="AI158" s="4">
        <v>4</v>
      </c>
      <c r="AJ158" s="4">
        <v>4</v>
      </c>
      <c r="AK158" s="4">
        <v>7</v>
      </c>
      <c r="AL158" s="4">
        <v>0</v>
      </c>
      <c r="AM158" s="4">
        <v>0</v>
      </c>
      <c r="AN158" s="4">
        <v>0</v>
      </c>
      <c r="AO158" s="4">
        <v>0</v>
      </c>
      <c r="AP158" s="3" t="s">
        <v>58</v>
      </c>
      <c r="AQ158" s="3" t="s">
        <v>69</v>
      </c>
      <c r="AR158" s="6" t="str">
        <f>HYPERLINK("http://catalog.hathitrust.org/Record/000153453","HathiTrust Record")</f>
        <v>HathiTrust Record</v>
      </c>
      <c r="AS158" s="6" t="str">
        <f>HYPERLINK("https://creighton-primo.hosted.exlibrisgroup.com/primo-explore/search?tab=default_tab&amp;search_scope=EVERYTHING&amp;vid=01CRU&amp;lang=en_US&amp;offset=0&amp;query=any,contains,991000993549702656","Catalog Record")</f>
        <v>Catalog Record</v>
      </c>
      <c r="AT158" s="6" t="str">
        <f>HYPERLINK("http://www.worldcat.org/oclc/8865384","WorldCat Record")</f>
        <v>WorldCat Record</v>
      </c>
    </row>
    <row r="159" spans="1:46" ht="40.5" customHeight="1" x14ac:dyDescent="0.25">
      <c r="A159" s="8" t="s">
        <v>58</v>
      </c>
      <c r="B159" s="2" t="s">
        <v>2006</v>
      </c>
      <c r="C159" s="2" t="s">
        <v>2007</v>
      </c>
      <c r="D159" s="2" t="s">
        <v>2008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L159" s="2" t="s">
        <v>1972</v>
      </c>
      <c r="M159" s="3" t="s">
        <v>884</v>
      </c>
      <c r="N159" s="2" t="s">
        <v>2009</v>
      </c>
      <c r="O159" s="3" t="s">
        <v>64</v>
      </c>
      <c r="P159" s="3" t="s">
        <v>1921</v>
      </c>
      <c r="R159" s="3" t="s">
        <v>1907</v>
      </c>
      <c r="S159" s="4">
        <v>20</v>
      </c>
      <c r="T159" s="4">
        <v>20</v>
      </c>
      <c r="U159" s="5" t="s">
        <v>2010</v>
      </c>
      <c r="V159" s="5" t="s">
        <v>2010</v>
      </c>
      <c r="W159" s="5" t="s">
        <v>2011</v>
      </c>
      <c r="X159" s="5" t="s">
        <v>2011</v>
      </c>
      <c r="Y159" s="4">
        <v>352</v>
      </c>
      <c r="Z159" s="4">
        <v>279</v>
      </c>
      <c r="AA159" s="4">
        <v>291</v>
      </c>
      <c r="AB159" s="4">
        <v>1</v>
      </c>
      <c r="AC159" s="4">
        <v>1</v>
      </c>
      <c r="AD159" s="4">
        <v>5</v>
      </c>
      <c r="AE159" s="4">
        <v>5</v>
      </c>
      <c r="AF159" s="4">
        <v>1</v>
      </c>
      <c r="AG159" s="4">
        <v>1</v>
      </c>
      <c r="AH159" s="4">
        <v>2</v>
      </c>
      <c r="AI159" s="4">
        <v>2</v>
      </c>
      <c r="AJ159" s="4">
        <v>2</v>
      </c>
      <c r="AK159" s="4">
        <v>2</v>
      </c>
      <c r="AL159" s="4">
        <v>0</v>
      </c>
      <c r="AM159" s="4">
        <v>0</v>
      </c>
      <c r="AN159" s="4">
        <v>0</v>
      </c>
      <c r="AO159" s="4">
        <v>0</v>
      </c>
      <c r="AP159" s="3" t="s">
        <v>58</v>
      </c>
      <c r="AQ159" s="3" t="s">
        <v>58</v>
      </c>
      <c r="AS159" s="6" t="str">
        <f>HYPERLINK("https://creighton-primo.hosted.exlibrisgroup.com/primo-explore/search?tab=default_tab&amp;search_scope=EVERYTHING&amp;vid=01CRU&amp;lang=en_US&amp;offset=0&amp;query=any,contains,991000749199702656","Catalog Record")</f>
        <v>Catalog Record</v>
      </c>
      <c r="AT159" s="6" t="str">
        <f>HYPERLINK("http://www.worldcat.org/oclc/11318053","WorldCat Record")</f>
        <v>WorldCat Record</v>
      </c>
    </row>
    <row r="160" spans="1:46" ht="40.5" customHeight="1" x14ac:dyDescent="0.25">
      <c r="A160" s="8" t="s">
        <v>58</v>
      </c>
      <c r="B160" s="2" t="s">
        <v>2012</v>
      </c>
      <c r="C160" s="2" t="s">
        <v>2013</v>
      </c>
      <c r="D160" s="2" t="s">
        <v>2014</v>
      </c>
      <c r="F160" s="3" t="s">
        <v>58</v>
      </c>
      <c r="G160" s="3" t="s">
        <v>59</v>
      </c>
      <c r="H160" s="3" t="s">
        <v>58</v>
      </c>
      <c r="I160" s="3" t="s">
        <v>69</v>
      </c>
      <c r="J160" s="3" t="s">
        <v>2015</v>
      </c>
      <c r="L160" s="2" t="s">
        <v>2016</v>
      </c>
      <c r="M160" s="3" t="s">
        <v>171</v>
      </c>
      <c r="N160" s="2" t="s">
        <v>2017</v>
      </c>
      <c r="O160" s="3" t="s">
        <v>64</v>
      </c>
      <c r="P160" s="3" t="s">
        <v>2018</v>
      </c>
      <c r="Q160" s="2" t="s">
        <v>2019</v>
      </c>
      <c r="R160" s="3" t="s">
        <v>1907</v>
      </c>
      <c r="S160" s="4">
        <v>19</v>
      </c>
      <c r="T160" s="4">
        <v>19</v>
      </c>
      <c r="U160" s="5" t="s">
        <v>2020</v>
      </c>
      <c r="V160" s="5" t="s">
        <v>2020</v>
      </c>
      <c r="W160" s="5" t="s">
        <v>2021</v>
      </c>
      <c r="X160" s="5" t="s">
        <v>2021</v>
      </c>
      <c r="Y160" s="4">
        <v>182</v>
      </c>
      <c r="Z160" s="4">
        <v>118</v>
      </c>
      <c r="AA160" s="4">
        <v>901</v>
      </c>
      <c r="AB160" s="4">
        <v>1</v>
      </c>
      <c r="AC160" s="4">
        <v>5</v>
      </c>
      <c r="AD160" s="4">
        <v>2</v>
      </c>
      <c r="AE160" s="4">
        <v>24</v>
      </c>
      <c r="AF160" s="4">
        <v>1</v>
      </c>
      <c r="AG160" s="4">
        <v>11</v>
      </c>
      <c r="AH160" s="4">
        <v>1</v>
      </c>
      <c r="AI160" s="4">
        <v>5</v>
      </c>
      <c r="AJ160" s="4">
        <v>1</v>
      </c>
      <c r="AK160" s="4">
        <v>11</v>
      </c>
      <c r="AL160" s="4">
        <v>0</v>
      </c>
      <c r="AM160" s="4">
        <v>3</v>
      </c>
      <c r="AN160" s="4">
        <v>0</v>
      </c>
      <c r="AO160" s="4">
        <v>0</v>
      </c>
      <c r="AP160" s="3" t="s">
        <v>58</v>
      </c>
      <c r="AQ160" s="3" t="s">
        <v>58</v>
      </c>
      <c r="AS160" s="6" t="str">
        <f>HYPERLINK("https://creighton-primo.hosted.exlibrisgroup.com/primo-explore/search?tab=default_tab&amp;search_scope=EVERYTHING&amp;vid=01CRU&amp;lang=en_US&amp;offset=0&amp;query=any,contains,991000740799702656","Catalog Record")</f>
        <v>Catalog Record</v>
      </c>
      <c r="AT160" s="6" t="str">
        <f>HYPERLINK("http://www.worldcat.org/oclc/38928982","WorldCat Record")</f>
        <v>WorldCat Record</v>
      </c>
    </row>
    <row r="161" spans="1:46" ht="40.5" customHeight="1" x14ac:dyDescent="0.25">
      <c r="A161" s="8" t="s">
        <v>58</v>
      </c>
      <c r="B161" s="2" t="s">
        <v>2022</v>
      </c>
      <c r="C161" s="2" t="s">
        <v>2023</v>
      </c>
      <c r="D161" s="2" t="s">
        <v>2024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2025</v>
      </c>
      <c r="L161" s="2" t="s">
        <v>2026</v>
      </c>
      <c r="M161" s="3" t="s">
        <v>2027</v>
      </c>
      <c r="O161" s="3" t="s">
        <v>64</v>
      </c>
      <c r="P161" s="3" t="s">
        <v>2028</v>
      </c>
      <c r="R161" s="3" t="s">
        <v>1907</v>
      </c>
      <c r="S161" s="4">
        <v>0</v>
      </c>
      <c r="T161" s="4">
        <v>0</v>
      </c>
      <c r="U161" s="5" t="s">
        <v>2029</v>
      </c>
      <c r="V161" s="5" t="s">
        <v>2029</v>
      </c>
      <c r="W161" s="5" t="s">
        <v>1923</v>
      </c>
      <c r="X161" s="5" t="s">
        <v>1923</v>
      </c>
      <c r="Y161" s="4">
        <v>146</v>
      </c>
      <c r="Z161" s="4">
        <v>129</v>
      </c>
      <c r="AA161" s="4">
        <v>194</v>
      </c>
      <c r="AB161" s="4">
        <v>2</v>
      </c>
      <c r="AC161" s="4">
        <v>3</v>
      </c>
      <c r="AD161" s="4">
        <v>1</v>
      </c>
      <c r="AE161" s="4">
        <v>3</v>
      </c>
      <c r="AF161" s="4">
        <v>0</v>
      </c>
      <c r="AG161" s="4">
        <v>1</v>
      </c>
      <c r="AH161" s="4">
        <v>0</v>
      </c>
      <c r="AI161" s="4">
        <v>0</v>
      </c>
      <c r="AJ161" s="4">
        <v>0</v>
      </c>
      <c r="AK161" s="4">
        <v>0</v>
      </c>
      <c r="AL161" s="4">
        <v>1</v>
      </c>
      <c r="AM161" s="4">
        <v>2</v>
      </c>
      <c r="AN161" s="4">
        <v>0</v>
      </c>
      <c r="AO161" s="4">
        <v>0</v>
      </c>
      <c r="AP161" s="3" t="s">
        <v>58</v>
      </c>
      <c r="AQ161" s="3" t="s">
        <v>69</v>
      </c>
      <c r="AR161" s="6" t="str">
        <f>HYPERLINK("http://catalog.hathitrust.org/Record/010104566","HathiTrust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HYPERLINK("https://creighton-primo.hosted.exlibrisgroup.com/primo-explore/search?tab=default_tab&amp;search_scope=EVERYTHING&amp;vid=01CRU&amp;lang=en_US&amp;offset=0&amp;query=any,contains,991000993469702656","Catalog Record")</f>
        <v>Catalog Record</v>
      </c>
      <c r="AT161" s="6" t="str">
        <f>HYPERLINK("http://www.worldcat.org/oclc/476481","WorldCat Record")</f>
        <v>WorldCat Record</v>
      </c>
    </row>
    <row r="162" spans="1:46" ht="40.5" customHeight="1" x14ac:dyDescent="0.25">
      <c r="A162" s="8" t="s">
        <v>58</v>
      </c>
      <c r="B162" s="2" t="s">
        <v>2030</v>
      </c>
      <c r="C162" s="2" t="s">
        <v>2031</v>
      </c>
      <c r="D162" s="2" t="s">
        <v>2032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2033</v>
      </c>
      <c r="L162" s="2" t="s">
        <v>2034</v>
      </c>
      <c r="M162" s="3" t="s">
        <v>63</v>
      </c>
      <c r="O162" s="3" t="s">
        <v>64</v>
      </c>
      <c r="P162" s="3" t="s">
        <v>1921</v>
      </c>
      <c r="R162" s="3" t="s">
        <v>1907</v>
      </c>
      <c r="S162" s="4">
        <v>4</v>
      </c>
      <c r="T162" s="4">
        <v>4</v>
      </c>
      <c r="U162" s="5" t="s">
        <v>2035</v>
      </c>
      <c r="V162" s="5" t="s">
        <v>2035</v>
      </c>
      <c r="W162" s="5" t="s">
        <v>1923</v>
      </c>
      <c r="X162" s="5" t="s">
        <v>1923</v>
      </c>
      <c r="Y162" s="4">
        <v>150</v>
      </c>
      <c r="Z162" s="4">
        <v>111</v>
      </c>
      <c r="AA162" s="4">
        <v>117</v>
      </c>
      <c r="AB162" s="4">
        <v>1</v>
      </c>
      <c r="AC162" s="4">
        <v>1</v>
      </c>
      <c r="AD162" s="4">
        <v>1</v>
      </c>
      <c r="AE162" s="4">
        <v>1</v>
      </c>
      <c r="AF162" s="4">
        <v>1</v>
      </c>
      <c r="AG162" s="4">
        <v>1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3" t="s">
        <v>58</v>
      </c>
      <c r="AQ162" s="3" t="s">
        <v>58</v>
      </c>
      <c r="AS162" s="6" t="str">
        <f>HYPERLINK("https://creighton-primo.hosted.exlibrisgroup.com/primo-explore/search?tab=default_tab&amp;search_scope=EVERYTHING&amp;vid=01CRU&amp;lang=en_US&amp;offset=0&amp;query=any,contains,991000993439702656","Catalog Record")</f>
        <v>Catalog Record</v>
      </c>
      <c r="AT162" s="6" t="str">
        <f>HYPERLINK("http://www.worldcat.org/oclc/9893819","WorldCat Record")</f>
        <v>WorldCat Record</v>
      </c>
    </row>
    <row r="163" spans="1:46" ht="40.5" customHeight="1" x14ac:dyDescent="0.25">
      <c r="A163" s="8" t="s">
        <v>58</v>
      </c>
      <c r="B163" s="2" t="s">
        <v>2036</v>
      </c>
      <c r="C163" s="2" t="s">
        <v>2037</v>
      </c>
      <c r="D163" s="2" t="s">
        <v>2038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2039</v>
      </c>
      <c r="L163" s="2" t="s">
        <v>2040</v>
      </c>
      <c r="M163" s="3" t="s">
        <v>201</v>
      </c>
      <c r="N163" s="2" t="s">
        <v>1941</v>
      </c>
      <c r="O163" s="3" t="s">
        <v>64</v>
      </c>
      <c r="P163" s="3" t="s">
        <v>65</v>
      </c>
      <c r="R163" s="3" t="s">
        <v>1907</v>
      </c>
      <c r="S163" s="4">
        <v>21</v>
      </c>
      <c r="T163" s="4">
        <v>21</v>
      </c>
      <c r="U163" s="5" t="s">
        <v>2041</v>
      </c>
      <c r="V163" s="5" t="s">
        <v>2041</v>
      </c>
      <c r="W163" s="5" t="s">
        <v>2042</v>
      </c>
      <c r="X163" s="5" t="s">
        <v>2042</v>
      </c>
      <c r="Y163" s="4">
        <v>507</v>
      </c>
      <c r="Z163" s="4">
        <v>397</v>
      </c>
      <c r="AA163" s="4">
        <v>1260</v>
      </c>
      <c r="AB163" s="4">
        <v>1</v>
      </c>
      <c r="AC163" s="4">
        <v>16</v>
      </c>
      <c r="AD163" s="4">
        <v>10</v>
      </c>
      <c r="AE163" s="4">
        <v>42</v>
      </c>
      <c r="AF163" s="4">
        <v>5</v>
      </c>
      <c r="AG163" s="4">
        <v>16</v>
      </c>
      <c r="AH163" s="4">
        <v>3</v>
      </c>
      <c r="AI163" s="4">
        <v>8</v>
      </c>
      <c r="AJ163" s="4">
        <v>5</v>
      </c>
      <c r="AK163" s="4">
        <v>13</v>
      </c>
      <c r="AL163" s="4">
        <v>0</v>
      </c>
      <c r="AM163" s="4">
        <v>13</v>
      </c>
      <c r="AN163" s="4">
        <v>0</v>
      </c>
      <c r="AO163" s="4">
        <v>1</v>
      </c>
      <c r="AP163" s="3" t="s">
        <v>58</v>
      </c>
      <c r="AQ163" s="3" t="s">
        <v>69</v>
      </c>
      <c r="AR163" s="6" t="str">
        <f>HYPERLINK("http://catalog.hathitrust.org/Record/003332488","HathiTrust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HYPERLINK("https://creighton-primo.hosted.exlibrisgroup.com/primo-explore/search?tab=default_tab&amp;search_scope=EVERYTHING&amp;vid=01CRU&amp;lang=en_US&amp;offset=0&amp;query=any,contains,991001406009702656","Catalog Record")</f>
        <v>Catalog Record</v>
      </c>
      <c r="AT163" s="6" t="str">
        <f>HYPERLINK("http://www.worldcat.org/oclc/39914150","WorldCat Record")</f>
        <v>WorldCat Record</v>
      </c>
    </row>
    <row r="164" spans="1:46" ht="40.5" customHeight="1" x14ac:dyDescent="0.25">
      <c r="A164" s="8" t="s">
        <v>58</v>
      </c>
      <c r="B164" s="2" t="s">
        <v>2043</v>
      </c>
      <c r="C164" s="2" t="s">
        <v>2044</v>
      </c>
      <c r="D164" s="2" t="s">
        <v>2038</v>
      </c>
      <c r="E164" s="3" t="s">
        <v>793</v>
      </c>
      <c r="F164" s="3" t="s">
        <v>69</v>
      </c>
      <c r="G164" s="3" t="s">
        <v>59</v>
      </c>
      <c r="H164" s="3" t="s">
        <v>58</v>
      </c>
      <c r="I164" s="3" t="s">
        <v>58</v>
      </c>
      <c r="J164" s="3" t="s">
        <v>60</v>
      </c>
      <c r="L164" s="2" t="s">
        <v>2045</v>
      </c>
      <c r="M164" s="3" t="s">
        <v>2046</v>
      </c>
      <c r="N164" s="2" t="s">
        <v>2047</v>
      </c>
      <c r="O164" s="3" t="s">
        <v>64</v>
      </c>
      <c r="P164" s="3" t="s">
        <v>65</v>
      </c>
      <c r="R164" s="3" t="s">
        <v>1907</v>
      </c>
      <c r="S164" s="4">
        <v>7</v>
      </c>
      <c r="T164" s="4">
        <v>8</v>
      </c>
      <c r="U164" s="5" t="s">
        <v>1967</v>
      </c>
      <c r="V164" s="5" t="s">
        <v>1967</v>
      </c>
      <c r="W164" s="5" t="s">
        <v>2048</v>
      </c>
      <c r="X164" s="5" t="s">
        <v>2048</v>
      </c>
      <c r="Y164" s="4">
        <v>444</v>
      </c>
      <c r="Z164" s="4">
        <v>340</v>
      </c>
      <c r="AA164" s="4">
        <v>343</v>
      </c>
      <c r="AB164" s="4">
        <v>2</v>
      </c>
      <c r="AC164" s="4">
        <v>2</v>
      </c>
      <c r="AD164" s="4">
        <v>11</v>
      </c>
      <c r="AE164" s="4">
        <v>11</v>
      </c>
      <c r="AF164" s="4">
        <v>3</v>
      </c>
      <c r="AG164" s="4">
        <v>3</v>
      </c>
      <c r="AH164" s="4">
        <v>4</v>
      </c>
      <c r="AI164" s="4">
        <v>4</v>
      </c>
      <c r="AJ164" s="4">
        <v>6</v>
      </c>
      <c r="AK164" s="4">
        <v>6</v>
      </c>
      <c r="AL164" s="4">
        <v>1</v>
      </c>
      <c r="AM164" s="4">
        <v>1</v>
      </c>
      <c r="AN164" s="4">
        <v>0</v>
      </c>
      <c r="AO164" s="4">
        <v>0</v>
      </c>
      <c r="AP164" s="3" t="s">
        <v>58</v>
      </c>
      <c r="AQ164" s="3" t="s">
        <v>69</v>
      </c>
      <c r="AR164" s="6" t="str">
        <f>HYPERLINK("http://catalog.hathitrust.org/Record/004315295","HathiTrust Record")</f>
        <v>HathiTrust Record</v>
      </c>
      <c r="AS164" s="6" t="str">
        <f>HYPERLINK("https://creighton-primo.hosted.exlibrisgroup.com/primo-explore/search?tab=default_tab&amp;search_scope=EVERYTHING&amp;vid=01CRU&amp;lang=en_US&amp;offset=0&amp;query=any,contains,991000352339702656","Catalog Record")</f>
        <v>Catalog Record</v>
      </c>
      <c r="AT164" s="6" t="str">
        <f>HYPERLINK("http://www.worldcat.org/oclc/50035668","WorldCat Record")</f>
        <v>WorldCat Record</v>
      </c>
    </row>
    <row r="165" spans="1:46" ht="40.5" customHeight="1" x14ac:dyDescent="0.25">
      <c r="A165" s="8" t="s">
        <v>58</v>
      </c>
      <c r="B165" s="2" t="s">
        <v>2043</v>
      </c>
      <c r="C165" s="2" t="s">
        <v>2044</v>
      </c>
      <c r="D165" s="2" t="s">
        <v>2038</v>
      </c>
      <c r="E165" s="3" t="s">
        <v>1119</v>
      </c>
      <c r="F165" s="3" t="s">
        <v>69</v>
      </c>
      <c r="G165" s="3" t="s">
        <v>59</v>
      </c>
      <c r="H165" s="3" t="s">
        <v>58</v>
      </c>
      <c r="I165" s="3" t="s">
        <v>58</v>
      </c>
      <c r="J165" s="3" t="s">
        <v>60</v>
      </c>
      <c r="L165" s="2" t="s">
        <v>2045</v>
      </c>
      <c r="M165" s="3" t="s">
        <v>2046</v>
      </c>
      <c r="N165" s="2" t="s">
        <v>2047</v>
      </c>
      <c r="O165" s="3" t="s">
        <v>64</v>
      </c>
      <c r="P165" s="3" t="s">
        <v>65</v>
      </c>
      <c r="R165" s="3" t="s">
        <v>1907</v>
      </c>
      <c r="S165" s="4">
        <v>1</v>
      </c>
      <c r="T165" s="4">
        <v>8</v>
      </c>
      <c r="U165" s="5" t="s">
        <v>2049</v>
      </c>
      <c r="V165" s="5" t="s">
        <v>1967</v>
      </c>
      <c r="W165" s="5" t="s">
        <v>2048</v>
      </c>
      <c r="X165" s="5" t="s">
        <v>2048</v>
      </c>
      <c r="Y165" s="4">
        <v>444</v>
      </c>
      <c r="Z165" s="4">
        <v>340</v>
      </c>
      <c r="AA165" s="4">
        <v>343</v>
      </c>
      <c r="AB165" s="4">
        <v>2</v>
      </c>
      <c r="AC165" s="4">
        <v>2</v>
      </c>
      <c r="AD165" s="4">
        <v>11</v>
      </c>
      <c r="AE165" s="4">
        <v>11</v>
      </c>
      <c r="AF165" s="4">
        <v>3</v>
      </c>
      <c r="AG165" s="4">
        <v>3</v>
      </c>
      <c r="AH165" s="4">
        <v>4</v>
      </c>
      <c r="AI165" s="4">
        <v>4</v>
      </c>
      <c r="AJ165" s="4">
        <v>6</v>
      </c>
      <c r="AK165" s="4">
        <v>6</v>
      </c>
      <c r="AL165" s="4">
        <v>1</v>
      </c>
      <c r="AM165" s="4">
        <v>1</v>
      </c>
      <c r="AN165" s="4">
        <v>0</v>
      </c>
      <c r="AO165" s="4">
        <v>0</v>
      </c>
      <c r="AP165" s="3" t="s">
        <v>58</v>
      </c>
      <c r="AQ165" s="3" t="s">
        <v>69</v>
      </c>
      <c r="AR165" s="6" t="str">
        <f>HYPERLINK("http://catalog.hathitrust.org/Record/004315295","HathiTrust Record")</f>
        <v>HathiTrust Record</v>
      </c>
      <c r="AS165" s="6" t="str">
        <f>HYPERLINK("https://creighton-primo.hosted.exlibrisgroup.com/primo-explore/search?tab=default_tab&amp;search_scope=EVERYTHING&amp;vid=01CRU&amp;lang=en_US&amp;offset=0&amp;query=any,contains,991000352339702656","Catalog Record")</f>
        <v>Catalog Record</v>
      </c>
      <c r="AT165" s="6" t="str">
        <f>HYPERLINK("http://www.worldcat.org/oclc/50035668","WorldCat Record")</f>
        <v>WorldCat Record</v>
      </c>
    </row>
    <row r="166" spans="1:46" ht="40.5" customHeight="1" x14ac:dyDescent="0.25">
      <c r="A166" s="8" t="s">
        <v>58</v>
      </c>
      <c r="B166" s="2" t="s">
        <v>2050</v>
      </c>
      <c r="C166" s="2" t="s">
        <v>2051</v>
      </c>
      <c r="D166" s="2" t="s">
        <v>2038</v>
      </c>
      <c r="E166" s="3" t="s">
        <v>1119</v>
      </c>
      <c r="F166" s="3" t="s">
        <v>69</v>
      </c>
      <c r="G166" s="3" t="s">
        <v>59</v>
      </c>
      <c r="H166" s="3" t="s">
        <v>58</v>
      </c>
      <c r="I166" s="3" t="s">
        <v>58</v>
      </c>
      <c r="J166" s="3" t="s">
        <v>60</v>
      </c>
      <c r="L166" s="2" t="s">
        <v>2052</v>
      </c>
      <c r="M166" s="3" t="s">
        <v>1676</v>
      </c>
      <c r="N166" s="2" t="s">
        <v>1357</v>
      </c>
      <c r="O166" s="3" t="s">
        <v>64</v>
      </c>
      <c r="P166" s="3" t="s">
        <v>65</v>
      </c>
      <c r="R166" s="3" t="s">
        <v>1907</v>
      </c>
      <c r="S166" s="4">
        <v>8</v>
      </c>
      <c r="T166" s="4">
        <v>17</v>
      </c>
      <c r="U166" s="5" t="s">
        <v>2053</v>
      </c>
      <c r="V166" s="5" t="s">
        <v>2053</v>
      </c>
      <c r="W166" s="5" t="s">
        <v>2054</v>
      </c>
      <c r="X166" s="5" t="s">
        <v>2054</v>
      </c>
      <c r="Y166" s="4">
        <v>447</v>
      </c>
      <c r="Z166" s="4">
        <v>326</v>
      </c>
      <c r="AA166" s="4">
        <v>326</v>
      </c>
      <c r="AB166" s="4">
        <v>3</v>
      </c>
      <c r="AC166" s="4">
        <v>3</v>
      </c>
      <c r="AD166" s="4">
        <v>12</v>
      </c>
      <c r="AE166" s="4">
        <v>12</v>
      </c>
      <c r="AF166" s="4">
        <v>2</v>
      </c>
      <c r="AG166" s="4">
        <v>2</v>
      </c>
      <c r="AH166" s="4">
        <v>5</v>
      </c>
      <c r="AI166" s="4">
        <v>5</v>
      </c>
      <c r="AJ166" s="4">
        <v>6</v>
      </c>
      <c r="AK166" s="4">
        <v>6</v>
      </c>
      <c r="AL166" s="4">
        <v>2</v>
      </c>
      <c r="AM166" s="4">
        <v>2</v>
      </c>
      <c r="AN166" s="4">
        <v>0</v>
      </c>
      <c r="AO166" s="4">
        <v>0</v>
      </c>
      <c r="AP166" s="3" t="s">
        <v>58</v>
      </c>
      <c r="AQ166" s="3" t="s">
        <v>58</v>
      </c>
      <c r="AS166" s="6" t="str">
        <f>HYPERLINK("https://creighton-primo.hosted.exlibrisgroup.com/primo-explore/search?tab=default_tab&amp;search_scope=EVERYTHING&amp;vid=01CRU&amp;lang=en_US&amp;offset=0&amp;query=any,contains,991000648889702656","Catalog Record")</f>
        <v>Catalog Record</v>
      </c>
      <c r="AT166" s="6" t="str">
        <f>HYPERLINK("http://www.worldcat.org/oclc/63195972","WorldCat Record")</f>
        <v>WorldCat Record</v>
      </c>
    </row>
    <row r="167" spans="1:46" ht="40.5" customHeight="1" x14ac:dyDescent="0.25">
      <c r="A167" s="8" t="s">
        <v>58</v>
      </c>
      <c r="B167" s="2" t="s">
        <v>2050</v>
      </c>
      <c r="C167" s="2" t="s">
        <v>2051</v>
      </c>
      <c r="D167" s="2" t="s">
        <v>2038</v>
      </c>
      <c r="E167" s="3" t="s">
        <v>793</v>
      </c>
      <c r="F167" s="3" t="s">
        <v>69</v>
      </c>
      <c r="G167" s="3" t="s">
        <v>59</v>
      </c>
      <c r="H167" s="3" t="s">
        <v>58</v>
      </c>
      <c r="I167" s="3" t="s">
        <v>58</v>
      </c>
      <c r="J167" s="3" t="s">
        <v>60</v>
      </c>
      <c r="L167" s="2" t="s">
        <v>2052</v>
      </c>
      <c r="M167" s="3" t="s">
        <v>1676</v>
      </c>
      <c r="N167" s="2" t="s">
        <v>1357</v>
      </c>
      <c r="O167" s="3" t="s">
        <v>64</v>
      </c>
      <c r="P167" s="3" t="s">
        <v>65</v>
      </c>
      <c r="R167" s="3" t="s">
        <v>1907</v>
      </c>
      <c r="S167" s="4">
        <v>9</v>
      </c>
      <c r="T167" s="4">
        <v>17</v>
      </c>
      <c r="U167" s="5" t="s">
        <v>2053</v>
      </c>
      <c r="V167" s="5" t="s">
        <v>2053</v>
      </c>
      <c r="W167" s="5" t="s">
        <v>2054</v>
      </c>
      <c r="X167" s="5" t="s">
        <v>2054</v>
      </c>
      <c r="Y167" s="4">
        <v>447</v>
      </c>
      <c r="Z167" s="4">
        <v>326</v>
      </c>
      <c r="AA167" s="4">
        <v>326</v>
      </c>
      <c r="AB167" s="4">
        <v>3</v>
      </c>
      <c r="AC167" s="4">
        <v>3</v>
      </c>
      <c r="AD167" s="4">
        <v>12</v>
      </c>
      <c r="AE167" s="4">
        <v>12</v>
      </c>
      <c r="AF167" s="4">
        <v>2</v>
      </c>
      <c r="AG167" s="4">
        <v>2</v>
      </c>
      <c r="AH167" s="4">
        <v>5</v>
      </c>
      <c r="AI167" s="4">
        <v>5</v>
      </c>
      <c r="AJ167" s="4">
        <v>6</v>
      </c>
      <c r="AK167" s="4">
        <v>6</v>
      </c>
      <c r="AL167" s="4">
        <v>2</v>
      </c>
      <c r="AM167" s="4">
        <v>2</v>
      </c>
      <c r="AN167" s="4">
        <v>0</v>
      </c>
      <c r="AO167" s="4">
        <v>0</v>
      </c>
      <c r="AP167" s="3" t="s">
        <v>58</v>
      </c>
      <c r="AQ167" s="3" t="s">
        <v>58</v>
      </c>
      <c r="AS167" s="6" t="str">
        <f>HYPERLINK("https://creighton-primo.hosted.exlibrisgroup.com/primo-explore/search?tab=default_tab&amp;search_scope=EVERYTHING&amp;vid=01CRU&amp;lang=en_US&amp;offset=0&amp;query=any,contains,991000648889702656","Catalog Record")</f>
        <v>Catalog Record</v>
      </c>
      <c r="AT167" s="6" t="str">
        <f>HYPERLINK("http://www.worldcat.org/oclc/63195972","WorldCat Record")</f>
        <v>WorldCat Record</v>
      </c>
    </row>
    <row r="168" spans="1:46" ht="40.5" customHeight="1" x14ac:dyDescent="0.25">
      <c r="A168" s="8" t="s">
        <v>58</v>
      </c>
      <c r="B168" s="2" t="s">
        <v>2055</v>
      </c>
      <c r="C168" s="2" t="s">
        <v>2056</v>
      </c>
      <c r="D168" s="2" t="s">
        <v>2057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L168" s="2" t="s">
        <v>2058</v>
      </c>
      <c r="M168" s="3" t="s">
        <v>201</v>
      </c>
      <c r="O168" s="3" t="s">
        <v>64</v>
      </c>
      <c r="P168" s="3" t="s">
        <v>202</v>
      </c>
      <c r="R168" s="3" t="s">
        <v>1907</v>
      </c>
      <c r="S168" s="4">
        <v>5</v>
      </c>
      <c r="T168" s="4">
        <v>5</v>
      </c>
      <c r="U168" s="5" t="s">
        <v>2059</v>
      </c>
      <c r="V168" s="5" t="s">
        <v>2059</v>
      </c>
      <c r="W168" s="5" t="s">
        <v>2060</v>
      </c>
      <c r="X168" s="5" t="s">
        <v>2060</v>
      </c>
      <c r="Y168" s="4">
        <v>150</v>
      </c>
      <c r="Z168" s="4">
        <v>97</v>
      </c>
      <c r="AA168" s="4">
        <v>127</v>
      </c>
      <c r="AB168" s="4">
        <v>1</v>
      </c>
      <c r="AC168" s="4">
        <v>1</v>
      </c>
      <c r="AD168" s="4">
        <v>2</v>
      </c>
      <c r="AE168" s="4">
        <v>4</v>
      </c>
      <c r="AF168" s="4">
        <v>0</v>
      </c>
      <c r="AG168" s="4">
        <v>1</v>
      </c>
      <c r="AH168" s="4">
        <v>1</v>
      </c>
      <c r="AI168" s="4">
        <v>1</v>
      </c>
      <c r="AJ168" s="4">
        <v>2</v>
      </c>
      <c r="AK168" s="4">
        <v>4</v>
      </c>
      <c r="AL168" s="4">
        <v>0</v>
      </c>
      <c r="AM168" s="4">
        <v>0</v>
      </c>
      <c r="AN168" s="4">
        <v>0</v>
      </c>
      <c r="AO168" s="4">
        <v>0</v>
      </c>
      <c r="AP168" s="3" t="s">
        <v>58</v>
      </c>
      <c r="AQ168" s="3" t="s">
        <v>58</v>
      </c>
      <c r="AS168" s="6" t="str">
        <f>HYPERLINK("https://creighton-primo.hosted.exlibrisgroup.com/primo-explore/search?tab=default_tab&amp;search_scope=EVERYTHING&amp;vid=01CRU&amp;lang=en_US&amp;offset=0&amp;query=any,contains,991000277369702656","Catalog Record")</f>
        <v>Catalog Record</v>
      </c>
      <c r="AT168" s="6" t="str">
        <f>HYPERLINK("http://www.worldcat.org/oclc/41278395","WorldCat Record")</f>
        <v>WorldCat Record</v>
      </c>
    </row>
    <row r="169" spans="1:46" ht="40.5" customHeight="1" x14ac:dyDescent="0.25">
      <c r="A169" s="8" t="s">
        <v>58</v>
      </c>
      <c r="B169" s="2" t="s">
        <v>2061</v>
      </c>
      <c r="C169" s="2" t="s">
        <v>2062</v>
      </c>
      <c r="D169" s="2" t="s">
        <v>2063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60</v>
      </c>
      <c r="L169" s="2" t="s">
        <v>2064</v>
      </c>
      <c r="M169" s="3" t="s">
        <v>525</v>
      </c>
      <c r="N169" s="2" t="s">
        <v>1606</v>
      </c>
      <c r="O169" s="3" t="s">
        <v>64</v>
      </c>
      <c r="P169" s="3" t="s">
        <v>83</v>
      </c>
      <c r="R169" s="3" t="s">
        <v>1907</v>
      </c>
      <c r="S169" s="4">
        <v>38</v>
      </c>
      <c r="T169" s="4">
        <v>38</v>
      </c>
      <c r="U169" s="5" t="s">
        <v>1928</v>
      </c>
      <c r="V169" s="5" t="s">
        <v>1928</v>
      </c>
      <c r="W169" s="5" t="s">
        <v>2065</v>
      </c>
      <c r="X169" s="5" t="s">
        <v>2065</v>
      </c>
      <c r="Y169" s="4">
        <v>211</v>
      </c>
      <c r="Z169" s="4">
        <v>145</v>
      </c>
      <c r="AA169" s="4">
        <v>400</v>
      </c>
      <c r="AB169" s="4">
        <v>2</v>
      </c>
      <c r="AC169" s="4">
        <v>3</v>
      </c>
      <c r="AD169" s="4">
        <v>1</v>
      </c>
      <c r="AE169" s="4">
        <v>12</v>
      </c>
      <c r="AF169" s="4">
        <v>0</v>
      </c>
      <c r="AG169" s="4">
        <v>5</v>
      </c>
      <c r="AH169" s="4">
        <v>0</v>
      </c>
      <c r="AI169" s="4">
        <v>1</v>
      </c>
      <c r="AJ169" s="4">
        <v>0</v>
      </c>
      <c r="AK169" s="4">
        <v>8</v>
      </c>
      <c r="AL169" s="4">
        <v>1</v>
      </c>
      <c r="AM169" s="4">
        <v>1</v>
      </c>
      <c r="AN169" s="4">
        <v>0</v>
      </c>
      <c r="AO169" s="4">
        <v>0</v>
      </c>
      <c r="AP169" s="3" t="s">
        <v>58</v>
      </c>
      <c r="AQ169" s="3" t="s">
        <v>69</v>
      </c>
      <c r="AR169" s="6" t="str">
        <f>HYPERLINK("http://catalog.hathitrust.org/Record/002453595","HathiTrust Record")</f>
        <v>HathiTrust Record</v>
      </c>
      <c r="AS169" s="6" t="str">
        <f>HYPERLINK("https://creighton-primo.hosted.exlibrisgroup.com/primo-explore/search?tab=default_tab&amp;search_scope=EVERYTHING&amp;vid=01CRU&amp;lang=en_US&amp;offset=0&amp;query=any,contains,991000827899702656","Catalog Record")</f>
        <v>Catalog Record</v>
      </c>
      <c r="AT169" s="6" t="str">
        <f>HYPERLINK("http://www.worldcat.org/oclc/23216617","WorldCat Record")</f>
        <v>WorldCat Record</v>
      </c>
    </row>
    <row r="170" spans="1:46" ht="40.5" customHeight="1" x14ac:dyDescent="0.25">
      <c r="A170" s="8" t="s">
        <v>58</v>
      </c>
      <c r="B170" s="2" t="s">
        <v>2066</v>
      </c>
      <c r="C170" s="2" t="s">
        <v>2067</v>
      </c>
      <c r="D170" s="2" t="s">
        <v>2068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L170" s="2" t="s">
        <v>2069</v>
      </c>
      <c r="M170" s="3" t="s">
        <v>480</v>
      </c>
      <c r="N170" s="2" t="s">
        <v>1759</v>
      </c>
      <c r="O170" s="3" t="s">
        <v>64</v>
      </c>
      <c r="P170" s="3" t="s">
        <v>1921</v>
      </c>
      <c r="R170" s="3" t="s">
        <v>1907</v>
      </c>
      <c r="S170" s="4">
        <v>48</v>
      </c>
      <c r="T170" s="4">
        <v>48</v>
      </c>
      <c r="U170" s="5" t="s">
        <v>747</v>
      </c>
      <c r="V170" s="5" t="s">
        <v>747</v>
      </c>
      <c r="W170" s="5" t="s">
        <v>2070</v>
      </c>
      <c r="X170" s="5" t="s">
        <v>2070</v>
      </c>
      <c r="Y170" s="4">
        <v>443</v>
      </c>
      <c r="Z170" s="4">
        <v>284</v>
      </c>
      <c r="AA170" s="4">
        <v>293</v>
      </c>
      <c r="AB170" s="4">
        <v>3</v>
      </c>
      <c r="AC170" s="4">
        <v>3</v>
      </c>
      <c r="AD170" s="4">
        <v>7</v>
      </c>
      <c r="AE170" s="4">
        <v>7</v>
      </c>
      <c r="AF170" s="4">
        <v>3</v>
      </c>
      <c r="AG170" s="4">
        <v>3</v>
      </c>
      <c r="AH170" s="4">
        <v>1</v>
      </c>
      <c r="AI170" s="4">
        <v>1</v>
      </c>
      <c r="AJ170" s="4">
        <v>3</v>
      </c>
      <c r="AK170" s="4">
        <v>3</v>
      </c>
      <c r="AL170" s="4">
        <v>2</v>
      </c>
      <c r="AM170" s="4">
        <v>2</v>
      </c>
      <c r="AN170" s="4">
        <v>0</v>
      </c>
      <c r="AO170" s="4">
        <v>0</v>
      </c>
      <c r="AP170" s="3" t="s">
        <v>58</v>
      </c>
      <c r="AQ170" s="3" t="s">
        <v>69</v>
      </c>
      <c r="AR170" s="6" t="str">
        <f>HYPERLINK("http://catalog.hathitrust.org/Record/001815494","HathiTrust Record")</f>
        <v>HathiTrust Record</v>
      </c>
      <c r="AS170" s="6" t="str">
        <f>HYPERLINK("https://creighton-primo.hosted.exlibrisgroup.com/primo-explore/search?tab=default_tab&amp;search_scope=EVERYTHING&amp;vid=01CRU&amp;lang=en_US&amp;offset=0&amp;query=any,contains,991001386789702656","Catalog Record")</f>
        <v>Catalog Record</v>
      </c>
      <c r="AT170" s="6" t="str">
        <f>HYPERLINK("http://www.worldcat.org/oclc/19324734","WorldCat Record")</f>
        <v>WorldCat Record</v>
      </c>
    </row>
    <row r="171" spans="1:46" ht="40.5" customHeight="1" x14ac:dyDescent="0.25">
      <c r="A171" s="8" t="s">
        <v>58</v>
      </c>
      <c r="B171" s="2" t="s">
        <v>2071</v>
      </c>
      <c r="C171" s="2" t="s">
        <v>2072</v>
      </c>
      <c r="D171" s="2" t="s">
        <v>2073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L171" s="2" t="s">
        <v>2074</v>
      </c>
      <c r="M171" s="3" t="s">
        <v>829</v>
      </c>
      <c r="O171" s="3" t="s">
        <v>64</v>
      </c>
      <c r="P171" s="3" t="s">
        <v>1921</v>
      </c>
      <c r="R171" s="3" t="s">
        <v>1907</v>
      </c>
      <c r="S171" s="4">
        <v>4</v>
      </c>
      <c r="T171" s="4">
        <v>4</v>
      </c>
      <c r="U171" s="5" t="s">
        <v>2075</v>
      </c>
      <c r="V171" s="5" t="s">
        <v>2075</v>
      </c>
      <c r="W171" s="5" t="s">
        <v>1923</v>
      </c>
      <c r="X171" s="5" t="s">
        <v>1923</v>
      </c>
      <c r="Y171" s="4">
        <v>26</v>
      </c>
      <c r="Z171" s="4">
        <v>21</v>
      </c>
      <c r="AA171" s="4">
        <v>21</v>
      </c>
      <c r="AB171" s="4">
        <v>1</v>
      </c>
      <c r="AC171" s="4">
        <v>1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3" t="s">
        <v>58</v>
      </c>
      <c r="AQ171" s="3" t="s">
        <v>58</v>
      </c>
      <c r="AS171" s="6" t="str">
        <f>HYPERLINK("https://creighton-primo.hosted.exlibrisgroup.com/primo-explore/search?tab=default_tab&amp;search_scope=EVERYTHING&amp;vid=01CRU&amp;lang=en_US&amp;offset=0&amp;query=any,contains,991000993399702656","Catalog Record")</f>
        <v>Catalog Record</v>
      </c>
      <c r="AT171" s="6" t="str">
        <f>HYPERLINK("http://www.worldcat.org/oclc/13842171","WorldCat Record")</f>
        <v>WorldCat Record</v>
      </c>
    </row>
    <row r="172" spans="1:46" ht="40.5" customHeight="1" x14ac:dyDescent="0.25">
      <c r="A172" s="8" t="s">
        <v>58</v>
      </c>
      <c r="B172" s="2" t="s">
        <v>2076</v>
      </c>
      <c r="C172" s="2" t="s">
        <v>2077</v>
      </c>
      <c r="D172" s="2" t="s">
        <v>2078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K172" s="2" t="s">
        <v>2079</v>
      </c>
      <c r="L172" s="2" t="s">
        <v>2080</v>
      </c>
      <c r="M172" s="3" t="s">
        <v>1121</v>
      </c>
      <c r="N172" s="2" t="s">
        <v>271</v>
      </c>
      <c r="O172" s="3" t="s">
        <v>64</v>
      </c>
      <c r="P172" s="3" t="s">
        <v>1921</v>
      </c>
      <c r="R172" s="3" t="s">
        <v>1907</v>
      </c>
      <c r="S172" s="4">
        <v>5</v>
      </c>
      <c r="T172" s="4">
        <v>5</v>
      </c>
      <c r="U172" s="5" t="s">
        <v>2081</v>
      </c>
      <c r="V172" s="5" t="s">
        <v>2081</v>
      </c>
      <c r="W172" s="5" t="s">
        <v>1923</v>
      </c>
      <c r="X172" s="5" t="s">
        <v>1923</v>
      </c>
      <c r="Y172" s="4">
        <v>162</v>
      </c>
      <c r="Z172" s="4">
        <v>130</v>
      </c>
      <c r="AA172" s="4">
        <v>221</v>
      </c>
      <c r="AB172" s="4">
        <v>1</v>
      </c>
      <c r="AC172" s="4">
        <v>1</v>
      </c>
      <c r="AD172" s="4">
        <v>2</v>
      </c>
      <c r="AE172" s="4">
        <v>5</v>
      </c>
      <c r="AF172" s="4">
        <v>1</v>
      </c>
      <c r="AG172" s="4">
        <v>3</v>
      </c>
      <c r="AH172" s="4">
        <v>0</v>
      </c>
      <c r="AI172" s="4">
        <v>0</v>
      </c>
      <c r="AJ172" s="4">
        <v>1</v>
      </c>
      <c r="AK172" s="4">
        <v>2</v>
      </c>
      <c r="AL172" s="4">
        <v>0</v>
      </c>
      <c r="AM172" s="4">
        <v>0</v>
      </c>
      <c r="AN172" s="4">
        <v>0</v>
      </c>
      <c r="AO172" s="4">
        <v>0</v>
      </c>
      <c r="AP172" s="3" t="s">
        <v>58</v>
      </c>
      <c r="AQ172" s="3" t="s">
        <v>58</v>
      </c>
      <c r="AS172" s="6" t="str">
        <f>HYPERLINK("https://creighton-primo.hosted.exlibrisgroup.com/primo-explore/search?tab=default_tab&amp;search_scope=EVERYTHING&amp;vid=01CRU&amp;lang=en_US&amp;offset=0&amp;query=any,contains,991000993259702656","Catalog Record")</f>
        <v>Catalog Record</v>
      </c>
      <c r="AT172" s="6" t="str">
        <f>HYPERLINK("http://www.worldcat.org/oclc/5497327","WorldCat Record")</f>
        <v>WorldCat Record</v>
      </c>
    </row>
    <row r="173" spans="1:46" ht="40.5" customHeight="1" x14ac:dyDescent="0.25">
      <c r="A173" s="8" t="s">
        <v>58</v>
      </c>
      <c r="B173" s="2" t="s">
        <v>2082</v>
      </c>
      <c r="C173" s="2" t="s">
        <v>2083</v>
      </c>
      <c r="D173" s="2" t="s">
        <v>2084</v>
      </c>
      <c r="E173" s="3" t="s">
        <v>2085</v>
      </c>
      <c r="F173" s="3" t="s">
        <v>69</v>
      </c>
      <c r="G173" s="3" t="s">
        <v>59</v>
      </c>
      <c r="H173" s="3" t="s">
        <v>58</v>
      </c>
      <c r="I173" s="3" t="s">
        <v>58</v>
      </c>
      <c r="J173" s="3" t="s">
        <v>60</v>
      </c>
      <c r="L173" s="2" t="s">
        <v>2086</v>
      </c>
      <c r="M173" s="3" t="s">
        <v>1758</v>
      </c>
      <c r="O173" s="3" t="s">
        <v>64</v>
      </c>
      <c r="P173" s="3" t="s">
        <v>172</v>
      </c>
      <c r="R173" s="3" t="s">
        <v>1907</v>
      </c>
      <c r="S173" s="4">
        <v>3</v>
      </c>
      <c r="T173" s="4">
        <v>9</v>
      </c>
      <c r="U173" s="5" t="s">
        <v>1967</v>
      </c>
      <c r="V173" s="5" t="s">
        <v>1967</v>
      </c>
      <c r="W173" s="5" t="s">
        <v>2087</v>
      </c>
      <c r="X173" s="5" t="s">
        <v>2087</v>
      </c>
      <c r="Y173" s="4">
        <v>194</v>
      </c>
      <c r="Z173" s="4">
        <v>125</v>
      </c>
      <c r="AA173" s="4">
        <v>565</v>
      </c>
      <c r="AB173" s="4">
        <v>3</v>
      </c>
      <c r="AC173" s="4">
        <v>8</v>
      </c>
      <c r="AD173" s="4">
        <v>7</v>
      </c>
      <c r="AE173" s="4">
        <v>28</v>
      </c>
      <c r="AF173" s="4">
        <v>3</v>
      </c>
      <c r="AG173" s="4">
        <v>10</v>
      </c>
      <c r="AH173" s="4">
        <v>1</v>
      </c>
      <c r="AI173" s="4">
        <v>6</v>
      </c>
      <c r="AJ173" s="4">
        <v>2</v>
      </c>
      <c r="AK173" s="4">
        <v>7</v>
      </c>
      <c r="AL173" s="4">
        <v>2</v>
      </c>
      <c r="AM173" s="4">
        <v>7</v>
      </c>
      <c r="AN173" s="4">
        <v>0</v>
      </c>
      <c r="AO173" s="4">
        <v>1</v>
      </c>
      <c r="AP173" s="3" t="s">
        <v>58</v>
      </c>
      <c r="AQ173" s="3" t="s">
        <v>69</v>
      </c>
      <c r="AR173" s="6" t="str">
        <f>HYPERLINK("http://catalog.hathitrust.org/Record/004212879","HathiTrust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HYPERLINK("https://creighton-primo.hosted.exlibrisgroup.com/primo-explore/search?tab=default_tab&amp;search_scope=EVERYTHING&amp;vid=01CRU&amp;lang=en_US&amp;offset=0&amp;query=any,contains,991000316829702656","Catalog Record")</f>
        <v>Catalog Record</v>
      </c>
      <c r="AT173" s="6" t="str">
        <f>HYPERLINK("http://www.worldcat.org/oclc/47675852","WorldCat Record")</f>
        <v>WorldCat Record</v>
      </c>
    </row>
    <row r="174" spans="1:46" ht="40.5" customHeight="1" x14ac:dyDescent="0.25">
      <c r="A174" s="8" t="s">
        <v>58</v>
      </c>
      <c r="B174" s="2" t="s">
        <v>2082</v>
      </c>
      <c r="C174" s="2" t="s">
        <v>2083</v>
      </c>
      <c r="D174" s="2" t="s">
        <v>2084</v>
      </c>
      <c r="E174" s="3" t="s">
        <v>793</v>
      </c>
      <c r="F174" s="3" t="s">
        <v>69</v>
      </c>
      <c r="G174" s="3" t="s">
        <v>59</v>
      </c>
      <c r="H174" s="3" t="s">
        <v>58</v>
      </c>
      <c r="I174" s="3" t="s">
        <v>58</v>
      </c>
      <c r="J174" s="3" t="s">
        <v>60</v>
      </c>
      <c r="L174" s="2" t="s">
        <v>2086</v>
      </c>
      <c r="M174" s="3" t="s">
        <v>1758</v>
      </c>
      <c r="O174" s="3" t="s">
        <v>64</v>
      </c>
      <c r="P174" s="3" t="s">
        <v>172</v>
      </c>
      <c r="R174" s="3" t="s">
        <v>1907</v>
      </c>
      <c r="S174" s="4">
        <v>6</v>
      </c>
      <c r="T174" s="4">
        <v>9</v>
      </c>
      <c r="U174" s="5" t="s">
        <v>2088</v>
      </c>
      <c r="V174" s="5" t="s">
        <v>1967</v>
      </c>
      <c r="W174" s="5" t="s">
        <v>2087</v>
      </c>
      <c r="X174" s="5" t="s">
        <v>2087</v>
      </c>
      <c r="Y174" s="4">
        <v>194</v>
      </c>
      <c r="Z174" s="4">
        <v>125</v>
      </c>
      <c r="AA174" s="4">
        <v>565</v>
      </c>
      <c r="AB174" s="4">
        <v>3</v>
      </c>
      <c r="AC174" s="4">
        <v>8</v>
      </c>
      <c r="AD174" s="4">
        <v>7</v>
      </c>
      <c r="AE174" s="4">
        <v>28</v>
      </c>
      <c r="AF174" s="4">
        <v>3</v>
      </c>
      <c r="AG174" s="4">
        <v>10</v>
      </c>
      <c r="AH174" s="4">
        <v>1</v>
      </c>
      <c r="AI174" s="4">
        <v>6</v>
      </c>
      <c r="AJ174" s="4">
        <v>2</v>
      </c>
      <c r="AK174" s="4">
        <v>7</v>
      </c>
      <c r="AL174" s="4">
        <v>2</v>
      </c>
      <c r="AM174" s="4">
        <v>7</v>
      </c>
      <c r="AN174" s="4">
        <v>0</v>
      </c>
      <c r="AO174" s="4">
        <v>1</v>
      </c>
      <c r="AP174" s="3" t="s">
        <v>58</v>
      </c>
      <c r="AQ174" s="3" t="s">
        <v>69</v>
      </c>
      <c r="AR174" s="6" t="str">
        <f>HYPERLINK("http://catalog.hathitrust.org/Record/004212879","HathiTrust Record")</f>
        <v>HathiTrust Record</v>
      </c>
      <c r="AS174" s="6" t="str">
        <f>HYPERLINK("https://creighton-primo.hosted.exlibrisgroup.com/primo-explore/search?tab=default_tab&amp;search_scope=EVERYTHING&amp;vid=01CRU&amp;lang=en_US&amp;offset=0&amp;query=any,contains,991000316829702656","Catalog Record")</f>
        <v>Catalog Record</v>
      </c>
      <c r="AT174" s="6" t="str">
        <f>HYPERLINK("http://www.worldcat.org/oclc/47675852","WorldCat Record")</f>
        <v>WorldCat Record</v>
      </c>
    </row>
    <row r="175" spans="1:46" ht="40.5" customHeight="1" x14ac:dyDescent="0.25">
      <c r="A175" s="8" t="s">
        <v>58</v>
      </c>
      <c r="B175" s="2" t="s">
        <v>2082</v>
      </c>
      <c r="C175" s="2" t="s">
        <v>2083</v>
      </c>
      <c r="D175" s="2" t="s">
        <v>2084</v>
      </c>
      <c r="E175" s="3" t="s">
        <v>1119</v>
      </c>
      <c r="F175" s="3" t="s">
        <v>69</v>
      </c>
      <c r="G175" s="3" t="s">
        <v>59</v>
      </c>
      <c r="H175" s="3" t="s">
        <v>58</v>
      </c>
      <c r="I175" s="3" t="s">
        <v>58</v>
      </c>
      <c r="J175" s="3" t="s">
        <v>60</v>
      </c>
      <c r="L175" s="2" t="s">
        <v>2086</v>
      </c>
      <c r="M175" s="3" t="s">
        <v>1758</v>
      </c>
      <c r="O175" s="3" t="s">
        <v>64</v>
      </c>
      <c r="P175" s="3" t="s">
        <v>172</v>
      </c>
      <c r="R175" s="3" t="s">
        <v>1907</v>
      </c>
      <c r="S175" s="4">
        <v>0</v>
      </c>
      <c r="T175" s="4">
        <v>9</v>
      </c>
      <c r="U175" s="5" t="s">
        <v>2089</v>
      </c>
      <c r="V175" s="5" t="s">
        <v>1967</v>
      </c>
      <c r="W175" s="5" t="s">
        <v>2087</v>
      </c>
      <c r="X175" s="5" t="s">
        <v>2087</v>
      </c>
      <c r="Y175" s="4">
        <v>194</v>
      </c>
      <c r="Z175" s="4">
        <v>125</v>
      </c>
      <c r="AA175" s="4">
        <v>565</v>
      </c>
      <c r="AB175" s="4">
        <v>3</v>
      </c>
      <c r="AC175" s="4">
        <v>8</v>
      </c>
      <c r="AD175" s="4">
        <v>7</v>
      </c>
      <c r="AE175" s="4">
        <v>28</v>
      </c>
      <c r="AF175" s="4">
        <v>3</v>
      </c>
      <c r="AG175" s="4">
        <v>10</v>
      </c>
      <c r="AH175" s="4">
        <v>1</v>
      </c>
      <c r="AI175" s="4">
        <v>6</v>
      </c>
      <c r="AJ175" s="4">
        <v>2</v>
      </c>
      <c r="AK175" s="4">
        <v>7</v>
      </c>
      <c r="AL175" s="4">
        <v>2</v>
      </c>
      <c r="AM175" s="4">
        <v>7</v>
      </c>
      <c r="AN175" s="4">
        <v>0</v>
      </c>
      <c r="AO175" s="4">
        <v>1</v>
      </c>
      <c r="AP175" s="3" t="s">
        <v>58</v>
      </c>
      <c r="AQ175" s="3" t="s">
        <v>69</v>
      </c>
      <c r="AR175" s="6" t="str">
        <f>HYPERLINK("http://catalog.hathitrust.org/Record/004212879","HathiTrust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HYPERLINK("https://creighton-primo.hosted.exlibrisgroup.com/primo-explore/search?tab=default_tab&amp;search_scope=EVERYTHING&amp;vid=01CRU&amp;lang=en_US&amp;offset=0&amp;query=any,contains,991000316829702656","Catalog Record")</f>
        <v>Catalog Record</v>
      </c>
      <c r="AT175" s="6" t="str">
        <f>HYPERLINK("http://www.worldcat.org/oclc/47675852","WorldCat Record")</f>
        <v>WorldCat Record</v>
      </c>
    </row>
    <row r="176" spans="1:46" ht="40.5" customHeight="1" x14ac:dyDescent="0.25">
      <c r="A176" s="8" t="s">
        <v>58</v>
      </c>
      <c r="B176" s="2" t="s">
        <v>2090</v>
      </c>
      <c r="C176" s="2" t="s">
        <v>2091</v>
      </c>
      <c r="D176" s="2" t="s">
        <v>2092</v>
      </c>
      <c r="F176" s="3" t="s">
        <v>58</v>
      </c>
      <c r="G176" s="3" t="s">
        <v>59</v>
      </c>
      <c r="H176" s="3" t="s">
        <v>58</v>
      </c>
      <c r="I176" s="3" t="s">
        <v>69</v>
      </c>
      <c r="J176" s="3" t="s">
        <v>59</v>
      </c>
      <c r="L176" s="2" t="s">
        <v>2093</v>
      </c>
      <c r="M176" s="3" t="s">
        <v>1703</v>
      </c>
      <c r="O176" s="3" t="s">
        <v>64</v>
      </c>
      <c r="P176" s="3" t="s">
        <v>65</v>
      </c>
      <c r="R176" s="3" t="s">
        <v>1907</v>
      </c>
      <c r="S176" s="4">
        <v>5</v>
      </c>
      <c r="T176" s="4">
        <v>5</v>
      </c>
      <c r="U176" s="5" t="s">
        <v>2094</v>
      </c>
      <c r="V176" s="5" t="s">
        <v>2094</v>
      </c>
      <c r="W176" s="5" t="s">
        <v>2095</v>
      </c>
      <c r="X176" s="5" t="s">
        <v>2095</v>
      </c>
      <c r="Y176" s="4">
        <v>284</v>
      </c>
      <c r="Z176" s="4">
        <v>190</v>
      </c>
      <c r="AA176" s="4">
        <v>395</v>
      </c>
      <c r="AB176" s="4">
        <v>3</v>
      </c>
      <c r="AC176" s="4">
        <v>3</v>
      </c>
      <c r="AD176" s="4">
        <v>8</v>
      </c>
      <c r="AE176" s="4">
        <v>12</v>
      </c>
      <c r="AF176" s="4">
        <v>2</v>
      </c>
      <c r="AG176" s="4">
        <v>5</v>
      </c>
      <c r="AH176" s="4">
        <v>3</v>
      </c>
      <c r="AI176" s="4">
        <v>3</v>
      </c>
      <c r="AJ176" s="4">
        <v>3</v>
      </c>
      <c r="AK176" s="4">
        <v>4</v>
      </c>
      <c r="AL176" s="4">
        <v>2</v>
      </c>
      <c r="AM176" s="4">
        <v>2</v>
      </c>
      <c r="AN176" s="4">
        <v>0</v>
      </c>
      <c r="AO176" s="4">
        <v>0</v>
      </c>
      <c r="AP176" s="3" t="s">
        <v>58</v>
      </c>
      <c r="AQ176" s="3" t="s">
        <v>69</v>
      </c>
      <c r="AR176" s="6" t="str">
        <f>HYPERLINK("http://catalog.hathitrust.org/Record/003886575","HathiTrust Record")</f>
        <v>HathiTrust Record</v>
      </c>
      <c r="AS176" s="6" t="str">
        <f>HYPERLINK("https://creighton-primo.hosted.exlibrisgroup.com/primo-explore/search?tab=default_tab&amp;search_scope=EVERYTHING&amp;vid=01CRU&amp;lang=en_US&amp;offset=0&amp;query=any,contains,991000366889702656","Catalog Record")</f>
        <v>Catalog Record</v>
      </c>
      <c r="AT176" s="6" t="str">
        <f>HYPERLINK("http://www.worldcat.org/oclc/52631424","WorldCat Record")</f>
        <v>WorldCat Record</v>
      </c>
    </row>
    <row r="177" spans="1:46" ht="40.5" customHeight="1" x14ac:dyDescent="0.25">
      <c r="A177" s="8" t="s">
        <v>58</v>
      </c>
      <c r="B177" s="2" t="s">
        <v>2096</v>
      </c>
      <c r="C177" s="2" t="s">
        <v>2097</v>
      </c>
      <c r="D177" s="2" t="s">
        <v>2098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L177" s="2" t="s">
        <v>2099</v>
      </c>
      <c r="M177" s="3" t="s">
        <v>745</v>
      </c>
      <c r="O177" s="3" t="s">
        <v>64</v>
      </c>
      <c r="P177" s="3" t="s">
        <v>113</v>
      </c>
      <c r="Q177" s="2" t="s">
        <v>2100</v>
      </c>
      <c r="R177" s="3" t="s">
        <v>1907</v>
      </c>
      <c r="S177" s="4">
        <v>2</v>
      </c>
      <c r="T177" s="4">
        <v>2</v>
      </c>
      <c r="U177" s="5" t="s">
        <v>2101</v>
      </c>
      <c r="V177" s="5" t="s">
        <v>2101</v>
      </c>
      <c r="W177" s="5" t="s">
        <v>2102</v>
      </c>
      <c r="X177" s="5" t="s">
        <v>2102</v>
      </c>
      <c r="Y177" s="4">
        <v>389</v>
      </c>
      <c r="Z177" s="4">
        <v>298</v>
      </c>
      <c r="AA177" s="4">
        <v>307</v>
      </c>
      <c r="AB177" s="4">
        <v>1</v>
      </c>
      <c r="AC177" s="4">
        <v>1</v>
      </c>
      <c r="AD177" s="4">
        <v>11</v>
      </c>
      <c r="AE177" s="4">
        <v>11</v>
      </c>
      <c r="AF177" s="4">
        <v>4</v>
      </c>
      <c r="AG177" s="4">
        <v>4</v>
      </c>
      <c r="AH177" s="4">
        <v>3</v>
      </c>
      <c r="AI177" s="4">
        <v>3</v>
      </c>
      <c r="AJ177" s="4">
        <v>7</v>
      </c>
      <c r="AK177" s="4">
        <v>7</v>
      </c>
      <c r="AL177" s="4">
        <v>0</v>
      </c>
      <c r="AM177" s="4">
        <v>0</v>
      </c>
      <c r="AN177" s="4">
        <v>0</v>
      </c>
      <c r="AO177" s="4">
        <v>0</v>
      </c>
      <c r="AP177" s="3" t="s">
        <v>58</v>
      </c>
      <c r="AQ177" s="3" t="s">
        <v>69</v>
      </c>
      <c r="AR177" s="6" t="str">
        <f>HYPERLINK("http://catalog.hathitrust.org/Record/000017643","HathiTrust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HYPERLINK("https://creighton-primo.hosted.exlibrisgroup.com/primo-explore/search?tab=default_tab&amp;search_scope=EVERYTHING&amp;vid=01CRU&amp;lang=en_US&amp;offset=0&amp;query=any,contains,991000993199702656","Catalog Record")</f>
        <v>Catalog Record</v>
      </c>
      <c r="AT177" s="6" t="str">
        <f>HYPERLINK("http://www.worldcat.org/oclc/1202926","WorldCat Record")</f>
        <v>WorldCat Record</v>
      </c>
    </row>
    <row r="178" spans="1:46" ht="40.5" customHeight="1" x14ac:dyDescent="0.25">
      <c r="A178" s="8" t="s">
        <v>58</v>
      </c>
      <c r="B178" s="2" t="s">
        <v>2103</v>
      </c>
      <c r="C178" s="2" t="s">
        <v>2104</v>
      </c>
      <c r="D178" s="2" t="s">
        <v>2105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K178" s="2" t="s">
        <v>2106</v>
      </c>
      <c r="L178" s="2" t="s">
        <v>2107</v>
      </c>
      <c r="M178" s="3" t="s">
        <v>2108</v>
      </c>
      <c r="O178" s="3" t="s">
        <v>64</v>
      </c>
      <c r="P178" s="3" t="s">
        <v>83</v>
      </c>
      <c r="R178" s="3" t="s">
        <v>1907</v>
      </c>
      <c r="S178" s="4">
        <v>3</v>
      </c>
      <c r="T178" s="4">
        <v>3</v>
      </c>
      <c r="U178" s="5" t="s">
        <v>2109</v>
      </c>
      <c r="V178" s="5" t="s">
        <v>2109</v>
      </c>
      <c r="W178" s="5" t="s">
        <v>1923</v>
      </c>
      <c r="X178" s="5" t="s">
        <v>1923</v>
      </c>
      <c r="Y178" s="4">
        <v>44</v>
      </c>
      <c r="Z178" s="4">
        <v>44</v>
      </c>
      <c r="AA178" s="4">
        <v>77</v>
      </c>
      <c r="AB178" s="4">
        <v>2</v>
      </c>
      <c r="AC178" s="4">
        <v>3</v>
      </c>
      <c r="AD178" s="4">
        <v>1</v>
      </c>
      <c r="AE178" s="4">
        <v>3</v>
      </c>
      <c r="AF178" s="4">
        <v>0</v>
      </c>
      <c r="AG178" s="4">
        <v>0</v>
      </c>
      <c r="AH178" s="4">
        <v>0</v>
      </c>
      <c r="AI178" s="4">
        <v>1</v>
      </c>
      <c r="AJ178" s="4">
        <v>0</v>
      </c>
      <c r="AK178" s="4">
        <v>0</v>
      </c>
      <c r="AL178" s="4">
        <v>1</v>
      </c>
      <c r="AM178" s="4">
        <v>2</v>
      </c>
      <c r="AN178" s="4">
        <v>0</v>
      </c>
      <c r="AO178" s="4">
        <v>0</v>
      </c>
      <c r="AP178" s="3" t="s">
        <v>69</v>
      </c>
      <c r="AQ178" s="3" t="s">
        <v>58</v>
      </c>
      <c r="AR178" s="6" t="str">
        <f>HYPERLINK("http://catalog.hathitrust.org/Record/006496915","HathiTrust Record")</f>
        <v>HathiTrust Record</v>
      </c>
      <c r="AS178" s="6" t="str">
        <f>HYPERLINK("https://creighton-primo.hosted.exlibrisgroup.com/primo-explore/search?tab=default_tab&amp;search_scope=EVERYTHING&amp;vid=01CRU&amp;lang=en_US&amp;offset=0&amp;query=any,contains,991000993159702656","Catalog Record")</f>
        <v>Catalog Record</v>
      </c>
      <c r="AT178" s="6" t="str">
        <f>HYPERLINK("http://www.worldcat.org/oclc/3169884","WorldCat Record")</f>
        <v>WorldCat Record</v>
      </c>
    </row>
    <row r="179" spans="1:46" ht="40.5" customHeight="1" x14ac:dyDescent="0.25">
      <c r="A179" s="8" t="s">
        <v>58</v>
      </c>
      <c r="B179" s="2" t="s">
        <v>2110</v>
      </c>
      <c r="C179" s="2" t="s">
        <v>2111</v>
      </c>
      <c r="D179" s="2" t="s">
        <v>2112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K179" s="2" t="s">
        <v>2106</v>
      </c>
      <c r="L179" s="2" t="s">
        <v>2113</v>
      </c>
      <c r="M179" s="3" t="s">
        <v>2114</v>
      </c>
      <c r="N179" s="2" t="s">
        <v>2115</v>
      </c>
      <c r="O179" s="3" t="s">
        <v>64</v>
      </c>
      <c r="P179" s="3" t="s">
        <v>97</v>
      </c>
      <c r="R179" s="3" t="s">
        <v>1907</v>
      </c>
      <c r="S179" s="4">
        <v>3</v>
      </c>
      <c r="T179" s="4">
        <v>3</v>
      </c>
      <c r="U179" s="5" t="s">
        <v>2109</v>
      </c>
      <c r="V179" s="5" t="s">
        <v>2109</v>
      </c>
      <c r="W179" s="5" t="s">
        <v>1923</v>
      </c>
      <c r="X179" s="5" t="s">
        <v>1923</v>
      </c>
      <c r="Y179" s="4">
        <v>62</v>
      </c>
      <c r="Z179" s="4">
        <v>58</v>
      </c>
      <c r="AA179" s="4">
        <v>219</v>
      </c>
      <c r="AB179" s="4">
        <v>1</v>
      </c>
      <c r="AC179" s="4">
        <v>4</v>
      </c>
      <c r="AD179" s="4">
        <v>0</v>
      </c>
      <c r="AE179" s="4">
        <v>7</v>
      </c>
      <c r="AF179" s="4">
        <v>0</v>
      </c>
      <c r="AG179" s="4">
        <v>1</v>
      </c>
      <c r="AH179" s="4">
        <v>0</v>
      </c>
      <c r="AI179" s="4">
        <v>3</v>
      </c>
      <c r="AJ179" s="4">
        <v>0</v>
      </c>
      <c r="AK179" s="4">
        <v>0</v>
      </c>
      <c r="AL179" s="4">
        <v>0</v>
      </c>
      <c r="AM179" s="4">
        <v>3</v>
      </c>
      <c r="AN179" s="4">
        <v>0</v>
      </c>
      <c r="AO179" s="4">
        <v>0</v>
      </c>
      <c r="AP179" s="3" t="s">
        <v>58</v>
      </c>
      <c r="AQ179" s="3" t="s">
        <v>69</v>
      </c>
      <c r="AR179" s="6" t="str">
        <f>HYPERLINK("http://catalog.hathitrust.org/Record/001582873","HathiTrust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HYPERLINK("https://creighton-primo.hosted.exlibrisgroup.com/primo-explore/search?tab=default_tab&amp;search_scope=EVERYTHING&amp;vid=01CRU&amp;lang=en_US&amp;offset=0&amp;query=any,contains,991000993049702656","Catalog Record")</f>
        <v>Catalog Record</v>
      </c>
      <c r="AT179" s="6" t="str">
        <f>HYPERLINK("http://www.worldcat.org/oclc/2881789","WorldCat Record")</f>
        <v>WorldCat Record</v>
      </c>
    </row>
    <row r="180" spans="1:46" ht="40.5" customHeight="1" x14ac:dyDescent="0.25">
      <c r="A180" s="8" t="s">
        <v>58</v>
      </c>
      <c r="B180" s="2" t="s">
        <v>2116</v>
      </c>
      <c r="C180" s="2" t="s">
        <v>2117</v>
      </c>
      <c r="D180" s="2" t="s">
        <v>2118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K180" s="2" t="s">
        <v>2119</v>
      </c>
      <c r="L180" s="2" t="s">
        <v>2120</v>
      </c>
      <c r="M180" s="3" t="s">
        <v>950</v>
      </c>
      <c r="O180" s="3" t="s">
        <v>64</v>
      </c>
      <c r="P180" s="3" t="s">
        <v>83</v>
      </c>
      <c r="R180" s="3" t="s">
        <v>1907</v>
      </c>
      <c r="S180" s="4">
        <v>4</v>
      </c>
      <c r="T180" s="4">
        <v>4</v>
      </c>
      <c r="U180" s="5" t="s">
        <v>2121</v>
      </c>
      <c r="V180" s="5" t="s">
        <v>2121</v>
      </c>
      <c r="W180" s="5" t="s">
        <v>2102</v>
      </c>
      <c r="X180" s="5" t="s">
        <v>2102</v>
      </c>
      <c r="Y180" s="4">
        <v>271</v>
      </c>
      <c r="Z180" s="4">
        <v>203</v>
      </c>
      <c r="AA180" s="4">
        <v>203</v>
      </c>
      <c r="AB180" s="4">
        <v>3</v>
      </c>
      <c r="AC180" s="4">
        <v>3</v>
      </c>
      <c r="AD180" s="4">
        <v>7</v>
      </c>
      <c r="AE180" s="4">
        <v>7</v>
      </c>
      <c r="AF180" s="4">
        <v>3</v>
      </c>
      <c r="AG180" s="4">
        <v>3</v>
      </c>
      <c r="AH180" s="4">
        <v>2</v>
      </c>
      <c r="AI180" s="4">
        <v>2</v>
      </c>
      <c r="AJ180" s="4">
        <v>3</v>
      </c>
      <c r="AK180" s="4">
        <v>3</v>
      </c>
      <c r="AL180" s="4">
        <v>2</v>
      </c>
      <c r="AM180" s="4">
        <v>2</v>
      </c>
      <c r="AN180" s="4">
        <v>0</v>
      </c>
      <c r="AO180" s="4">
        <v>0</v>
      </c>
      <c r="AP180" s="3" t="s">
        <v>58</v>
      </c>
      <c r="AQ180" s="3" t="s">
        <v>69</v>
      </c>
      <c r="AR180" s="6" t="str">
        <f>HYPERLINK("http://catalog.hathitrust.org/Record/001556116","HathiTrust Record")</f>
        <v>HathiTrust Record</v>
      </c>
      <c r="AS180" s="6" t="str">
        <f>HYPERLINK("https://creighton-primo.hosted.exlibrisgroup.com/primo-explore/search?tab=default_tab&amp;search_scope=EVERYTHING&amp;vid=01CRU&amp;lang=en_US&amp;offset=0&amp;query=any,contains,991000993009702656","Catalog Record")</f>
        <v>Catalog Record</v>
      </c>
      <c r="AT180" s="6" t="str">
        <f>HYPERLINK("http://www.worldcat.org/oclc/113120","WorldCat Record")</f>
        <v>WorldCat Record</v>
      </c>
    </row>
    <row r="181" spans="1:46" ht="40.5" customHeight="1" x14ac:dyDescent="0.25">
      <c r="A181" s="8" t="s">
        <v>58</v>
      </c>
      <c r="B181" s="2" t="s">
        <v>2122</v>
      </c>
      <c r="C181" s="2" t="s">
        <v>2123</v>
      </c>
      <c r="D181" s="2" t="s">
        <v>2124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K181" s="2" t="s">
        <v>2125</v>
      </c>
      <c r="L181" s="2" t="s">
        <v>2126</v>
      </c>
      <c r="M181" s="3" t="s">
        <v>215</v>
      </c>
      <c r="O181" s="3" t="s">
        <v>64</v>
      </c>
      <c r="P181" s="3" t="s">
        <v>400</v>
      </c>
      <c r="R181" s="3" t="s">
        <v>1907</v>
      </c>
      <c r="S181" s="4">
        <v>10</v>
      </c>
      <c r="T181" s="4">
        <v>10</v>
      </c>
      <c r="U181" s="5" t="s">
        <v>2127</v>
      </c>
      <c r="V181" s="5" t="s">
        <v>2127</v>
      </c>
      <c r="W181" s="5" t="s">
        <v>2128</v>
      </c>
      <c r="X181" s="5" t="s">
        <v>2128</v>
      </c>
      <c r="Y181" s="4">
        <v>243</v>
      </c>
      <c r="Z181" s="4">
        <v>128</v>
      </c>
      <c r="AA181" s="4">
        <v>142</v>
      </c>
      <c r="AB181" s="4">
        <v>1</v>
      </c>
      <c r="AC181" s="4">
        <v>1</v>
      </c>
      <c r="AD181" s="4">
        <v>2</v>
      </c>
      <c r="AE181" s="4">
        <v>2</v>
      </c>
      <c r="AF181" s="4">
        <v>0</v>
      </c>
      <c r="AG181" s="4">
        <v>0</v>
      </c>
      <c r="AH181" s="4">
        <v>2</v>
      </c>
      <c r="AI181" s="4">
        <v>2</v>
      </c>
      <c r="AJ181" s="4">
        <v>2</v>
      </c>
      <c r="AK181" s="4">
        <v>2</v>
      </c>
      <c r="AL181" s="4">
        <v>0</v>
      </c>
      <c r="AM181" s="4">
        <v>0</v>
      </c>
      <c r="AN181" s="4">
        <v>0</v>
      </c>
      <c r="AO181" s="4">
        <v>0</v>
      </c>
      <c r="AP181" s="3" t="s">
        <v>58</v>
      </c>
      <c r="AQ181" s="3" t="s">
        <v>69</v>
      </c>
      <c r="AR181" s="6" t="str">
        <f>HYPERLINK("http://catalog.hathitrust.org/Record/008992567","HathiTrust Record")</f>
        <v>HathiTrust Record</v>
      </c>
      <c r="AS181" s="6" t="str">
        <f>HYPERLINK("https://creighton-primo.hosted.exlibrisgroup.com/primo-explore/search?tab=default_tab&amp;search_scope=EVERYTHING&amp;vid=01CRU&amp;lang=en_US&amp;offset=0&amp;query=any,contains,991000293309702656","Catalog Record")</f>
        <v>Catalog Record</v>
      </c>
      <c r="AT181" s="6" t="str">
        <f>HYPERLINK("http://www.worldcat.org/oclc/45661776","WorldCat Record")</f>
        <v>WorldCat Record</v>
      </c>
    </row>
    <row r="182" spans="1:46" ht="40.5" customHeight="1" x14ac:dyDescent="0.25">
      <c r="A182" s="8" t="s">
        <v>58</v>
      </c>
      <c r="B182" s="2" t="s">
        <v>2129</v>
      </c>
      <c r="C182" s="2" t="s">
        <v>2130</v>
      </c>
      <c r="D182" s="2" t="s">
        <v>1353</v>
      </c>
      <c r="F182" s="3" t="s">
        <v>58</v>
      </c>
      <c r="G182" s="3" t="s">
        <v>59</v>
      </c>
      <c r="H182" s="3" t="s">
        <v>58</v>
      </c>
      <c r="I182" s="3" t="s">
        <v>69</v>
      </c>
      <c r="J182" s="3" t="s">
        <v>60</v>
      </c>
      <c r="K182" s="2" t="s">
        <v>1354</v>
      </c>
      <c r="L182" s="2" t="s">
        <v>2131</v>
      </c>
      <c r="M182" s="3" t="s">
        <v>1121</v>
      </c>
      <c r="N182" s="2" t="s">
        <v>1302</v>
      </c>
      <c r="O182" s="3" t="s">
        <v>64</v>
      </c>
      <c r="P182" s="3" t="s">
        <v>939</v>
      </c>
      <c r="R182" s="3" t="s">
        <v>1907</v>
      </c>
      <c r="S182" s="4">
        <v>7</v>
      </c>
      <c r="T182" s="4">
        <v>7</v>
      </c>
      <c r="U182" s="5" t="s">
        <v>2132</v>
      </c>
      <c r="V182" s="5" t="s">
        <v>2132</v>
      </c>
      <c r="W182" s="5" t="s">
        <v>1923</v>
      </c>
      <c r="X182" s="5" t="s">
        <v>1923</v>
      </c>
      <c r="Y182" s="4">
        <v>290</v>
      </c>
      <c r="Z182" s="4">
        <v>241</v>
      </c>
      <c r="AA182" s="4">
        <v>584</v>
      </c>
      <c r="AB182" s="4">
        <v>1</v>
      </c>
      <c r="AC182" s="4">
        <v>3</v>
      </c>
      <c r="AD182" s="4">
        <v>6</v>
      </c>
      <c r="AE182" s="4">
        <v>22</v>
      </c>
      <c r="AF182" s="4">
        <v>3</v>
      </c>
      <c r="AG182" s="4">
        <v>10</v>
      </c>
      <c r="AH182" s="4">
        <v>2</v>
      </c>
      <c r="AI182" s="4">
        <v>5</v>
      </c>
      <c r="AJ182" s="4">
        <v>4</v>
      </c>
      <c r="AK182" s="4">
        <v>13</v>
      </c>
      <c r="AL182" s="4">
        <v>0</v>
      </c>
      <c r="AM182" s="4">
        <v>1</v>
      </c>
      <c r="AN182" s="4">
        <v>0</v>
      </c>
      <c r="AO182" s="4">
        <v>0</v>
      </c>
      <c r="AP182" s="3" t="s">
        <v>58</v>
      </c>
      <c r="AQ182" s="3" t="s">
        <v>69</v>
      </c>
      <c r="AR182" s="6" t="str">
        <f>HYPERLINK("http://catalog.hathitrust.org/Record/000725712","HathiTrust Record")</f>
        <v>HathiTrust Record</v>
      </c>
      <c r="AS182" s="6" t="str">
        <f>HYPERLINK("https://creighton-primo.hosted.exlibrisgroup.com/primo-explore/search?tab=default_tab&amp;search_scope=EVERYTHING&amp;vid=01CRU&amp;lang=en_US&amp;offset=0&amp;query=any,contains,991000992939702656","Catalog Record")</f>
        <v>Catalog Record</v>
      </c>
      <c r="AT182" s="6" t="str">
        <f>HYPERLINK("http://www.worldcat.org/oclc/5893606","WorldCat Record")</f>
        <v>WorldCat Record</v>
      </c>
    </row>
    <row r="183" spans="1:46" ht="40.5" customHeight="1" x14ac:dyDescent="0.25">
      <c r="A183" s="8" t="s">
        <v>58</v>
      </c>
      <c r="B183" s="2" t="s">
        <v>2133</v>
      </c>
      <c r="C183" s="2" t="s">
        <v>2134</v>
      </c>
      <c r="D183" s="2" t="s">
        <v>2135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K183" s="2" t="s">
        <v>1354</v>
      </c>
      <c r="L183" s="2" t="s">
        <v>2136</v>
      </c>
      <c r="M183" s="3" t="s">
        <v>155</v>
      </c>
      <c r="N183" s="2" t="s">
        <v>2137</v>
      </c>
      <c r="O183" s="3" t="s">
        <v>64</v>
      </c>
      <c r="P183" s="3" t="s">
        <v>1358</v>
      </c>
      <c r="R183" s="3" t="s">
        <v>1907</v>
      </c>
      <c r="S183" s="4">
        <v>2</v>
      </c>
      <c r="T183" s="4">
        <v>2</v>
      </c>
      <c r="U183" s="5" t="s">
        <v>2138</v>
      </c>
      <c r="V183" s="5" t="s">
        <v>2138</v>
      </c>
      <c r="W183" s="5" t="s">
        <v>1923</v>
      </c>
      <c r="X183" s="5" t="s">
        <v>1923</v>
      </c>
      <c r="Y183" s="4">
        <v>168</v>
      </c>
      <c r="Z183" s="4">
        <v>126</v>
      </c>
      <c r="AA183" s="4">
        <v>591</v>
      </c>
      <c r="AB183" s="4">
        <v>1</v>
      </c>
      <c r="AC183" s="4">
        <v>3</v>
      </c>
      <c r="AD183" s="4">
        <v>1</v>
      </c>
      <c r="AE183" s="4">
        <v>18</v>
      </c>
      <c r="AF183" s="4">
        <v>1</v>
      </c>
      <c r="AG183" s="4">
        <v>7</v>
      </c>
      <c r="AH183" s="4">
        <v>0</v>
      </c>
      <c r="AI183" s="4">
        <v>5</v>
      </c>
      <c r="AJ183" s="4">
        <v>0</v>
      </c>
      <c r="AK183" s="4">
        <v>7</v>
      </c>
      <c r="AL183" s="4">
        <v>0</v>
      </c>
      <c r="AM183" s="4">
        <v>2</v>
      </c>
      <c r="AN183" s="4">
        <v>0</v>
      </c>
      <c r="AO183" s="4">
        <v>0</v>
      </c>
      <c r="AP183" s="3" t="s">
        <v>58</v>
      </c>
      <c r="AQ183" s="3" t="s">
        <v>69</v>
      </c>
      <c r="AR183" s="6" t="str">
        <f>HYPERLINK("http://catalog.hathitrust.org/Record/001556178","HathiTrust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HYPERLINK("https://creighton-primo.hosted.exlibrisgroup.com/primo-explore/search?tab=default_tab&amp;search_scope=EVERYTHING&amp;vid=01CRU&amp;lang=en_US&amp;offset=0&amp;query=any,contains,991000992859702656","Catalog Record")</f>
        <v>Catalog Record</v>
      </c>
      <c r="AT183" s="6" t="str">
        <f>HYPERLINK("http://www.worldcat.org/oclc/548228","WorldCat Record")</f>
        <v>WorldCat Record</v>
      </c>
    </row>
    <row r="184" spans="1:46" ht="40.5" customHeight="1" x14ac:dyDescent="0.25">
      <c r="A184" s="8" t="s">
        <v>58</v>
      </c>
      <c r="B184" s="2" t="s">
        <v>2139</v>
      </c>
      <c r="C184" s="2" t="s">
        <v>2140</v>
      </c>
      <c r="D184" s="2" t="s">
        <v>2141</v>
      </c>
      <c r="E184" s="3" t="s">
        <v>1956</v>
      </c>
      <c r="F184" s="3" t="s">
        <v>69</v>
      </c>
      <c r="G184" s="3" t="s">
        <v>59</v>
      </c>
      <c r="H184" s="3" t="s">
        <v>58</v>
      </c>
      <c r="I184" s="3" t="s">
        <v>58</v>
      </c>
      <c r="J184" s="3" t="s">
        <v>60</v>
      </c>
      <c r="K184" s="2" t="s">
        <v>2142</v>
      </c>
      <c r="L184" s="2" t="s">
        <v>2143</v>
      </c>
      <c r="M184" s="3" t="s">
        <v>171</v>
      </c>
      <c r="N184" s="2" t="s">
        <v>2144</v>
      </c>
      <c r="O184" s="3" t="s">
        <v>64</v>
      </c>
      <c r="P184" s="3" t="s">
        <v>113</v>
      </c>
      <c r="R184" s="3" t="s">
        <v>1907</v>
      </c>
      <c r="S184" s="4">
        <v>3</v>
      </c>
      <c r="T184" s="4">
        <v>19</v>
      </c>
      <c r="U184" s="5" t="s">
        <v>2145</v>
      </c>
      <c r="V184" s="5" t="s">
        <v>1967</v>
      </c>
      <c r="W184" s="5" t="s">
        <v>2146</v>
      </c>
      <c r="X184" s="5" t="s">
        <v>2146</v>
      </c>
      <c r="Y184" s="4">
        <v>224</v>
      </c>
      <c r="Z184" s="4">
        <v>149</v>
      </c>
      <c r="AA184" s="4">
        <v>158</v>
      </c>
      <c r="AB184" s="4">
        <v>1</v>
      </c>
      <c r="AC184" s="4">
        <v>1</v>
      </c>
      <c r="AD184" s="4">
        <v>2</v>
      </c>
      <c r="AE184" s="4">
        <v>2</v>
      </c>
      <c r="AF184" s="4">
        <v>2</v>
      </c>
      <c r="AG184" s="4">
        <v>2</v>
      </c>
      <c r="AH184" s="4">
        <v>0</v>
      </c>
      <c r="AI184" s="4">
        <v>0</v>
      </c>
      <c r="AJ184" s="4">
        <v>1</v>
      </c>
      <c r="AK184" s="4">
        <v>1</v>
      </c>
      <c r="AL184" s="4">
        <v>0</v>
      </c>
      <c r="AM184" s="4">
        <v>0</v>
      </c>
      <c r="AN184" s="4">
        <v>0</v>
      </c>
      <c r="AO184" s="4">
        <v>0</v>
      </c>
      <c r="AP184" s="3" t="s">
        <v>58</v>
      </c>
      <c r="AQ184" s="3" t="s">
        <v>58</v>
      </c>
      <c r="AS184" s="6" t="str">
        <f>HYPERLINK("https://creighton-primo.hosted.exlibrisgroup.com/primo-explore/search?tab=default_tab&amp;search_scope=EVERYTHING&amp;vid=01CRU&amp;lang=en_US&amp;offset=0&amp;query=any,contains,991000824749702656","Catalog Record")</f>
        <v>Catalog Record</v>
      </c>
      <c r="AT184" s="6" t="str">
        <f>HYPERLINK("http://www.worldcat.org/oclc/38290809","WorldCat Record")</f>
        <v>WorldCat Record</v>
      </c>
    </row>
    <row r="185" spans="1:46" ht="40.5" customHeight="1" x14ac:dyDescent="0.25">
      <c r="A185" s="8" t="s">
        <v>58</v>
      </c>
      <c r="B185" s="2" t="s">
        <v>2139</v>
      </c>
      <c r="C185" s="2" t="s">
        <v>2140</v>
      </c>
      <c r="D185" s="2" t="s">
        <v>2141</v>
      </c>
      <c r="E185" s="3" t="s">
        <v>2147</v>
      </c>
      <c r="F185" s="3" t="s">
        <v>69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2142</v>
      </c>
      <c r="L185" s="2" t="s">
        <v>2143</v>
      </c>
      <c r="M185" s="3" t="s">
        <v>171</v>
      </c>
      <c r="N185" s="2" t="s">
        <v>2144</v>
      </c>
      <c r="O185" s="3" t="s">
        <v>64</v>
      </c>
      <c r="P185" s="3" t="s">
        <v>113</v>
      </c>
      <c r="R185" s="3" t="s">
        <v>1907</v>
      </c>
      <c r="S185" s="4">
        <v>1</v>
      </c>
      <c r="T185" s="4">
        <v>19</v>
      </c>
      <c r="V185" s="5" t="s">
        <v>1967</v>
      </c>
      <c r="W185" s="5" t="s">
        <v>2146</v>
      </c>
      <c r="X185" s="5" t="s">
        <v>2146</v>
      </c>
      <c r="Y185" s="4">
        <v>224</v>
      </c>
      <c r="Z185" s="4">
        <v>149</v>
      </c>
      <c r="AA185" s="4">
        <v>158</v>
      </c>
      <c r="AB185" s="4">
        <v>1</v>
      </c>
      <c r="AC185" s="4">
        <v>1</v>
      </c>
      <c r="AD185" s="4">
        <v>2</v>
      </c>
      <c r="AE185" s="4">
        <v>2</v>
      </c>
      <c r="AF185" s="4">
        <v>2</v>
      </c>
      <c r="AG185" s="4">
        <v>2</v>
      </c>
      <c r="AH185" s="4">
        <v>0</v>
      </c>
      <c r="AI185" s="4">
        <v>0</v>
      </c>
      <c r="AJ185" s="4">
        <v>1</v>
      </c>
      <c r="AK185" s="4">
        <v>1</v>
      </c>
      <c r="AL185" s="4">
        <v>0</v>
      </c>
      <c r="AM185" s="4">
        <v>0</v>
      </c>
      <c r="AN185" s="4">
        <v>0</v>
      </c>
      <c r="AO185" s="4">
        <v>0</v>
      </c>
      <c r="AP185" s="3" t="s">
        <v>58</v>
      </c>
      <c r="AQ185" s="3" t="s">
        <v>58</v>
      </c>
      <c r="AS185" s="6" t="str">
        <f>HYPERLINK("https://creighton-primo.hosted.exlibrisgroup.com/primo-explore/search?tab=default_tab&amp;search_scope=EVERYTHING&amp;vid=01CRU&amp;lang=en_US&amp;offset=0&amp;query=any,contains,991000824749702656","Catalog Record")</f>
        <v>Catalog Record</v>
      </c>
      <c r="AT185" s="6" t="str">
        <f>HYPERLINK("http://www.worldcat.org/oclc/38290809","WorldCat Record")</f>
        <v>WorldCat Record</v>
      </c>
    </row>
    <row r="186" spans="1:46" ht="40.5" customHeight="1" x14ac:dyDescent="0.25">
      <c r="A186" s="8" t="s">
        <v>58</v>
      </c>
      <c r="B186" s="2" t="s">
        <v>2139</v>
      </c>
      <c r="C186" s="2" t="s">
        <v>2140</v>
      </c>
      <c r="D186" s="2" t="s">
        <v>2141</v>
      </c>
      <c r="E186" s="3" t="s">
        <v>1960</v>
      </c>
      <c r="F186" s="3" t="s">
        <v>69</v>
      </c>
      <c r="G186" s="3" t="s">
        <v>59</v>
      </c>
      <c r="H186" s="3" t="s">
        <v>58</v>
      </c>
      <c r="I186" s="3" t="s">
        <v>58</v>
      </c>
      <c r="J186" s="3" t="s">
        <v>60</v>
      </c>
      <c r="K186" s="2" t="s">
        <v>2142</v>
      </c>
      <c r="L186" s="2" t="s">
        <v>2143</v>
      </c>
      <c r="M186" s="3" t="s">
        <v>171</v>
      </c>
      <c r="N186" s="2" t="s">
        <v>2144</v>
      </c>
      <c r="O186" s="3" t="s">
        <v>64</v>
      </c>
      <c r="P186" s="3" t="s">
        <v>113</v>
      </c>
      <c r="R186" s="3" t="s">
        <v>1907</v>
      </c>
      <c r="S186" s="4">
        <v>0</v>
      </c>
      <c r="T186" s="4">
        <v>19</v>
      </c>
      <c r="V186" s="5" t="s">
        <v>1967</v>
      </c>
      <c r="W186" s="5" t="s">
        <v>2146</v>
      </c>
      <c r="X186" s="5" t="s">
        <v>2146</v>
      </c>
      <c r="Y186" s="4">
        <v>224</v>
      </c>
      <c r="Z186" s="4">
        <v>149</v>
      </c>
      <c r="AA186" s="4">
        <v>158</v>
      </c>
      <c r="AB186" s="4">
        <v>1</v>
      </c>
      <c r="AC186" s="4">
        <v>1</v>
      </c>
      <c r="AD186" s="4">
        <v>2</v>
      </c>
      <c r="AE186" s="4">
        <v>2</v>
      </c>
      <c r="AF186" s="4">
        <v>2</v>
      </c>
      <c r="AG186" s="4">
        <v>2</v>
      </c>
      <c r="AH186" s="4">
        <v>0</v>
      </c>
      <c r="AI186" s="4">
        <v>0</v>
      </c>
      <c r="AJ186" s="4">
        <v>1</v>
      </c>
      <c r="AK186" s="4">
        <v>1</v>
      </c>
      <c r="AL186" s="4">
        <v>0</v>
      </c>
      <c r="AM186" s="4">
        <v>0</v>
      </c>
      <c r="AN186" s="4">
        <v>0</v>
      </c>
      <c r="AO186" s="4">
        <v>0</v>
      </c>
      <c r="AP186" s="3" t="s">
        <v>58</v>
      </c>
      <c r="AQ186" s="3" t="s">
        <v>58</v>
      </c>
      <c r="AS186" s="6" t="str">
        <f>HYPERLINK("https://creighton-primo.hosted.exlibrisgroup.com/primo-explore/search?tab=default_tab&amp;search_scope=EVERYTHING&amp;vid=01CRU&amp;lang=en_US&amp;offset=0&amp;query=any,contains,991000824749702656","Catalog Record")</f>
        <v>Catalog Record</v>
      </c>
      <c r="AT186" s="6" t="str">
        <f>HYPERLINK("http://www.worldcat.org/oclc/38290809","WorldCat Record")</f>
        <v>WorldCat Record</v>
      </c>
    </row>
    <row r="187" spans="1:46" ht="40.5" customHeight="1" x14ac:dyDescent="0.25">
      <c r="A187" s="8" t="s">
        <v>58</v>
      </c>
      <c r="B187" s="2" t="s">
        <v>2139</v>
      </c>
      <c r="C187" s="2" t="s">
        <v>2140</v>
      </c>
      <c r="D187" s="2" t="s">
        <v>2141</v>
      </c>
      <c r="E187" s="3" t="s">
        <v>2148</v>
      </c>
      <c r="F187" s="3" t="s">
        <v>69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2142</v>
      </c>
      <c r="L187" s="2" t="s">
        <v>2143</v>
      </c>
      <c r="M187" s="3" t="s">
        <v>171</v>
      </c>
      <c r="N187" s="2" t="s">
        <v>2144</v>
      </c>
      <c r="O187" s="3" t="s">
        <v>64</v>
      </c>
      <c r="P187" s="3" t="s">
        <v>113</v>
      </c>
      <c r="R187" s="3" t="s">
        <v>1907</v>
      </c>
      <c r="S187" s="4">
        <v>1</v>
      </c>
      <c r="T187" s="4">
        <v>19</v>
      </c>
      <c r="U187" s="5" t="s">
        <v>2149</v>
      </c>
      <c r="V187" s="5" t="s">
        <v>1967</v>
      </c>
      <c r="W187" s="5" t="s">
        <v>2146</v>
      </c>
      <c r="X187" s="5" t="s">
        <v>2146</v>
      </c>
      <c r="Y187" s="4">
        <v>224</v>
      </c>
      <c r="Z187" s="4">
        <v>149</v>
      </c>
      <c r="AA187" s="4">
        <v>158</v>
      </c>
      <c r="AB187" s="4">
        <v>1</v>
      </c>
      <c r="AC187" s="4">
        <v>1</v>
      </c>
      <c r="AD187" s="4">
        <v>2</v>
      </c>
      <c r="AE187" s="4">
        <v>2</v>
      </c>
      <c r="AF187" s="4">
        <v>2</v>
      </c>
      <c r="AG187" s="4">
        <v>2</v>
      </c>
      <c r="AH187" s="4">
        <v>0</v>
      </c>
      <c r="AI187" s="4">
        <v>0</v>
      </c>
      <c r="AJ187" s="4">
        <v>1</v>
      </c>
      <c r="AK187" s="4">
        <v>1</v>
      </c>
      <c r="AL187" s="4">
        <v>0</v>
      </c>
      <c r="AM187" s="4">
        <v>0</v>
      </c>
      <c r="AN187" s="4">
        <v>0</v>
      </c>
      <c r="AO187" s="4">
        <v>0</v>
      </c>
      <c r="AP187" s="3" t="s">
        <v>58</v>
      </c>
      <c r="AQ187" s="3" t="s">
        <v>58</v>
      </c>
      <c r="AS187" s="6" t="str">
        <f>HYPERLINK("https://creighton-primo.hosted.exlibrisgroup.com/primo-explore/search?tab=default_tab&amp;search_scope=EVERYTHING&amp;vid=01CRU&amp;lang=en_US&amp;offset=0&amp;query=any,contains,991000824749702656","Catalog Record")</f>
        <v>Catalog Record</v>
      </c>
      <c r="AT187" s="6" t="str">
        <f>HYPERLINK("http://www.worldcat.org/oclc/38290809","WorldCat Record")</f>
        <v>WorldCat Record</v>
      </c>
    </row>
    <row r="188" spans="1:46" ht="40.5" customHeight="1" x14ac:dyDescent="0.25">
      <c r="A188" s="8" t="s">
        <v>58</v>
      </c>
      <c r="B188" s="2" t="s">
        <v>2139</v>
      </c>
      <c r="C188" s="2" t="s">
        <v>2140</v>
      </c>
      <c r="D188" s="2" t="s">
        <v>2141</v>
      </c>
      <c r="E188" s="3" t="s">
        <v>1947</v>
      </c>
      <c r="F188" s="3" t="s">
        <v>69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2142</v>
      </c>
      <c r="L188" s="2" t="s">
        <v>2143</v>
      </c>
      <c r="M188" s="3" t="s">
        <v>171</v>
      </c>
      <c r="N188" s="2" t="s">
        <v>2144</v>
      </c>
      <c r="O188" s="3" t="s">
        <v>64</v>
      </c>
      <c r="P188" s="3" t="s">
        <v>113</v>
      </c>
      <c r="R188" s="3" t="s">
        <v>1907</v>
      </c>
      <c r="S188" s="4">
        <v>14</v>
      </c>
      <c r="T188" s="4">
        <v>19</v>
      </c>
      <c r="U188" s="5" t="s">
        <v>1967</v>
      </c>
      <c r="V188" s="5" t="s">
        <v>1967</v>
      </c>
      <c r="W188" s="5" t="s">
        <v>2146</v>
      </c>
      <c r="X188" s="5" t="s">
        <v>2146</v>
      </c>
      <c r="Y188" s="4">
        <v>224</v>
      </c>
      <c r="Z188" s="4">
        <v>149</v>
      </c>
      <c r="AA188" s="4">
        <v>158</v>
      </c>
      <c r="AB188" s="4">
        <v>1</v>
      </c>
      <c r="AC188" s="4">
        <v>1</v>
      </c>
      <c r="AD188" s="4">
        <v>2</v>
      </c>
      <c r="AE188" s="4">
        <v>2</v>
      </c>
      <c r="AF188" s="4">
        <v>2</v>
      </c>
      <c r="AG188" s="4">
        <v>2</v>
      </c>
      <c r="AH188" s="4">
        <v>0</v>
      </c>
      <c r="AI188" s="4">
        <v>0</v>
      </c>
      <c r="AJ188" s="4">
        <v>1</v>
      </c>
      <c r="AK188" s="4">
        <v>1</v>
      </c>
      <c r="AL188" s="4">
        <v>0</v>
      </c>
      <c r="AM188" s="4">
        <v>0</v>
      </c>
      <c r="AN188" s="4">
        <v>0</v>
      </c>
      <c r="AO188" s="4">
        <v>0</v>
      </c>
      <c r="AP188" s="3" t="s">
        <v>58</v>
      </c>
      <c r="AQ188" s="3" t="s">
        <v>58</v>
      </c>
      <c r="AS188" s="6" t="str">
        <f>HYPERLINK("https://creighton-primo.hosted.exlibrisgroup.com/primo-explore/search?tab=default_tab&amp;search_scope=EVERYTHING&amp;vid=01CRU&amp;lang=en_US&amp;offset=0&amp;query=any,contains,991000824749702656","Catalog Record")</f>
        <v>Catalog Record</v>
      </c>
      <c r="AT188" s="6" t="str">
        <f>HYPERLINK("http://www.worldcat.org/oclc/38290809","WorldCat Record")</f>
        <v>WorldCat Record</v>
      </c>
    </row>
    <row r="189" spans="1:46" ht="40.5" customHeight="1" x14ac:dyDescent="0.25">
      <c r="A189" s="8" t="s">
        <v>58</v>
      </c>
      <c r="B189" s="2" t="s">
        <v>2150</v>
      </c>
      <c r="C189" s="2" t="s">
        <v>2151</v>
      </c>
      <c r="D189" s="2" t="s">
        <v>2152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L189" s="2" t="s">
        <v>2153</v>
      </c>
      <c r="M189" s="3" t="s">
        <v>540</v>
      </c>
      <c r="N189" s="2" t="s">
        <v>1209</v>
      </c>
      <c r="O189" s="3" t="s">
        <v>64</v>
      </c>
      <c r="P189" s="3" t="s">
        <v>1921</v>
      </c>
      <c r="R189" s="3" t="s">
        <v>1907</v>
      </c>
      <c r="S189" s="4">
        <v>14</v>
      </c>
      <c r="T189" s="4">
        <v>14</v>
      </c>
      <c r="U189" s="5" t="s">
        <v>2154</v>
      </c>
      <c r="V189" s="5" t="s">
        <v>2154</v>
      </c>
      <c r="W189" s="5" t="s">
        <v>899</v>
      </c>
      <c r="X189" s="5" t="s">
        <v>899</v>
      </c>
      <c r="Y189" s="4">
        <v>490</v>
      </c>
      <c r="Z189" s="4">
        <v>416</v>
      </c>
      <c r="AA189" s="4">
        <v>1046</v>
      </c>
      <c r="AB189" s="4">
        <v>1</v>
      </c>
      <c r="AC189" s="4">
        <v>8</v>
      </c>
      <c r="AD189" s="4">
        <v>8</v>
      </c>
      <c r="AE189" s="4">
        <v>29</v>
      </c>
      <c r="AF189" s="4">
        <v>4</v>
      </c>
      <c r="AG189" s="4">
        <v>13</v>
      </c>
      <c r="AH189" s="4">
        <v>2</v>
      </c>
      <c r="AI189" s="4">
        <v>6</v>
      </c>
      <c r="AJ189" s="4">
        <v>4</v>
      </c>
      <c r="AK189" s="4">
        <v>13</v>
      </c>
      <c r="AL189" s="4">
        <v>0</v>
      </c>
      <c r="AM189" s="4">
        <v>6</v>
      </c>
      <c r="AN189" s="4">
        <v>0</v>
      </c>
      <c r="AO189" s="4">
        <v>0</v>
      </c>
      <c r="AP189" s="3" t="s">
        <v>58</v>
      </c>
      <c r="AQ189" s="3" t="s">
        <v>69</v>
      </c>
      <c r="AR189" s="6" t="str">
        <f>HYPERLINK("http://catalog.hathitrust.org/Record/002514760","HathiTrust Record")</f>
        <v>HathiTrust Record</v>
      </c>
      <c r="AS189" s="6" t="str">
        <f>HYPERLINK("https://creighton-primo.hosted.exlibrisgroup.com/primo-explore/search?tab=default_tab&amp;search_scope=EVERYTHING&amp;vid=01CRU&amp;lang=en_US&amp;offset=0&amp;query=any,contains,991001302679702656","Catalog Record")</f>
        <v>Catalog Record</v>
      </c>
      <c r="AT189" s="6" t="str">
        <f>HYPERLINK("http://www.worldcat.org/oclc/24796112","WorldCat Record")</f>
        <v>WorldCat Record</v>
      </c>
    </row>
    <row r="190" spans="1:46" ht="40.5" customHeight="1" x14ac:dyDescent="0.25">
      <c r="A190" s="8" t="s">
        <v>58</v>
      </c>
      <c r="B190" s="2" t="s">
        <v>2155</v>
      </c>
      <c r="C190" s="2" t="s">
        <v>2156</v>
      </c>
      <c r="D190" s="2" t="s">
        <v>2157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59</v>
      </c>
      <c r="K190" s="2" t="s">
        <v>2158</v>
      </c>
      <c r="L190" s="2" t="s">
        <v>2159</v>
      </c>
      <c r="M190" s="3" t="s">
        <v>2046</v>
      </c>
      <c r="O190" s="3" t="s">
        <v>64</v>
      </c>
      <c r="P190" s="3" t="s">
        <v>1501</v>
      </c>
      <c r="R190" s="3" t="s">
        <v>1907</v>
      </c>
      <c r="S190" s="4">
        <v>0</v>
      </c>
      <c r="T190" s="4">
        <v>0</v>
      </c>
      <c r="U190" s="5" t="s">
        <v>2160</v>
      </c>
      <c r="V190" s="5" t="s">
        <v>2160</v>
      </c>
      <c r="W190" s="5" t="s">
        <v>2160</v>
      </c>
      <c r="X190" s="5" t="s">
        <v>2160</v>
      </c>
      <c r="Y190" s="4">
        <v>375</v>
      </c>
      <c r="Z190" s="4">
        <v>305</v>
      </c>
      <c r="AA190" s="4">
        <v>1257</v>
      </c>
      <c r="AB190" s="4">
        <v>2</v>
      </c>
      <c r="AC190" s="4">
        <v>15</v>
      </c>
      <c r="AD190" s="4">
        <v>12</v>
      </c>
      <c r="AE190" s="4">
        <v>46</v>
      </c>
      <c r="AF190" s="4">
        <v>7</v>
      </c>
      <c r="AG190" s="4">
        <v>15</v>
      </c>
      <c r="AH190" s="4">
        <v>2</v>
      </c>
      <c r="AI190" s="4">
        <v>10</v>
      </c>
      <c r="AJ190" s="4">
        <v>6</v>
      </c>
      <c r="AK190" s="4">
        <v>15</v>
      </c>
      <c r="AL190" s="4">
        <v>0</v>
      </c>
      <c r="AM190" s="4">
        <v>12</v>
      </c>
      <c r="AN190" s="4">
        <v>0</v>
      </c>
      <c r="AO190" s="4">
        <v>2</v>
      </c>
      <c r="AP190" s="3" t="s">
        <v>58</v>
      </c>
      <c r="AQ190" s="3" t="s">
        <v>58</v>
      </c>
      <c r="AS190" s="6" t="str">
        <f>HYPERLINK("https://creighton-primo.hosted.exlibrisgroup.com/primo-explore/search?tab=default_tab&amp;search_scope=EVERYTHING&amp;vid=01CRU&amp;lang=en_US&amp;offset=0&amp;query=any,contains,991000385359702656","Catalog Record")</f>
        <v>Catalog Record</v>
      </c>
      <c r="AT190" s="6" t="str">
        <f>HYPERLINK("http://www.worldcat.org/oclc/50761072","WorldCat Record")</f>
        <v>WorldCat Record</v>
      </c>
    </row>
    <row r="191" spans="1:46" ht="40.5" customHeight="1" x14ac:dyDescent="0.25">
      <c r="A191" s="8" t="s">
        <v>58</v>
      </c>
      <c r="B191" s="2" t="s">
        <v>2161</v>
      </c>
      <c r="C191" s="2" t="s">
        <v>2162</v>
      </c>
      <c r="D191" s="2" t="s">
        <v>2163</v>
      </c>
      <c r="E191" s="3" t="s">
        <v>1956</v>
      </c>
      <c r="F191" s="3" t="s">
        <v>69</v>
      </c>
      <c r="G191" s="3" t="s">
        <v>59</v>
      </c>
      <c r="H191" s="3" t="s">
        <v>58</v>
      </c>
      <c r="I191" s="3" t="s">
        <v>69</v>
      </c>
      <c r="J191" s="3" t="s">
        <v>60</v>
      </c>
      <c r="L191" s="2" t="s">
        <v>2164</v>
      </c>
      <c r="M191" s="3" t="s">
        <v>540</v>
      </c>
      <c r="O191" s="3" t="s">
        <v>64</v>
      </c>
      <c r="P191" s="3" t="s">
        <v>172</v>
      </c>
      <c r="R191" s="3" t="s">
        <v>1907</v>
      </c>
      <c r="S191" s="4">
        <v>0</v>
      </c>
      <c r="T191" s="4">
        <v>11</v>
      </c>
      <c r="V191" s="5" t="s">
        <v>2165</v>
      </c>
      <c r="W191" s="5" t="s">
        <v>1909</v>
      </c>
      <c r="X191" s="5" t="s">
        <v>1909</v>
      </c>
      <c r="Y191" s="4">
        <v>542</v>
      </c>
      <c r="Z191" s="4">
        <v>405</v>
      </c>
      <c r="AA191" s="4">
        <v>801</v>
      </c>
      <c r="AB191" s="4">
        <v>2</v>
      </c>
      <c r="AC191" s="4">
        <v>2</v>
      </c>
      <c r="AD191" s="4">
        <v>10</v>
      </c>
      <c r="AE191" s="4">
        <v>26</v>
      </c>
      <c r="AF191" s="4">
        <v>4</v>
      </c>
      <c r="AG191" s="4">
        <v>12</v>
      </c>
      <c r="AH191" s="4">
        <v>3</v>
      </c>
      <c r="AI191" s="4">
        <v>5</v>
      </c>
      <c r="AJ191" s="4">
        <v>8</v>
      </c>
      <c r="AK191" s="4">
        <v>15</v>
      </c>
      <c r="AL191" s="4">
        <v>1</v>
      </c>
      <c r="AM191" s="4">
        <v>1</v>
      </c>
      <c r="AN191" s="4">
        <v>0</v>
      </c>
      <c r="AO191" s="4">
        <v>0</v>
      </c>
      <c r="AP191" s="3" t="s">
        <v>58</v>
      </c>
      <c r="AQ191" s="3" t="s">
        <v>69</v>
      </c>
      <c r="AR191" s="6" t="str">
        <f>HYPERLINK("http://catalog.hathitrust.org/Record/002577865","HathiTrust Record")</f>
        <v>HathiTrust Record</v>
      </c>
      <c r="AS191" s="6" t="str">
        <f>HYPERLINK("https://creighton-primo.hosted.exlibrisgroup.com/primo-explore/search?tab=default_tab&amp;search_scope=EVERYTHING&amp;vid=01CRU&amp;lang=en_US&amp;offset=0&amp;query=any,contains,991000686289702656","Catalog Record")</f>
        <v>Catalog Record</v>
      </c>
      <c r="AT191" s="6" t="str">
        <f>HYPERLINK("http://www.worldcat.org/oclc/25316345","WorldCat Record")</f>
        <v>WorldCat Record</v>
      </c>
    </row>
    <row r="192" spans="1:46" ht="40.5" customHeight="1" x14ac:dyDescent="0.25">
      <c r="A192" s="8" t="s">
        <v>58</v>
      </c>
      <c r="B192" s="2" t="s">
        <v>2161</v>
      </c>
      <c r="C192" s="2" t="s">
        <v>2162</v>
      </c>
      <c r="D192" s="2" t="s">
        <v>2163</v>
      </c>
      <c r="E192" s="3" t="s">
        <v>1952</v>
      </c>
      <c r="F192" s="3" t="s">
        <v>69</v>
      </c>
      <c r="G192" s="3" t="s">
        <v>59</v>
      </c>
      <c r="H192" s="3" t="s">
        <v>58</v>
      </c>
      <c r="I192" s="3" t="s">
        <v>69</v>
      </c>
      <c r="J192" s="3" t="s">
        <v>60</v>
      </c>
      <c r="L192" s="2" t="s">
        <v>2164</v>
      </c>
      <c r="M192" s="3" t="s">
        <v>540</v>
      </c>
      <c r="O192" s="3" t="s">
        <v>64</v>
      </c>
      <c r="P192" s="3" t="s">
        <v>172</v>
      </c>
      <c r="R192" s="3" t="s">
        <v>1907</v>
      </c>
      <c r="S192" s="4">
        <v>5</v>
      </c>
      <c r="T192" s="4">
        <v>11</v>
      </c>
      <c r="U192" s="5" t="s">
        <v>2165</v>
      </c>
      <c r="V192" s="5" t="s">
        <v>2165</v>
      </c>
      <c r="W192" s="5" t="s">
        <v>1909</v>
      </c>
      <c r="X192" s="5" t="s">
        <v>1909</v>
      </c>
      <c r="Y192" s="4">
        <v>542</v>
      </c>
      <c r="Z192" s="4">
        <v>405</v>
      </c>
      <c r="AA192" s="4">
        <v>801</v>
      </c>
      <c r="AB192" s="4">
        <v>2</v>
      </c>
      <c r="AC192" s="4">
        <v>2</v>
      </c>
      <c r="AD192" s="4">
        <v>10</v>
      </c>
      <c r="AE192" s="4">
        <v>26</v>
      </c>
      <c r="AF192" s="4">
        <v>4</v>
      </c>
      <c r="AG192" s="4">
        <v>12</v>
      </c>
      <c r="AH192" s="4">
        <v>3</v>
      </c>
      <c r="AI192" s="4">
        <v>5</v>
      </c>
      <c r="AJ192" s="4">
        <v>8</v>
      </c>
      <c r="AK192" s="4">
        <v>15</v>
      </c>
      <c r="AL192" s="4">
        <v>1</v>
      </c>
      <c r="AM192" s="4">
        <v>1</v>
      </c>
      <c r="AN192" s="4">
        <v>0</v>
      </c>
      <c r="AO192" s="4">
        <v>0</v>
      </c>
      <c r="AP192" s="3" t="s">
        <v>58</v>
      </c>
      <c r="AQ192" s="3" t="s">
        <v>69</v>
      </c>
      <c r="AR192" s="6" t="str">
        <f>HYPERLINK("http://catalog.hathitrust.org/Record/002577865","HathiTrust Record")</f>
        <v>HathiTrust Record</v>
      </c>
      <c r="AS192" s="6" t="str">
        <f>HYPERLINK("https://creighton-primo.hosted.exlibrisgroup.com/primo-explore/search?tab=default_tab&amp;search_scope=EVERYTHING&amp;vid=01CRU&amp;lang=en_US&amp;offset=0&amp;query=any,contains,991000686289702656","Catalog Record")</f>
        <v>Catalog Record</v>
      </c>
      <c r="AT192" s="6" t="str">
        <f>HYPERLINK("http://www.worldcat.org/oclc/25316345","WorldCat Record")</f>
        <v>WorldCat Record</v>
      </c>
    </row>
    <row r="193" spans="1:46" ht="40.5" customHeight="1" x14ac:dyDescent="0.25">
      <c r="A193" s="8" t="s">
        <v>58</v>
      </c>
      <c r="B193" s="2" t="s">
        <v>2161</v>
      </c>
      <c r="C193" s="2" t="s">
        <v>2162</v>
      </c>
      <c r="D193" s="2" t="s">
        <v>2163</v>
      </c>
      <c r="E193" s="3" t="s">
        <v>1947</v>
      </c>
      <c r="F193" s="3" t="s">
        <v>69</v>
      </c>
      <c r="G193" s="3" t="s">
        <v>59</v>
      </c>
      <c r="H193" s="3" t="s">
        <v>58</v>
      </c>
      <c r="I193" s="3" t="s">
        <v>69</v>
      </c>
      <c r="J193" s="3" t="s">
        <v>60</v>
      </c>
      <c r="L193" s="2" t="s">
        <v>2164</v>
      </c>
      <c r="M193" s="3" t="s">
        <v>540</v>
      </c>
      <c r="O193" s="3" t="s">
        <v>64</v>
      </c>
      <c r="P193" s="3" t="s">
        <v>172</v>
      </c>
      <c r="R193" s="3" t="s">
        <v>1907</v>
      </c>
      <c r="S193" s="4">
        <v>6</v>
      </c>
      <c r="T193" s="4">
        <v>11</v>
      </c>
      <c r="U193" s="5" t="s">
        <v>2166</v>
      </c>
      <c r="V193" s="5" t="s">
        <v>2165</v>
      </c>
      <c r="W193" s="5" t="s">
        <v>1909</v>
      </c>
      <c r="X193" s="5" t="s">
        <v>1909</v>
      </c>
      <c r="Y193" s="4">
        <v>542</v>
      </c>
      <c r="Z193" s="4">
        <v>405</v>
      </c>
      <c r="AA193" s="4">
        <v>801</v>
      </c>
      <c r="AB193" s="4">
        <v>2</v>
      </c>
      <c r="AC193" s="4">
        <v>2</v>
      </c>
      <c r="AD193" s="4">
        <v>10</v>
      </c>
      <c r="AE193" s="4">
        <v>26</v>
      </c>
      <c r="AF193" s="4">
        <v>4</v>
      </c>
      <c r="AG193" s="4">
        <v>12</v>
      </c>
      <c r="AH193" s="4">
        <v>3</v>
      </c>
      <c r="AI193" s="4">
        <v>5</v>
      </c>
      <c r="AJ193" s="4">
        <v>8</v>
      </c>
      <c r="AK193" s="4">
        <v>15</v>
      </c>
      <c r="AL193" s="4">
        <v>1</v>
      </c>
      <c r="AM193" s="4">
        <v>1</v>
      </c>
      <c r="AN193" s="4">
        <v>0</v>
      </c>
      <c r="AO193" s="4">
        <v>0</v>
      </c>
      <c r="AP193" s="3" t="s">
        <v>58</v>
      </c>
      <c r="AQ193" s="3" t="s">
        <v>69</v>
      </c>
      <c r="AR193" s="6" t="str">
        <f>HYPERLINK("http://catalog.hathitrust.org/Record/002577865","HathiTrust Record")</f>
        <v>HathiTrust Record</v>
      </c>
      <c r="AS193" s="6" t="str">
        <f>HYPERLINK("https://creighton-primo.hosted.exlibrisgroup.com/primo-explore/search?tab=default_tab&amp;search_scope=EVERYTHING&amp;vid=01CRU&amp;lang=en_US&amp;offset=0&amp;query=any,contains,991000686289702656","Catalog Record")</f>
        <v>Catalog Record</v>
      </c>
      <c r="AT193" s="6" t="str">
        <f>HYPERLINK("http://www.worldcat.org/oclc/25316345","WorldCat Record")</f>
        <v>WorldCat Record</v>
      </c>
    </row>
    <row r="194" spans="1:46" ht="40.5" customHeight="1" x14ac:dyDescent="0.25">
      <c r="A194" s="8" t="s">
        <v>58</v>
      </c>
      <c r="B194" s="2" t="s">
        <v>2161</v>
      </c>
      <c r="C194" s="2" t="s">
        <v>2162</v>
      </c>
      <c r="D194" s="2" t="s">
        <v>2163</v>
      </c>
      <c r="E194" s="3" t="s">
        <v>1960</v>
      </c>
      <c r="F194" s="3" t="s">
        <v>69</v>
      </c>
      <c r="G194" s="3" t="s">
        <v>59</v>
      </c>
      <c r="H194" s="3" t="s">
        <v>58</v>
      </c>
      <c r="I194" s="3" t="s">
        <v>69</v>
      </c>
      <c r="J194" s="3" t="s">
        <v>60</v>
      </c>
      <c r="L194" s="2" t="s">
        <v>2164</v>
      </c>
      <c r="M194" s="3" t="s">
        <v>540</v>
      </c>
      <c r="O194" s="3" t="s">
        <v>64</v>
      </c>
      <c r="P194" s="3" t="s">
        <v>172</v>
      </c>
      <c r="R194" s="3" t="s">
        <v>1907</v>
      </c>
      <c r="S194" s="4">
        <v>0</v>
      </c>
      <c r="T194" s="4">
        <v>11</v>
      </c>
      <c r="V194" s="5" t="s">
        <v>2165</v>
      </c>
      <c r="W194" s="5" t="s">
        <v>1909</v>
      </c>
      <c r="X194" s="5" t="s">
        <v>1909</v>
      </c>
      <c r="Y194" s="4">
        <v>542</v>
      </c>
      <c r="Z194" s="4">
        <v>405</v>
      </c>
      <c r="AA194" s="4">
        <v>801</v>
      </c>
      <c r="AB194" s="4">
        <v>2</v>
      </c>
      <c r="AC194" s="4">
        <v>2</v>
      </c>
      <c r="AD194" s="4">
        <v>10</v>
      </c>
      <c r="AE194" s="4">
        <v>26</v>
      </c>
      <c r="AF194" s="4">
        <v>4</v>
      </c>
      <c r="AG194" s="4">
        <v>12</v>
      </c>
      <c r="AH194" s="4">
        <v>3</v>
      </c>
      <c r="AI194" s="4">
        <v>5</v>
      </c>
      <c r="AJ194" s="4">
        <v>8</v>
      </c>
      <c r="AK194" s="4">
        <v>15</v>
      </c>
      <c r="AL194" s="4">
        <v>1</v>
      </c>
      <c r="AM194" s="4">
        <v>1</v>
      </c>
      <c r="AN194" s="4">
        <v>0</v>
      </c>
      <c r="AO194" s="4">
        <v>0</v>
      </c>
      <c r="AP194" s="3" t="s">
        <v>58</v>
      </c>
      <c r="AQ194" s="3" t="s">
        <v>69</v>
      </c>
      <c r="AR194" s="6" t="str">
        <f>HYPERLINK("http://catalog.hathitrust.org/Record/002577865","HathiTrust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HYPERLINK("https://creighton-primo.hosted.exlibrisgroup.com/primo-explore/search?tab=default_tab&amp;search_scope=EVERYTHING&amp;vid=01CRU&amp;lang=en_US&amp;offset=0&amp;query=any,contains,991000686289702656","Catalog Record")</f>
        <v>Catalog Record</v>
      </c>
      <c r="AT194" s="6" t="str">
        <f>HYPERLINK("http://www.worldcat.org/oclc/25316345","WorldCat Record")</f>
        <v>WorldCat Record</v>
      </c>
    </row>
    <row r="195" spans="1:46" ht="40.5" customHeight="1" x14ac:dyDescent="0.25">
      <c r="A195" s="8" t="s">
        <v>58</v>
      </c>
      <c r="B195" s="2" t="s">
        <v>2167</v>
      </c>
      <c r="C195" s="2" t="s">
        <v>2168</v>
      </c>
      <c r="D195" s="2" t="s">
        <v>2169</v>
      </c>
      <c r="E195" s="3" t="s">
        <v>1947</v>
      </c>
      <c r="F195" s="3" t="s">
        <v>69</v>
      </c>
      <c r="G195" s="3" t="s">
        <v>59</v>
      </c>
      <c r="H195" s="3" t="s">
        <v>58</v>
      </c>
      <c r="I195" s="3" t="s">
        <v>58</v>
      </c>
      <c r="J195" s="3" t="s">
        <v>60</v>
      </c>
      <c r="L195" s="2" t="s">
        <v>2170</v>
      </c>
      <c r="M195" s="3" t="s">
        <v>126</v>
      </c>
      <c r="O195" s="3" t="s">
        <v>64</v>
      </c>
      <c r="P195" s="3" t="s">
        <v>113</v>
      </c>
      <c r="R195" s="3" t="s">
        <v>1907</v>
      </c>
      <c r="S195" s="4">
        <v>4</v>
      </c>
      <c r="T195" s="4">
        <v>19</v>
      </c>
      <c r="U195" s="5" t="s">
        <v>2171</v>
      </c>
      <c r="V195" s="5" t="s">
        <v>2171</v>
      </c>
      <c r="W195" s="5" t="s">
        <v>2171</v>
      </c>
      <c r="X195" s="5" t="s">
        <v>2171</v>
      </c>
      <c r="Y195" s="4">
        <v>374</v>
      </c>
      <c r="Z195" s="4">
        <v>281</v>
      </c>
      <c r="AA195" s="4">
        <v>482</v>
      </c>
      <c r="AB195" s="4">
        <v>2</v>
      </c>
      <c r="AC195" s="4">
        <v>2</v>
      </c>
      <c r="AD195" s="4">
        <v>8</v>
      </c>
      <c r="AE195" s="4">
        <v>19</v>
      </c>
      <c r="AF195" s="4">
        <v>3</v>
      </c>
      <c r="AG195" s="4">
        <v>7</v>
      </c>
      <c r="AH195" s="4">
        <v>1</v>
      </c>
      <c r="AI195" s="4">
        <v>6</v>
      </c>
      <c r="AJ195" s="4">
        <v>5</v>
      </c>
      <c r="AK195" s="4">
        <v>10</v>
      </c>
      <c r="AL195" s="4">
        <v>1</v>
      </c>
      <c r="AM195" s="4">
        <v>1</v>
      </c>
      <c r="AN195" s="4">
        <v>0</v>
      </c>
      <c r="AO195" s="4">
        <v>0</v>
      </c>
      <c r="AP195" s="3" t="s">
        <v>58</v>
      </c>
      <c r="AQ195" s="3" t="s">
        <v>69</v>
      </c>
      <c r="AR195" s="6" t="str">
        <f>HYPERLINK("http://catalog.hathitrust.org/Record/002856636","HathiTrust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HYPERLINK("https://creighton-primo.hosted.exlibrisgroup.com/primo-explore/search?tab=default_tab&amp;search_scope=EVERYTHING&amp;vid=01CRU&amp;lang=en_US&amp;offset=0&amp;query=any,contains,991000670479702656","Catalog Record")</f>
        <v>Catalog Record</v>
      </c>
      <c r="AT195" s="6" t="str">
        <f>HYPERLINK("http://www.worldcat.org/oclc/30052976","WorldCat Record")</f>
        <v>WorldCat Record</v>
      </c>
    </row>
    <row r="196" spans="1:46" ht="40.5" customHeight="1" x14ac:dyDescent="0.25">
      <c r="A196" s="8" t="s">
        <v>58</v>
      </c>
      <c r="B196" s="2" t="s">
        <v>2167</v>
      </c>
      <c r="C196" s="2" t="s">
        <v>2168</v>
      </c>
      <c r="D196" s="2" t="s">
        <v>2169</v>
      </c>
      <c r="E196" s="3" t="s">
        <v>1952</v>
      </c>
      <c r="F196" s="3" t="s">
        <v>69</v>
      </c>
      <c r="G196" s="3" t="s">
        <v>59</v>
      </c>
      <c r="H196" s="3" t="s">
        <v>58</v>
      </c>
      <c r="I196" s="3" t="s">
        <v>58</v>
      </c>
      <c r="J196" s="3" t="s">
        <v>60</v>
      </c>
      <c r="L196" s="2" t="s">
        <v>2170</v>
      </c>
      <c r="M196" s="3" t="s">
        <v>126</v>
      </c>
      <c r="O196" s="3" t="s">
        <v>64</v>
      </c>
      <c r="P196" s="3" t="s">
        <v>113</v>
      </c>
      <c r="R196" s="3" t="s">
        <v>1907</v>
      </c>
      <c r="S196" s="4">
        <v>6</v>
      </c>
      <c r="T196" s="4">
        <v>19</v>
      </c>
      <c r="U196" s="5" t="s">
        <v>2171</v>
      </c>
      <c r="V196" s="5" t="s">
        <v>2171</v>
      </c>
      <c r="W196" s="5" t="s">
        <v>2171</v>
      </c>
      <c r="X196" s="5" t="s">
        <v>2171</v>
      </c>
      <c r="Y196" s="4">
        <v>374</v>
      </c>
      <c r="Z196" s="4">
        <v>281</v>
      </c>
      <c r="AA196" s="4">
        <v>482</v>
      </c>
      <c r="AB196" s="4">
        <v>2</v>
      </c>
      <c r="AC196" s="4">
        <v>2</v>
      </c>
      <c r="AD196" s="4">
        <v>8</v>
      </c>
      <c r="AE196" s="4">
        <v>19</v>
      </c>
      <c r="AF196" s="4">
        <v>3</v>
      </c>
      <c r="AG196" s="4">
        <v>7</v>
      </c>
      <c r="AH196" s="4">
        <v>1</v>
      </c>
      <c r="AI196" s="4">
        <v>6</v>
      </c>
      <c r="AJ196" s="4">
        <v>5</v>
      </c>
      <c r="AK196" s="4">
        <v>10</v>
      </c>
      <c r="AL196" s="4">
        <v>1</v>
      </c>
      <c r="AM196" s="4">
        <v>1</v>
      </c>
      <c r="AN196" s="4">
        <v>0</v>
      </c>
      <c r="AO196" s="4">
        <v>0</v>
      </c>
      <c r="AP196" s="3" t="s">
        <v>58</v>
      </c>
      <c r="AQ196" s="3" t="s">
        <v>69</v>
      </c>
      <c r="AR196" s="6" t="str">
        <f>HYPERLINK("http://catalog.hathitrust.org/Record/002856636","HathiTrust Record")</f>
        <v>HathiTrust Record</v>
      </c>
      <c r="AS196" s="6" t="str">
        <f>HYPERLINK("https://creighton-primo.hosted.exlibrisgroup.com/primo-explore/search?tab=default_tab&amp;search_scope=EVERYTHING&amp;vid=01CRU&amp;lang=en_US&amp;offset=0&amp;query=any,contains,991000670479702656","Catalog Record")</f>
        <v>Catalog Record</v>
      </c>
      <c r="AT196" s="6" t="str">
        <f>HYPERLINK("http://www.worldcat.org/oclc/30052976","WorldCat Record")</f>
        <v>WorldCat Record</v>
      </c>
    </row>
    <row r="197" spans="1:46" ht="40.5" customHeight="1" x14ac:dyDescent="0.25">
      <c r="A197" s="8" t="s">
        <v>58</v>
      </c>
      <c r="B197" s="2" t="s">
        <v>2167</v>
      </c>
      <c r="C197" s="2" t="s">
        <v>2168</v>
      </c>
      <c r="D197" s="2" t="s">
        <v>2169</v>
      </c>
      <c r="E197" s="3" t="s">
        <v>1956</v>
      </c>
      <c r="F197" s="3" t="s">
        <v>69</v>
      </c>
      <c r="G197" s="3" t="s">
        <v>59</v>
      </c>
      <c r="H197" s="3" t="s">
        <v>58</v>
      </c>
      <c r="I197" s="3" t="s">
        <v>58</v>
      </c>
      <c r="J197" s="3" t="s">
        <v>60</v>
      </c>
      <c r="L197" s="2" t="s">
        <v>2170</v>
      </c>
      <c r="M197" s="3" t="s">
        <v>126</v>
      </c>
      <c r="O197" s="3" t="s">
        <v>64</v>
      </c>
      <c r="P197" s="3" t="s">
        <v>113</v>
      </c>
      <c r="R197" s="3" t="s">
        <v>1907</v>
      </c>
      <c r="S197" s="4">
        <v>9</v>
      </c>
      <c r="T197" s="4">
        <v>19</v>
      </c>
      <c r="U197" s="5" t="s">
        <v>2171</v>
      </c>
      <c r="V197" s="5" t="s">
        <v>2171</v>
      </c>
      <c r="W197" s="5" t="s">
        <v>2171</v>
      </c>
      <c r="X197" s="5" t="s">
        <v>2171</v>
      </c>
      <c r="Y197" s="4">
        <v>374</v>
      </c>
      <c r="Z197" s="4">
        <v>281</v>
      </c>
      <c r="AA197" s="4">
        <v>482</v>
      </c>
      <c r="AB197" s="4">
        <v>2</v>
      </c>
      <c r="AC197" s="4">
        <v>2</v>
      </c>
      <c r="AD197" s="4">
        <v>8</v>
      </c>
      <c r="AE197" s="4">
        <v>19</v>
      </c>
      <c r="AF197" s="4">
        <v>3</v>
      </c>
      <c r="AG197" s="4">
        <v>7</v>
      </c>
      <c r="AH197" s="4">
        <v>1</v>
      </c>
      <c r="AI197" s="4">
        <v>6</v>
      </c>
      <c r="AJ197" s="4">
        <v>5</v>
      </c>
      <c r="AK197" s="4">
        <v>10</v>
      </c>
      <c r="AL197" s="4">
        <v>1</v>
      </c>
      <c r="AM197" s="4">
        <v>1</v>
      </c>
      <c r="AN197" s="4">
        <v>0</v>
      </c>
      <c r="AO197" s="4">
        <v>0</v>
      </c>
      <c r="AP197" s="3" t="s">
        <v>58</v>
      </c>
      <c r="AQ197" s="3" t="s">
        <v>69</v>
      </c>
      <c r="AR197" s="6" t="str">
        <f>HYPERLINK("http://catalog.hathitrust.org/Record/002856636","HathiTrust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HYPERLINK("https://creighton-primo.hosted.exlibrisgroup.com/primo-explore/search?tab=default_tab&amp;search_scope=EVERYTHING&amp;vid=01CRU&amp;lang=en_US&amp;offset=0&amp;query=any,contains,991000670479702656","Catalog Record")</f>
        <v>Catalog Record</v>
      </c>
      <c r="AT197" s="6" t="str">
        <f>HYPERLINK("http://www.worldcat.org/oclc/30052976","WorldCat Record")</f>
        <v>WorldCat Record</v>
      </c>
    </row>
    <row r="198" spans="1:46" ht="40.5" customHeight="1" x14ac:dyDescent="0.25">
      <c r="A198" s="8" t="s">
        <v>58</v>
      </c>
      <c r="B198" s="2" t="s">
        <v>2172</v>
      </c>
      <c r="C198" s="2" t="s">
        <v>2173</v>
      </c>
      <c r="D198" s="2" t="s">
        <v>2174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K198" s="2" t="s">
        <v>2175</v>
      </c>
      <c r="L198" s="2" t="s">
        <v>2176</v>
      </c>
      <c r="M198" s="3" t="s">
        <v>285</v>
      </c>
      <c r="O198" s="3" t="s">
        <v>64</v>
      </c>
      <c r="P198" s="3" t="s">
        <v>1234</v>
      </c>
      <c r="R198" s="3" t="s">
        <v>1907</v>
      </c>
      <c r="S198" s="4">
        <v>1</v>
      </c>
      <c r="T198" s="4">
        <v>1</v>
      </c>
      <c r="U198" s="5" t="s">
        <v>2177</v>
      </c>
      <c r="V198" s="5" t="s">
        <v>2177</v>
      </c>
      <c r="W198" s="5" t="s">
        <v>2178</v>
      </c>
      <c r="X198" s="5" t="s">
        <v>2178</v>
      </c>
      <c r="Y198" s="4">
        <v>168</v>
      </c>
      <c r="Z198" s="4">
        <v>96</v>
      </c>
      <c r="AA198" s="4">
        <v>103</v>
      </c>
      <c r="AB198" s="4">
        <v>1</v>
      </c>
      <c r="AC198" s="4">
        <v>1</v>
      </c>
      <c r="AD198" s="4">
        <v>3</v>
      </c>
      <c r="AE198" s="4">
        <v>3</v>
      </c>
      <c r="AF198" s="4">
        <v>0</v>
      </c>
      <c r="AG198" s="4">
        <v>0</v>
      </c>
      <c r="AH198" s="4">
        <v>2</v>
      </c>
      <c r="AI198" s="4">
        <v>2</v>
      </c>
      <c r="AJ198" s="4">
        <v>2</v>
      </c>
      <c r="AK198" s="4">
        <v>2</v>
      </c>
      <c r="AL198" s="4">
        <v>0</v>
      </c>
      <c r="AM198" s="4">
        <v>0</v>
      </c>
      <c r="AN198" s="4">
        <v>0</v>
      </c>
      <c r="AO198" s="4">
        <v>0</v>
      </c>
      <c r="AP198" s="3" t="s">
        <v>58</v>
      </c>
      <c r="AQ198" s="3" t="s">
        <v>69</v>
      </c>
      <c r="AR198" s="6" t="str">
        <f>HYPERLINK("http://catalog.hathitrust.org/Record/002984134","HathiTrust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HYPERLINK("https://creighton-primo.hosted.exlibrisgroup.com/primo-explore/search?tab=default_tab&amp;search_scope=EVERYTHING&amp;vid=01CRU&amp;lang=en_US&amp;offset=0&amp;query=any,contains,991001404689702656","Catalog Record")</f>
        <v>Catalog Record</v>
      </c>
      <c r="AT198" s="6" t="str">
        <f>HYPERLINK("http://www.worldcat.org/oclc/32016315","WorldCat Record")</f>
        <v>WorldCat Record</v>
      </c>
    </row>
    <row r="199" spans="1:46" ht="40.5" customHeight="1" x14ac:dyDescent="0.25">
      <c r="A199" s="8" t="s">
        <v>58</v>
      </c>
      <c r="B199" s="2" t="s">
        <v>2179</v>
      </c>
      <c r="C199" s="2" t="s">
        <v>2180</v>
      </c>
      <c r="D199" s="2" t="s">
        <v>2181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K199" s="2" t="s">
        <v>2182</v>
      </c>
      <c r="L199" s="2" t="s">
        <v>2183</v>
      </c>
      <c r="M199" s="3" t="s">
        <v>243</v>
      </c>
      <c r="O199" s="3" t="s">
        <v>64</v>
      </c>
      <c r="P199" s="3" t="s">
        <v>113</v>
      </c>
      <c r="R199" s="3" t="s">
        <v>1907</v>
      </c>
      <c r="S199" s="4">
        <v>4</v>
      </c>
      <c r="T199" s="4">
        <v>4</v>
      </c>
      <c r="U199" s="5" t="s">
        <v>2184</v>
      </c>
      <c r="V199" s="5" t="s">
        <v>2184</v>
      </c>
      <c r="W199" s="5" t="s">
        <v>2185</v>
      </c>
      <c r="X199" s="5" t="s">
        <v>2185</v>
      </c>
      <c r="Y199" s="4">
        <v>212</v>
      </c>
      <c r="Z199" s="4">
        <v>142</v>
      </c>
      <c r="AA199" s="4">
        <v>142</v>
      </c>
      <c r="AB199" s="4">
        <v>1</v>
      </c>
      <c r="AC199" s="4">
        <v>1</v>
      </c>
      <c r="AD199" s="4">
        <v>2</v>
      </c>
      <c r="AE199" s="4">
        <v>2</v>
      </c>
      <c r="AF199" s="4">
        <v>0</v>
      </c>
      <c r="AG199" s="4">
        <v>0</v>
      </c>
      <c r="AH199" s="4">
        <v>2</v>
      </c>
      <c r="AI199" s="4">
        <v>2</v>
      </c>
      <c r="AJ199" s="4">
        <v>1</v>
      </c>
      <c r="AK199" s="4">
        <v>1</v>
      </c>
      <c r="AL199" s="4">
        <v>0</v>
      </c>
      <c r="AM199" s="4">
        <v>0</v>
      </c>
      <c r="AN199" s="4">
        <v>0</v>
      </c>
      <c r="AO199" s="4">
        <v>0</v>
      </c>
      <c r="AP199" s="3" t="s">
        <v>58</v>
      </c>
      <c r="AQ199" s="3" t="s">
        <v>58</v>
      </c>
      <c r="AS199" s="6" t="str">
        <f>HYPERLINK("https://creighton-primo.hosted.exlibrisgroup.com/primo-explore/search?tab=default_tab&amp;search_scope=EVERYTHING&amp;vid=01CRU&amp;lang=en_US&amp;offset=0&amp;query=any,contains,991001447909702656","Catalog Record")</f>
        <v>Catalog Record</v>
      </c>
      <c r="AT199" s="6" t="str">
        <f>HYPERLINK("http://www.worldcat.org/oclc/14164922","WorldCat Record")</f>
        <v>WorldCat Record</v>
      </c>
    </row>
    <row r="200" spans="1:46" ht="40.5" customHeight="1" x14ac:dyDescent="0.25">
      <c r="A200" s="8" t="s">
        <v>58</v>
      </c>
      <c r="B200" s="2" t="s">
        <v>2186</v>
      </c>
      <c r="C200" s="2" t="s">
        <v>2187</v>
      </c>
      <c r="D200" s="2" t="s">
        <v>2188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2189</v>
      </c>
      <c r="L200" s="2" t="s">
        <v>2190</v>
      </c>
      <c r="M200" s="3" t="s">
        <v>82</v>
      </c>
      <c r="O200" s="3" t="s">
        <v>64</v>
      </c>
      <c r="P200" s="3" t="s">
        <v>2191</v>
      </c>
      <c r="R200" s="3" t="s">
        <v>1907</v>
      </c>
      <c r="S200" s="4">
        <v>8</v>
      </c>
      <c r="T200" s="4">
        <v>8</v>
      </c>
      <c r="U200" s="5" t="s">
        <v>2192</v>
      </c>
      <c r="V200" s="5" t="s">
        <v>2192</v>
      </c>
      <c r="W200" s="5" t="s">
        <v>1923</v>
      </c>
      <c r="X200" s="5" t="s">
        <v>1923</v>
      </c>
      <c r="Y200" s="4">
        <v>184</v>
      </c>
      <c r="Z200" s="4">
        <v>155</v>
      </c>
      <c r="AA200" s="4">
        <v>172</v>
      </c>
      <c r="AB200" s="4">
        <v>1</v>
      </c>
      <c r="AC200" s="4">
        <v>1</v>
      </c>
      <c r="AD200" s="4">
        <v>3</v>
      </c>
      <c r="AE200" s="4">
        <v>3</v>
      </c>
      <c r="AF200" s="4">
        <v>1</v>
      </c>
      <c r="AG200" s="4">
        <v>1</v>
      </c>
      <c r="AH200" s="4">
        <v>1</v>
      </c>
      <c r="AI200" s="4">
        <v>1</v>
      </c>
      <c r="AJ200" s="4">
        <v>1</v>
      </c>
      <c r="AK200" s="4">
        <v>1</v>
      </c>
      <c r="AL200" s="4">
        <v>0</v>
      </c>
      <c r="AM200" s="4">
        <v>0</v>
      </c>
      <c r="AN200" s="4">
        <v>0</v>
      </c>
      <c r="AO200" s="4">
        <v>0</v>
      </c>
      <c r="AP200" s="3" t="s">
        <v>58</v>
      </c>
      <c r="AQ200" s="3" t="s">
        <v>69</v>
      </c>
      <c r="AR200" s="6" t="str">
        <f>HYPERLINK("http://catalog.hathitrust.org/Record/000711939","HathiTrust Record")</f>
        <v>HathiTrust Record</v>
      </c>
      <c r="AS200" s="6" t="str">
        <f>HYPERLINK("https://creighton-primo.hosted.exlibrisgroup.com/primo-explore/search?tab=default_tab&amp;search_scope=EVERYTHING&amp;vid=01CRU&amp;lang=en_US&amp;offset=0&amp;query=any,contains,991000995319702656","Catalog Record")</f>
        <v>Catalog Record</v>
      </c>
      <c r="AT200" s="6" t="str">
        <f>HYPERLINK("http://www.worldcat.org/oclc/4857487","WorldCat Record")</f>
        <v>WorldCat Record</v>
      </c>
    </row>
    <row r="201" spans="1:46" ht="40.5" customHeight="1" x14ac:dyDescent="0.25">
      <c r="A201" s="8" t="s">
        <v>58</v>
      </c>
      <c r="B201" s="2" t="s">
        <v>2193</v>
      </c>
      <c r="C201" s="2" t="s">
        <v>2194</v>
      </c>
      <c r="D201" s="2" t="s">
        <v>2195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2196</v>
      </c>
      <c r="L201" s="2" t="s">
        <v>2197</v>
      </c>
      <c r="M201" s="3" t="s">
        <v>2198</v>
      </c>
      <c r="O201" s="3" t="s">
        <v>64</v>
      </c>
      <c r="P201" s="3" t="s">
        <v>1607</v>
      </c>
      <c r="R201" s="3" t="s">
        <v>1907</v>
      </c>
      <c r="S201" s="4">
        <v>8</v>
      </c>
      <c r="T201" s="4">
        <v>8</v>
      </c>
      <c r="U201" s="5" t="s">
        <v>2199</v>
      </c>
      <c r="V201" s="5" t="s">
        <v>2199</v>
      </c>
      <c r="W201" s="5" t="s">
        <v>2102</v>
      </c>
      <c r="X201" s="5" t="s">
        <v>2102</v>
      </c>
      <c r="Y201" s="4">
        <v>26</v>
      </c>
      <c r="Z201" s="4">
        <v>15</v>
      </c>
      <c r="AA201" s="4">
        <v>86</v>
      </c>
      <c r="AB201" s="4">
        <v>1</v>
      </c>
      <c r="AC201" s="4">
        <v>2</v>
      </c>
      <c r="AD201" s="4">
        <v>2</v>
      </c>
      <c r="AE201" s="4">
        <v>5</v>
      </c>
      <c r="AF201" s="4">
        <v>1</v>
      </c>
      <c r="AG201" s="4">
        <v>2</v>
      </c>
      <c r="AH201" s="4">
        <v>0</v>
      </c>
      <c r="AI201" s="4">
        <v>0</v>
      </c>
      <c r="AJ201" s="4">
        <v>2</v>
      </c>
      <c r="AK201" s="4">
        <v>4</v>
      </c>
      <c r="AL201" s="4">
        <v>0</v>
      </c>
      <c r="AM201" s="4">
        <v>1</v>
      </c>
      <c r="AN201" s="4">
        <v>0</v>
      </c>
      <c r="AO201" s="4">
        <v>0</v>
      </c>
      <c r="AP201" s="3" t="s">
        <v>58</v>
      </c>
      <c r="AQ201" s="3" t="s">
        <v>58</v>
      </c>
      <c r="AS201" s="6" t="str">
        <f>HYPERLINK("https://creighton-primo.hosted.exlibrisgroup.com/primo-explore/search?tab=default_tab&amp;search_scope=EVERYTHING&amp;vid=01CRU&amp;lang=en_US&amp;offset=0&amp;query=any,contains,991000749049702656","Catalog Record")</f>
        <v>Catalog Record</v>
      </c>
      <c r="AT201" s="6" t="str">
        <f>HYPERLINK("http://www.worldcat.org/oclc/9692908","WorldCat Record")</f>
        <v>WorldCat Record</v>
      </c>
    </row>
    <row r="202" spans="1:46" ht="40.5" customHeight="1" x14ac:dyDescent="0.25">
      <c r="A202" s="8" t="s">
        <v>58</v>
      </c>
      <c r="B202" s="2" t="s">
        <v>2200</v>
      </c>
      <c r="C202" s="2" t="s">
        <v>2201</v>
      </c>
      <c r="D202" s="2" t="s">
        <v>2202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2203</v>
      </c>
      <c r="L202" s="2" t="s">
        <v>2204</v>
      </c>
      <c r="M202" s="3" t="s">
        <v>1094</v>
      </c>
      <c r="N202" s="2" t="s">
        <v>2047</v>
      </c>
      <c r="O202" s="3" t="s">
        <v>64</v>
      </c>
      <c r="P202" s="3" t="s">
        <v>2191</v>
      </c>
      <c r="R202" s="3" t="s">
        <v>1907</v>
      </c>
      <c r="S202" s="4">
        <v>9</v>
      </c>
      <c r="T202" s="4">
        <v>9</v>
      </c>
      <c r="U202" s="5" t="s">
        <v>2205</v>
      </c>
      <c r="V202" s="5" t="s">
        <v>2205</v>
      </c>
      <c r="W202" s="5" t="s">
        <v>1923</v>
      </c>
      <c r="X202" s="5" t="s">
        <v>1923</v>
      </c>
      <c r="Y202" s="4">
        <v>104</v>
      </c>
      <c r="Z202" s="4">
        <v>99</v>
      </c>
      <c r="AA202" s="4">
        <v>165</v>
      </c>
      <c r="AB202" s="4">
        <v>1</v>
      </c>
      <c r="AC202" s="4">
        <v>2</v>
      </c>
      <c r="AD202" s="4">
        <v>3</v>
      </c>
      <c r="AE202" s="4">
        <v>7</v>
      </c>
      <c r="AF202" s="4">
        <v>1</v>
      </c>
      <c r="AG202" s="4">
        <v>3</v>
      </c>
      <c r="AH202" s="4">
        <v>1</v>
      </c>
      <c r="AI202" s="4">
        <v>1</v>
      </c>
      <c r="AJ202" s="4">
        <v>1</v>
      </c>
      <c r="AK202" s="4">
        <v>3</v>
      </c>
      <c r="AL202" s="4">
        <v>0</v>
      </c>
      <c r="AM202" s="4">
        <v>1</v>
      </c>
      <c r="AN202" s="4">
        <v>0</v>
      </c>
      <c r="AO202" s="4">
        <v>0</v>
      </c>
      <c r="AP202" s="3" t="s">
        <v>58</v>
      </c>
      <c r="AQ202" s="3" t="s">
        <v>58</v>
      </c>
      <c r="AS202" s="6" t="str">
        <f>HYPERLINK("https://creighton-primo.hosted.exlibrisgroup.com/primo-explore/search?tab=default_tab&amp;search_scope=EVERYTHING&amp;vid=01CRU&amp;lang=en_US&amp;offset=0&amp;query=any,contains,991000995249702656","Catalog Record")</f>
        <v>Catalog Record</v>
      </c>
      <c r="AT202" s="6" t="str">
        <f>HYPERLINK("http://www.worldcat.org/oclc/9098935","WorldCat Record")</f>
        <v>WorldCat Record</v>
      </c>
    </row>
    <row r="203" spans="1:46" ht="40.5" customHeight="1" x14ac:dyDescent="0.25">
      <c r="A203" s="8" t="s">
        <v>58</v>
      </c>
      <c r="B203" s="2" t="s">
        <v>2206</v>
      </c>
      <c r="C203" s="2" t="s">
        <v>2207</v>
      </c>
      <c r="D203" s="2" t="s">
        <v>2208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1932</v>
      </c>
      <c r="L203" s="2" t="s">
        <v>2003</v>
      </c>
      <c r="M203" s="3" t="s">
        <v>1980</v>
      </c>
      <c r="O203" s="3" t="s">
        <v>64</v>
      </c>
      <c r="P203" s="3" t="s">
        <v>1921</v>
      </c>
      <c r="R203" s="3" t="s">
        <v>1907</v>
      </c>
      <c r="S203" s="4">
        <v>22</v>
      </c>
      <c r="T203" s="4">
        <v>22</v>
      </c>
      <c r="U203" s="5" t="s">
        <v>2209</v>
      </c>
      <c r="V203" s="5" t="s">
        <v>2209</v>
      </c>
      <c r="W203" s="5" t="s">
        <v>1923</v>
      </c>
      <c r="X203" s="5" t="s">
        <v>1923</v>
      </c>
      <c r="Y203" s="4">
        <v>63</v>
      </c>
      <c r="Z203" s="4">
        <v>47</v>
      </c>
      <c r="AA203" s="4">
        <v>47</v>
      </c>
      <c r="AB203" s="4">
        <v>1</v>
      </c>
      <c r="AC203" s="4">
        <v>1</v>
      </c>
      <c r="AD203" s="4">
        <v>1</v>
      </c>
      <c r="AE203" s="4">
        <v>1</v>
      </c>
      <c r="AF203" s="4">
        <v>1</v>
      </c>
      <c r="AG203" s="4">
        <v>1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3" t="s">
        <v>58</v>
      </c>
      <c r="AQ203" s="3" t="s">
        <v>58</v>
      </c>
      <c r="AS203" s="6" t="str">
        <f>HYPERLINK("https://creighton-primo.hosted.exlibrisgroup.com/primo-explore/search?tab=default_tab&amp;search_scope=EVERYTHING&amp;vid=01CRU&amp;lang=en_US&amp;offset=0&amp;query=any,contains,991000995279702656","Catalog Record")</f>
        <v>Catalog Record</v>
      </c>
      <c r="AT203" s="6" t="str">
        <f>HYPERLINK("http://www.worldcat.org/oclc/9464735","WorldCat Record")</f>
        <v>WorldCat Record</v>
      </c>
    </row>
    <row r="204" spans="1:46" ht="40.5" customHeight="1" x14ac:dyDescent="0.25">
      <c r="A204" s="8" t="s">
        <v>58</v>
      </c>
      <c r="B204" s="2" t="s">
        <v>2210</v>
      </c>
      <c r="C204" s="2" t="s">
        <v>2211</v>
      </c>
      <c r="D204" s="2" t="s">
        <v>2212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K204" s="2" t="s">
        <v>2213</v>
      </c>
      <c r="L204" s="2" t="s">
        <v>2214</v>
      </c>
      <c r="M204" s="3" t="s">
        <v>243</v>
      </c>
      <c r="O204" s="3" t="s">
        <v>64</v>
      </c>
      <c r="P204" s="3" t="s">
        <v>1921</v>
      </c>
      <c r="Q204" s="2" t="s">
        <v>2215</v>
      </c>
      <c r="R204" s="3" t="s">
        <v>1907</v>
      </c>
      <c r="S204" s="4">
        <v>25</v>
      </c>
      <c r="T204" s="4">
        <v>25</v>
      </c>
      <c r="U204" s="5" t="s">
        <v>2192</v>
      </c>
      <c r="V204" s="5" t="s">
        <v>2192</v>
      </c>
      <c r="W204" s="5" t="s">
        <v>2216</v>
      </c>
      <c r="X204" s="5" t="s">
        <v>2216</v>
      </c>
      <c r="Y204" s="4">
        <v>66</v>
      </c>
      <c r="Z204" s="4">
        <v>43</v>
      </c>
      <c r="AA204" s="4">
        <v>156</v>
      </c>
      <c r="AB204" s="4">
        <v>1</v>
      </c>
      <c r="AC204" s="4">
        <v>1</v>
      </c>
      <c r="AD204" s="4">
        <v>0</v>
      </c>
      <c r="AE204" s="4">
        <v>3</v>
      </c>
      <c r="AF204" s="4">
        <v>0</v>
      </c>
      <c r="AG204" s="4">
        <v>1</v>
      </c>
      <c r="AH204" s="4">
        <v>0</v>
      </c>
      <c r="AI204" s="4">
        <v>1</v>
      </c>
      <c r="AJ204" s="4">
        <v>0</v>
      </c>
      <c r="AK204" s="4">
        <v>1</v>
      </c>
      <c r="AL204" s="4">
        <v>0</v>
      </c>
      <c r="AM204" s="4">
        <v>0</v>
      </c>
      <c r="AN204" s="4">
        <v>0</v>
      </c>
      <c r="AO204" s="4">
        <v>0</v>
      </c>
      <c r="AP204" s="3" t="s">
        <v>58</v>
      </c>
      <c r="AQ204" s="3" t="s">
        <v>58</v>
      </c>
      <c r="AS204" s="6" t="str">
        <f>HYPERLINK("https://creighton-primo.hosted.exlibrisgroup.com/primo-explore/search?tab=default_tab&amp;search_scope=EVERYTHING&amp;vid=01CRU&amp;lang=en_US&amp;offset=0&amp;query=any,contains,991001238369702656","Catalog Record")</f>
        <v>Catalog Record</v>
      </c>
      <c r="AT204" s="6" t="str">
        <f>HYPERLINK("http://www.worldcat.org/oclc/14378896","WorldCat Record")</f>
        <v>WorldCat Record</v>
      </c>
    </row>
    <row r="205" spans="1:46" ht="40.5" customHeight="1" x14ac:dyDescent="0.25">
      <c r="A205" s="8" t="s">
        <v>58</v>
      </c>
      <c r="B205" s="2" t="s">
        <v>2217</v>
      </c>
      <c r="C205" s="2" t="s">
        <v>2218</v>
      </c>
      <c r="D205" s="2" t="s">
        <v>2219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K205" s="2" t="s">
        <v>2220</v>
      </c>
      <c r="L205" s="2" t="s">
        <v>2221</v>
      </c>
      <c r="M205" s="3" t="s">
        <v>155</v>
      </c>
      <c r="N205" s="2" t="s">
        <v>1315</v>
      </c>
      <c r="O205" s="3" t="s">
        <v>64</v>
      </c>
      <c r="P205" s="3" t="s">
        <v>83</v>
      </c>
      <c r="Q205" s="2" t="s">
        <v>2222</v>
      </c>
      <c r="R205" s="3" t="s">
        <v>1907</v>
      </c>
      <c r="S205" s="4">
        <v>13</v>
      </c>
      <c r="T205" s="4">
        <v>13</v>
      </c>
      <c r="U205" s="5" t="s">
        <v>2223</v>
      </c>
      <c r="V205" s="5" t="s">
        <v>2223</v>
      </c>
      <c r="W205" s="5" t="s">
        <v>2224</v>
      </c>
      <c r="X205" s="5" t="s">
        <v>2224</v>
      </c>
      <c r="Y205" s="4">
        <v>51</v>
      </c>
      <c r="Z205" s="4">
        <v>41</v>
      </c>
      <c r="AA205" s="4">
        <v>94</v>
      </c>
      <c r="AB205" s="4">
        <v>1</v>
      </c>
      <c r="AC205" s="4">
        <v>1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3" t="s">
        <v>58</v>
      </c>
      <c r="AQ205" s="3" t="s">
        <v>58</v>
      </c>
      <c r="AS205" s="6" t="str">
        <f>HYPERLINK("https://creighton-primo.hosted.exlibrisgroup.com/primo-explore/search?tab=default_tab&amp;search_scope=EVERYTHING&amp;vid=01CRU&amp;lang=en_US&amp;offset=0&amp;query=any,contains,991000995209702656","Catalog Record")</f>
        <v>Catalog Record</v>
      </c>
      <c r="AT205" s="6" t="str">
        <f>HYPERLINK("http://www.worldcat.org/oclc/1207578","WorldCat Record")</f>
        <v>WorldCat Record</v>
      </c>
    </row>
    <row r="206" spans="1:46" ht="40.5" customHeight="1" x14ac:dyDescent="0.25">
      <c r="A206" s="8" t="s">
        <v>58</v>
      </c>
      <c r="B206" s="2" t="s">
        <v>2225</v>
      </c>
      <c r="C206" s="2" t="s">
        <v>2226</v>
      </c>
      <c r="D206" s="2" t="s">
        <v>2227</v>
      </c>
      <c r="F206" s="3" t="s">
        <v>58</v>
      </c>
      <c r="G206" s="3" t="s">
        <v>59</v>
      </c>
      <c r="H206" s="3" t="s">
        <v>58</v>
      </c>
      <c r="I206" s="3" t="s">
        <v>69</v>
      </c>
      <c r="J206" s="3" t="s">
        <v>60</v>
      </c>
      <c r="K206" s="2" t="s">
        <v>2228</v>
      </c>
      <c r="L206" s="2" t="s">
        <v>2229</v>
      </c>
      <c r="M206" s="3" t="s">
        <v>63</v>
      </c>
      <c r="N206" s="2" t="s">
        <v>2047</v>
      </c>
      <c r="O206" s="3" t="s">
        <v>64</v>
      </c>
      <c r="P206" s="3" t="s">
        <v>83</v>
      </c>
      <c r="Q206" s="2" t="s">
        <v>2230</v>
      </c>
      <c r="R206" s="3" t="s">
        <v>1907</v>
      </c>
      <c r="S206" s="4">
        <v>36</v>
      </c>
      <c r="T206" s="4">
        <v>36</v>
      </c>
      <c r="U206" s="5" t="s">
        <v>2231</v>
      </c>
      <c r="V206" s="5" t="s">
        <v>2231</v>
      </c>
      <c r="W206" s="5" t="s">
        <v>2011</v>
      </c>
      <c r="X206" s="5" t="s">
        <v>2011</v>
      </c>
      <c r="Y206" s="4">
        <v>64</v>
      </c>
      <c r="Z206" s="4">
        <v>46</v>
      </c>
      <c r="AA206" s="4">
        <v>94</v>
      </c>
      <c r="AB206" s="4">
        <v>1</v>
      </c>
      <c r="AC206" s="4">
        <v>1</v>
      </c>
      <c r="AD206" s="4">
        <v>0</v>
      </c>
      <c r="AE206" s="4">
        <v>1</v>
      </c>
      <c r="AF206" s="4">
        <v>0</v>
      </c>
      <c r="AG206" s="4">
        <v>0</v>
      </c>
      <c r="AH206" s="4">
        <v>0</v>
      </c>
      <c r="AI206" s="4">
        <v>1</v>
      </c>
      <c r="AJ206" s="4">
        <v>0</v>
      </c>
      <c r="AK206" s="4">
        <v>1</v>
      </c>
      <c r="AL206" s="4">
        <v>0</v>
      </c>
      <c r="AM206" s="4">
        <v>0</v>
      </c>
      <c r="AN206" s="4">
        <v>0</v>
      </c>
      <c r="AO206" s="4">
        <v>0</v>
      </c>
      <c r="AP206" s="3" t="s">
        <v>58</v>
      </c>
      <c r="AQ206" s="3" t="s">
        <v>69</v>
      </c>
      <c r="AR206" s="6" t="str">
        <f>HYPERLINK("http://catalog.hathitrust.org/Record/008385801","HathiTrust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HYPERLINK("https://creighton-primo.hosted.exlibrisgroup.com/primo-explore/search?tab=default_tab&amp;search_scope=EVERYTHING&amp;vid=01CRU&amp;lang=en_US&amp;offset=0&amp;query=any,contains,991000749019702656","Catalog Record")</f>
        <v>Catalog Record</v>
      </c>
      <c r="AT206" s="6" t="str">
        <f>HYPERLINK("http://www.worldcat.org/oclc/11185592","WorldCat Record")</f>
        <v>WorldCat Record</v>
      </c>
    </row>
    <row r="207" spans="1:46" ht="40.5" customHeight="1" x14ac:dyDescent="0.25">
      <c r="A207" s="8" t="s">
        <v>58</v>
      </c>
      <c r="B207" s="2" t="s">
        <v>2232</v>
      </c>
      <c r="C207" s="2" t="s">
        <v>2233</v>
      </c>
      <c r="D207" s="2" t="s">
        <v>2234</v>
      </c>
      <c r="F207" s="3" t="s">
        <v>58</v>
      </c>
      <c r="G207" s="3" t="s">
        <v>59</v>
      </c>
      <c r="H207" s="3" t="s">
        <v>58</v>
      </c>
      <c r="I207" s="3" t="s">
        <v>69</v>
      </c>
      <c r="J207" s="3" t="s">
        <v>60</v>
      </c>
      <c r="K207" s="2" t="s">
        <v>2228</v>
      </c>
      <c r="L207" s="2" t="s">
        <v>2235</v>
      </c>
      <c r="M207" s="3" t="s">
        <v>243</v>
      </c>
      <c r="N207" s="2" t="s">
        <v>1357</v>
      </c>
      <c r="O207" s="3" t="s">
        <v>64</v>
      </c>
      <c r="P207" s="3" t="s">
        <v>1921</v>
      </c>
      <c r="Q207" s="2" t="s">
        <v>2230</v>
      </c>
      <c r="R207" s="3" t="s">
        <v>1907</v>
      </c>
      <c r="S207" s="4">
        <v>8</v>
      </c>
      <c r="T207" s="4">
        <v>8</v>
      </c>
      <c r="U207" s="5" t="s">
        <v>2236</v>
      </c>
      <c r="V207" s="5" t="s">
        <v>2236</v>
      </c>
      <c r="W207" s="5" t="s">
        <v>2237</v>
      </c>
      <c r="X207" s="5" t="s">
        <v>2237</v>
      </c>
      <c r="Y207" s="4">
        <v>12</v>
      </c>
      <c r="Z207" s="4">
        <v>12</v>
      </c>
      <c r="AA207" s="4">
        <v>94</v>
      </c>
      <c r="AB207" s="4">
        <v>1</v>
      </c>
      <c r="AC207" s="4">
        <v>1</v>
      </c>
      <c r="AD207" s="4">
        <v>0</v>
      </c>
      <c r="AE207" s="4">
        <v>1</v>
      </c>
      <c r="AF207" s="4">
        <v>0</v>
      </c>
      <c r="AG207" s="4">
        <v>0</v>
      </c>
      <c r="AH207" s="4">
        <v>0</v>
      </c>
      <c r="AI207" s="4">
        <v>1</v>
      </c>
      <c r="AJ207" s="4">
        <v>0</v>
      </c>
      <c r="AK207" s="4">
        <v>1</v>
      </c>
      <c r="AL207" s="4">
        <v>0</v>
      </c>
      <c r="AM207" s="4">
        <v>0</v>
      </c>
      <c r="AN207" s="4">
        <v>0</v>
      </c>
      <c r="AO207" s="4">
        <v>0</v>
      </c>
      <c r="AP207" s="3" t="s">
        <v>58</v>
      </c>
      <c r="AQ207" s="3" t="s">
        <v>58</v>
      </c>
      <c r="AS207" s="6" t="str">
        <f>HYPERLINK("https://creighton-primo.hosted.exlibrisgroup.com/primo-explore/search?tab=default_tab&amp;search_scope=EVERYTHING&amp;vid=01CRU&amp;lang=en_US&amp;offset=0&amp;query=any,contains,991001528929702656","Catalog Record")</f>
        <v>Catalog Record</v>
      </c>
      <c r="AT207" s="6" t="str">
        <f>HYPERLINK("http://www.worldcat.org/oclc/16439224","WorldCat Record")</f>
        <v>WorldCat Record</v>
      </c>
    </row>
    <row r="208" spans="1:46" ht="40.5" customHeight="1" x14ac:dyDescent="0.25">
      <c r="A208" s="8" t="s">
        <v>58</v>
      </c>
      <c r="B208" s="2" t="s">
        <v>2238</v>
      </c>
      <c r="C208" s="2" t="s">
        <v>2239</v>
      </c>
      <c r="D208" s="2" t="s">
        <v>2240</v>
      </c>
      <c r="F208" s="3" t="s">
        <v>58</v>
      </c>
      <c r="G208" s="3" t="s">
        <v>59</v>
      </c>
      <c r="H208" s="3" t="s">
        <v>58</v>
      </c>
      <c r="I208" s="3" t="s">
        <v>69</v>
      </c>
      <c r="J208" s="3" t="s">
        <v>60</v>
      </c>
      <c r="K208" s="2" t="s">
        <v>2241</v>
      </c>
      <c r="L208" s="2" t="s">
        <v>2242</v>
      </c>
      <c r="M208" s="3" t="s">
        <v>540</v>
      </c>
      <c r="N208" s="2" t="s">
        <v>271</v>
      </c>
      <c r="O208" s="3" t="s">
        <v>64</v>
      </c>
      <c r="P208" s="3" t="s">
        <v>2018</v>
      </c>
      <c r="Q208" s="2" t="s">
        <v>2243</v>
      </c>
      <c r="R208" s="3" t="s">
        <v>1907</v>
      </c>
      <c r="S208" s="4">
        <v>97</v>
      </c>
      <c r="T208" s="4">
        <v>97</v>
      </c>
      <c r="U208" s="5" t="s">
        <v>2244</v>
      </c>
      <c r="V208" s="5" t="s">
        <v>2244</v>
      </c>
      <c r="W208" s="5" t="s">
        <v>2245</v>
      </c>
      <c r="X208" s="5" t="s">
        <v>2245</v>
      </c>
      <c r="Y208" s="4">
        <v>73</v>
      </c>
      <c r="Z208" s="4">
        <v>61</v>
      </c>
      <c r="AA208" s="4">
        <v>295</v>
      </c>
      <c r="AB208" s="4">
        <v>1</v>
      </c>
      <c r="AC208" s="4">
        <v>3</v>
      </c>
      <c r="AD208" s="4">
        <v>1</v>
      </c>
      <c r="AE208" s="4">
        <v>9</v>
      </c>
      <c r="AF208" s="4">
        <v>0</v>
      </c>
      <c r="AG208" s="4">
        <v>1</v>
      </c>
      <c r="AH208" s="4">
        <v>0</v>
      </c>
      <c r="AI208" s="4">
        <v>1</v>
      </c>
      <c r="AJ208" s="4">
        <v>1</v>
      </c>
      <c r="AK208" s="4">
        <v>5</v>
      </c>
      <c r="AL208" s="4">
        <v>0</v>
      </c>
      <c r="AM208" s="4">
        <v>2</v>
      </c>
      <c r="AN208" s="4">
        <v>0</v>
      </c>
      <c r="AO208" s="4">
        <v>0</v>
      </c>
      <c r="AP208" s="3" t="s">
        <v>58</v>
      </c>
      <c r="AQ208" s="3" t="s">
        <v>69</v>
      </c>
      <c r="AR208" s="6" t="str">
        <f>HYPERLINK("http://catalog.hathitrust.org/Record/002528841","HathiTrust Record")</f>
        <v>HathiTrust Record</v>
      </c>
      <c r="AS208" s="6" t="str">
        <f>HYPERLINK("https://creighton-primo.hosted.exlibrisgroup.com/primo-explore/search?tab=default_tab&amp;search_scope=EVERYTHING&amp;vid=01CRU&amp;lang=en_US&amp;offset=0&amp;query=any,contains,991001023199702656","Catalog Record")</f>
        <v>Catalog Record</v>
      </c>
      <c r="AT208" s="6" t="str">
        <f>HYPERLINK("http://www.worldcat.org/oclc/24704681","WorldCat Record")</f>
        <v>WorldCat Record</v>
      </c>
    </row>
    <row r="209" spans="1:46" ht="40.5" customHeight="1" x14ac:dyDescent="0.25">
      <c r="A209" s="8" t="s">
        <v>58</v>
      </c>
      <c r="B209" s="2" t="s">
        <v>2246</v>
      </c>
      <c r="C209" s="2" t="s">
        <v>2247</v>
      </c>
      <c r="D209" s="2" t="s">
        <v>2248</v>
      </c>
      <c r="F209" s="3" t="s">
        <v>58</v>
      </c>
      <c r="G209" s="3" t="s">
        <v>59</v>
      </c>
      <c r="H209" s="3" t="s">
        <v>58</v>
      </c>
      <c r="I209" s="3" t="s">
        <v>58</v>
      </c>
      <c r="J209" s="3" t="s">
        <v>60</v>
      </c>
      <c r="L209" s="2" t="s">
        <v>2249</v>
      </c>
      <c r="M209" s="3" t="s">
        <v>884</v>
      </c>
      <c r="O209" s="3" t="s">
        <v>64</v>
      </c>
      <c r="P209" s="3" t="s">
        <v>1921</v>
      </c>
      <c r="Q209" s="2" t="s">
        <v>2250</v>
      </c>
      <c r="R209" s="3" t="s">
        <v>1907</v>
      </c>
      <c r="S209" s="4">
        <v>8</v>
      </c>
      <c r="T209" s="4">
        <v>8</v>
      </c>
      <c r="U209" s="5" t="s">
        <v>2251</v>
      </c>
      <c r="V209" s="5" t="s">
        <v>2251</v>
      </c>
      <c r="W209" s="5" t="s">
        <v>2011</v>
      </c>
      <c r="X209" s="5" t="s">
        <v>2011</v>
      </c>
      <c r="Y209" s="4">
        <v>154</v>
      </c>
      <c r="Z209" s="4">
        <v>100</v>
      </c>
      <c r="AA209" s="4">
        <v>162</v>
      </c>
      <c r="AB209" s="4">
        <v>1</v>
      </c>
      <c r="AC209" s="4">
        <v>1</v>
      </c>
      <c r="AD209" s="4">
        <v>3</v>
      </c>
      <c r="AE209" s="4">
        <v>4</v>
      </c>
      <c r="AF209" s="4">
        <v>2</v>
      </c>
      <c r="AG209" s="4">
        <v>2</v>
      </c>
      <c r="AH209" s="4">
        <v>1</v>
      </c>
      <c r="AI209" s="4">
        <v>2</v>
      </c>
      <c r="AJ209" s="4">
        <v>1</v>
      </c>
      <c r="AK209" s="4">
        <v>1</v>
      </c>
      <c r="AL209" s="4">
        <v>0</v>
      </c>
      <c r="AM209" s="4">
        <v>0</v>
      </c>
      <c r="AN209" s="4">
        <v>0</v>
      </c>
      <c r="AO209" s="4">
        <v>0</v>
      </c>
      <c r="AP209" s="3" t="s">
        <v>58</v>
      </c>
      <c r="AQ209" s="3" t="s">
        <v>58</v>
      </c>
      <c r="AS209" s="6" t="str">
        <f>HYPERLINK("https://creighton-primo.hosted.exlibrisgroup.com/primo-explore/search?tab=default_tab&amp;search_scope=EVERYTHING&amp;vid=01CRU&amp;lang=en_US&amp;offset=0&amp;query=any,contains,991000748979702656","Catalog Record")</f>
        <v>Catalog Record</v>
      </c>
      <c r="AT209" s="6" t="str">
        <f>HYPERLINK("http://www.worldcat.org/oclc/11291107","WorldCat Record")</f>
        <v>WorldCat Record</v>
      </c>
    </row>
    <row r="210" spans="1:46" ht="40.5" customHeight="1" x14ac:dyDescent="0.25">
      <c r="A210" s="8" t="s">
        <v>58</v>
      </c>
      <c r="B210" s="2" t="s">
        <v>2252</v>
      </c>
      <c r="C210" s="2" t="s">
        <v>2253</v>
      </c>
      <c r="D210" s="2" t="s">
        <v>2254</v>
      </c>
      <c r="F210" s="3" t="s">
        <v>58</v>
      </c>
      <c r="G210" s="3" t="s">
        <v>59</v>
      </c>
      <c r="H210" s="3" t="s">
        <v>58</v>
      </c>
      <c r="I210" s="3" t="s">
        <v>69</v>
      </c>
      <c r="J210" s="3" t="s">
        <v>60</v>
      </c>
      <c r="L210" s="2" t="s">
        <v>2255</v>
      </c>
      <c r="M210" s="3" t="s">
        <v>1632</v>
      </c>
      <c r="N210" s="2" t="s">
        <v>1315</v>
      </c>
      <c r="O210" s="3" t="s">
        <v>64</v>
      </c>
      <c r="P210" s="3" t="s">
        <v>1921</v>
      </c>
      <c r="Q210" s="2" t="s">
        <v>2256</v>
      </c>
      <c r="R210" s="3" t="s">
        <v>1907</v>
      </c>
      <c r="S210" s="4">
        <v>15</v>
      </c>
      <c r="T210" s="4">
        <v>15</v>
      </c>
      <c r="U210" s="5" t="s">
        <v>2257</v>
      </c>
      <c r="V210" s="5" t="s">
        <v>2257</v>
      </c>
      <c r="W210" s="5" t="s">
        <v>2258</v>
      </c>
      <c r="X210" s="5" t="s">
        <v>2258</v>
      </c>
      <c r="Y210" s="4">
        <v>49</v>
      </c>
      <c r="Z210" s="4">
        <v>37</v>
      </c>
      <c r="AA210" s="4">
        <v>1120</v>
      </c>
      <c r="AB210" s="4">
        <v>1</v>
      </c>
      <c r="AC210" s="4">
        <v>4</v>
      </c>
      <c r="AD210" s="4">
        <v>0</v>
      </c>
      <c r="AE210" s="4">
        <v>21</v>
      </c>
      <c r="AF210" s="4">
        <v>0</v>
      </c>
      <c r="AG210" s="4">
        <v>8</v>
      </c>
      <c r="AH210" s="4">
        <v>0</v>
      </c>
      <c r="AI210" s="4">
        <v>7</v>
      </c>
      <c r="AJ210" s="4">
        <v>0</v>
      </c>
      <c r="AK210" s="4">
        <v>8</v>
      </c>
      <c r="AL210" s="4">
        <v>0</v>
      </c>
      <c r="AM210" s="4">
        <v>2</v>
      </c>
      <c r="AN210" s="4">
        <v>0</v>
      </c>
      <c r="AO210" s="4">
        <v>0</v>
      </c>
      <c r="AP210" s="3" t="s">
        <v>58</v>
      </c>
      <c r="AQ210" s="3" t="s">
        <v>58</v>
      </c>
      <c r="AS210" s="6" t="str">
        <f>HYPERLINK("https://creighton-primo.hosted.exlibrisgroup.com/primo-explore/search?tab=default_tab&amp;search_scope=EVERYTHING&amp;vid=01CRU&amp;lang=en_US&amp;offset=0&amp;query=any,contains,991001107819702656","Catalog Record")</f>
        <v>Catalog Record</v>
      </c>
      <c r="AT210" s="6" t="str">
        <f>HYPERLINK("http://www.worldcat.org/oclc/16806294","WorldCat Record")</f>
        <v>WorldCat Record</v>
      </c>
    </row>
    <row r="211" spans="1:46" ht="40.5" customHeight="1" x14ac:dyDescent="0.25">
      <c r="A211" s="8" t="s">
        <v>58</v>
      </c>
      <c r="B211" s="2" t="s">
        <v>2259</v>
      </c>
      <c r="C211" s="2" t="s">
        <v>2260</v>
      </c>
      <c r="D211" s="2" t="s">
        <v>2261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L211" s="2" t="s">
        <v>2262</v>
      </c>
      <c r="M211" s="3" t="s">
        <v>2263</v>
      </c>
      <c r="N211" s="2" t="s">
        <v>2264</v>
      </c>
      <c r="O211" s="3" t="s">
        <v>64</v>
      </c>
      <c r="P211" s="3" t="s">
        <v>186</v>
      </c>
      <c r="R211" s="3" t="s">
        <v>1907</v>
      </c>
      <c r="S211" s="4">
        <v>55</v>
      </c>
      <c r="T211" s="4">
        <v>55</v>
      </c>
      <c r="U211" s="5" t="s">
        <v>2265</v>
      </c>
      <c r="V211" s="5" t="s">
        <v>2265</v>
      </c>
      <c r="W211" s="5" t="s">
        <v>2266</v>
      </c>
      <c r="X211" s="5" t="s">
        <v>2266</v>
      </c>
      <c r="Y211" s="4">
        <v>126</v>
      </c>
      <c r="Z211" s="4">
        <v>88</v>
      </c>
      <c r="AA211" s="4">
        <v>454</v>
      </c>
      <c r="AB211" s="4">
        <v>1</v>
      </c>
      <c r="AC211" s="4">
        <v>4</v>
      </c>
      <c r="AD211" s="4">
        <v>4</v>
      </c>
      <c r="AE211" s="4">
        <v>14</v>
      </c>
      <c r="AF211" s="4">
        <v>3</v>
      </c>
      <c r="AG211" s="4">
        <v>3</v>
      </c>
      <c r="AH211" s="4">
        <v>1</v>
      </c>
      <c r="AI211" s="4">
        <v>5</v>
      </c>
      <c r="AJ211" s="4">
        <v>2</v>
      </c>
      <c r="AK211" s="4">
        <v>6</v>
      </c>
      <c r="AL211" s="4">
        <v>0</v>
      </c>
      <c r="AM211" s="4">
        <v>3</v>
      </c>
      <c r="AN211" s="4">
        <v>0</v>
      </c>
      <c r="AO211" s="4">
        <v>0</v>
      </c>
      <c r="AP211" s="3" t="s">
        <v>58</v>
      </c>
      <c r="AQ211" s="3" t="s">
        <v>58</v>
      </c>
      <c r="AS211" s="6" t="str">
        <f>HYPERLINK("https://creighton-primo.hosted.exlibrisgroup.com/primo-explore/search?tab=default_tab&amp;search_scope=EVERYTHING&amp;vid=01CRU&amp;lang=en_US&amp;offset=0&amp;query=any,contains,991001532169702656","Catalog Record")</f>
        <v>Catalog Record</v>
      </c>
      <c r="AT211" s="6" t="str">
        <f>HYPERLINK("http://www.worldcat.org/oclc/36783811","WorldCat Record")</f>
        <v>WorldCat Record</v>
      </c>
    </row>
    <row r="212" spans="1:46" ht="40.5" customHeight="1" x14ac:dyDescent="0.25">
      <c r="A212" s="8" t="s">
        <v>58</v>
      </c>
      <c r="B212" s="2" t="s">
        <v>2267</v>
      </c>
      <c r="C212" s="2" t="s">
        <v>2268</v>
      </c>
      <c r="D212" s="2" t="s">
        <v>2269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2270</v>
      </c>
      <c r="L212" s="2" t="s">
        <v>2271</v>
      </c>
      <c r="M212" s="3" t="s">
        <v>112</v>
      </c>
      <c r="O212" s="3" t="s">
        <v>64</v>
      </c>
      <c r="P212" s="3" t="s">
        <v>83</v>
      </c>
      <c r="R212" s="3" t="s">
        <v>1907</v>
      </c>
      <c r="S212" s="4">
        <v>6</v>
      </c>
      <c r="T212" s="4">
        <v>6</v>
      </c>
      <c r="U212" s="5" t="s">
        <v>2272</v>
      </c>
      <c r="V212" s="5" t="s">
        <v>2272</v>
      </c>
      <c r="W212" s="5" t="s">
        <v>1923</v>
      </c>
      <c r="X212" s="5" t="s">
        <v>1923</v>
      </c>
      <c r="Y212" s="4">
        <v>118</v>
      </c>
      <c r="Z212" s="4">
        <v>91</v>
      </c>
      <c r="AA212" s="4">
        <v>91</v>
      </c>
      <c r="AB212" s="4">
        <v>2</v>
      </c>
      <c r="AC212" s="4">
        <v>2</v>
      </c>
      <c r="AD212" s="4">
        <v>1</v>
      </c>
      <c r="AE212" s="4">
        <v>1</v>
      </c>
      <c r="AF212" s="4">
        <v>1</v>
      </c>
      <c r="AG212" s="4">
        <v>1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3" t="s">
        <v>58</v>
      </c>
      <c r="AQ212" s="3" t="s">
        <v>58</v>
      </c>
      <c r="AS212" s="6" t="str">
        <f>HYPERLINK("https://creighton-primo.hosted.exlibrisgroup.com/primo-explore/search?tab=default_tab&amp;search_scope=EVERYTHING&amp;vid=01CRU&amp;lang=en_US&amp;offset=0&amp;query=any,contains,991000995169702656","Catalog Record")</f>
        <v>Catalog Record</v>
      </c>
      <c r="AT212" s="6" t="str">
        <f>HYPERLINK("http://www.worldcat.org/oclc/3913163","WorldCat Record")</f>
        <v>WorldCat Record</v>
      </c>
    </row>
    <row r="213" spans="1:46" ht="40.5" customHeight="1" x14ac:dyDescent="0.25">
      <c r="A213" s="8" t="s">
        <v>58</v>
      </c>
      <c r="B213" s="2" t="s">
        <v>2273</v>
      </c>
      <c r="C213" s="2" t="s">
        <v>2274</v>
      </c>
      <c r="D213" s="2" t="s">
        <v>2275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K213" s="2" t="s">
        <v>2276</v>
      </c>
      <c r="L213" s="2" t="s">
        <v>2277</v>
      </c>
      <c r="M213" s="3" t="s">
        <v>185</v>
      </c>
      <c r="N213" s="2" t="s">
        <v>271</v>
      </c>
      <c r="O213" s="3" t="s">
        <v>64</v>
      </c>
      <c r="P213" s="3" t="s">
        <v>2018</v>
      </c>
      <c r="Q213" s="2" t="s">
        <v>2278</v>
      </c>
      <c r="R213" s="3" t="s">
        <v>1907</v>
      </c>
      <c r="S213" s="4">
        <v>35</v>
      </c>
      <c r="T213" s="4">
        <v>35</v>
      </c>
      <c r="U213" s="5" t="s">
        <v>2279</v>
      </c>
      <c r="V213" s="5" t="s">
        <v>2279</v>
      </c>
      <c r="W213" s="5" t="s">
        <v>2280</v>
      </c>
      <c r="X213" s="5" t="s">
        <v>2280</v>
      </c>
      <c r="Y213" s="4">
        <v>52</v>
      </c>
      <c r="Z213" s="4">
        <v>34</v>
      </c>
      <c r="AA213" s="4">
        <v>159</v>
      </c>
      <c r="AB213" s="4">
        <v>1</v>
      </c>
      <c r="AC213" s="4">
        <v>1</v>
      </c>
      <c r="AD213" s="4">
        <v>1</v>
      </c>
      <c r="AE213" s="4">
        <v>2</v>
      </c>
      <c r="AF213" s="4">
        <v>0</v>
      </c>
      <c r="AG213" s="4">
        <v>1</v>
      </c>
      <c r="AH213" s="4">
        <v>1</v>
      </c>
      <c r="AI213" s="4">
        <v>1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3" t="s">
        <v>58</v>
      </c>
      <c r="AQ213" s="3" t="s">
        <v>58</v>
      </c>
      <c r="AS213" s="6" t="str">
        <f>HYPERLINK("https://creighton-primo.hosted.exlibrisgroup.com/primo-explore/search?tab=default_tab&amp;search_scope=EVERYTHING&amp;vid=01CRU&amp;lang=en_US&amp;offset=0&amp;query=any,contains,991001398759702656","Catalog Record")</f>
        <v>Catalog Record</v>
      </c>
      <c r="AT213" s="6" t="str">
        <f>HYPERLINK("http://www.worldcat.org/oclc/27379719","WorldCat Record")</f>
        <v>WorldCat Record</v>
      </c>
    </row>
    <row r="214" spans="1:46" ht="40.5" customHeight="1" x14ac:dyDescent="0.25">
      <c r="A214" s="8" t="s">
        <v>58</v>
      </c>
      <c r="B214" s="2" t="s">
        <v>2281</v>
      </c>
      <c r="C214" s="2" t="s">
        <v>2282</v>
      </c>
      <c r="D214" s="2" t="s">
        <v>2283</v>
      </c>
      <c r="F214" s="3" t="s">
        <v>58</v>
      </c>
      <c r="G214" s="3" t="s">
        <v>59</v>
      </c>
      <c r="H214" s="3" t="s">
        <v>58</v>
      </c>
      <c r="I214" s="3" t="s">
        <v>69</v>
      </c>
      <c r="J214" s="3" t="s">
        <v>60</v>
      </c>
      <c r="K214" s="2" t="s">
        <v>2241</v>
      </c>
      <c r="L214" s="2" t="s">
        <v>2284</v>
      </c>
      <c r="M214" s="3" t="s">
        <v>1758</v>
      </c>
      <c r="N214" s="2" t="s">
        <v>1941</v>
      </c>
      <c r="O214" s="3" t="s">
        <v>64</v>
      </c>
      <c r="P214" s="3" t="s">
        <v>83</v>
      </c>
      <c r="R214" s="3" t="s">
        <v>1907</v>
      </c>
      <c r="S214" s="4">
        <v>29</v>
      </c>
      <c r="T214" s="4">
        <v>29</v>
      </c>
      <c r="U214" s="5" t="s">
        <v>1928</v>
      </c>
      <c r="V214" s="5" t="s">
        <v>1928</v>
      </c>
      <c r="W214" s="5" t="s">
        <v>2285</v>
      </c>
      <c r="X214" s="5" t="s">
        <v>2285</v>
      </c>
      <c r="Y214" s="4">
        <v>104</v>
      </c>
      <c r="Z214" s="4">
        <v>55</v>
      </c>
      <c r="AA214" s="4">
        <v>295</v>
      </c>
      <c r="AB214" s="4">
        <v>1</v>
      </c>
      <c r="AC214" s="4">
        <v>3</v>
      </c>
      <c r="AD214" s="4">
        <v>1</v>
      </c>
      <c r="AE214" s="4">
        <v>9</v>
      </c>
      <c r="AF214" s="4">
        <v>0</v>
      </c>
      <c r="AG214" s="4">
        <v>1</v>
      </c>
      <c r="AH214" s="4">
        <v>0</v>
      </c>
      <c r="AI214" s="4">
        <v>1</v>
      </c>
      <c r="AJ214" s="4">
        <v>1</v>
      </c>
      <c r="AK214" s="4">
        <v>5</v>
      </c>
      <c r="AL214" s="4">
        <v>0</v>
      </c>
      <c r="AM214" s="4">
        <v>2</v>
      </c>
      <c r="AN214" s="4">
        <v>0</v>
      </c>
      <c r="AO214" s="4">
        <v>0</v>
      </c>
      <c r="AP214" s="3" t="s">
        <v>58</v>
      </c>
      <c r="AQ214" s="3" t="s">
        <v>58</v>
      </c>
      <c r="AS214" s="6" t="str">
        <f>HYPERLINK("https://creighton-primo.hosted.exlibrisgroup.com/primo-explore/search?tab=default_tab&amp;search_scope=EVERYTHING&amp;vid=01CRU&amp;lang=en_US&amp;offset=0&amp;query=any,contains,991000336069702656","Catalog Record")</f>
        <v>Catalog Record</v>
      </c>
      <c r="AT214" s="6" t="str">
        <f>HYPERLINK("http://www.worldcat.org/oclc/50334431","WorldCat Record")</f>
        <v>WorldCat Record</v>
      </c>
    </row>
    <row r="215" spans="1:46" ht="40.5" customHeight="1" x14ac:dyDescent="0.25">
      <c r="A215" s="8" t="s">
        <v>58</v>
      </c>
      <c r="B215" s="2" t="s">
        <v>2286</v>
      </c>
      <c r="C215" s="2" t="s">
        <v>2287</v>
      </c>
      <c r="D215" s="2" t="s">
        <v>2288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K215" s="2" t="s">
        <v>2289</v>
      </c>
      <c r="L215" s="2" t="s">
        <v>2290</v>
      </c>
      <c r="M215" s="3" t="s">
        <v>126</v>
      </c>
      <c r="N215" s="2" t="s">
        <v>2291</v>
      </c>
      <c r="O215" s="3" t="s">
        <v>64</v>
      </c>
      <c r="P215" s="3" t="s">
        <v>172</v>
      </c>
      <c r="R215" s="3" t="s">
        <v>1907</v>
      </c>
      <c r="S215" s="4">
        <v>6</v>
      </c>
      <c r="T215" s="4">
        <v>6</v>
      </c>
      <c r="U215" s="5" t="s">
        <v>2292</v>
      </c>
      <c r="V215" s="5" t="s">
        <v>2292</v>
      </c>
      <c r="W215" s="5" t="s">
        <v>2293</v>
      </c>
      <c r="X215" s="5" t="s">
        <v>2293</v>
      </c>
      <c r="Y215" s="4">
        <v>25</v>
      </c>
      <c r="Z215" s="4">
        <v>14</v>
      </c>
      <c r="AA215" s="4">
        <v>14</v>
      </c>
      <c r="AB215" s="4">
        <v>1</v>
      </c>
      <c r="AC215" s="4">
        <v>1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3" t="s">
        <v>58</v>
      </c>
      <c r="AQ215" s="3" t="s">
        <v>58</v>
      </c>
      <c r="AS215" s="6" t="str">
        <f>HYPERLINK("https://creighton-primo.hosted.exlibrisgroup.com/primo-explore/search?tab=default_tab&amp;search_scope=EVERYTHING&amp;vid=01CRU&amp;lang=en_US&amp;offset=0&amp;query=any,contains,991000644669702656","Catalog Record")</f>
        <v>Catalog Record</v>
      </c>
      <c r="AT215" s="6" t="str">
        <f>HYPERLINK("http://www.worldcat.org/oclc/29908353","WorldCat Record")</f>
        <v>WorldCat Record</v>
      </c>
    </row>
    <row r="216" spans="1:46" ht="40.5" customHeight="1" x14ac:dyDescent="0.25">
      <c r="A216" s="8" t="s">
        <v>58</v>
      </c>
      <c r="B216" s="2" t="s">
        <v>2294</v>
      </c>
      <c r="C216" s="2" t="s">
        <v>2295</v>
      </c>
      <c r="D216" s="2" t="s">
        <v>2296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K216" s="2" t="s">
        <v>2297</v>
      </c>
      <c r="L216" s="2" t="s">
        <v>2298</v>
      </c>
      <c r="M216" s="3" t="s">
        <v>2263</v>
      </c>
      <c r="O216" s="3" t="s">
        <v>64</v>
      </c>
      <c r="P216" s="3" t="s">
        <v>113</v>
      </c>
      <c r="Q216" s="2" t="s">
        <v>2299</v>
      </c>
      <c r="R216" s="3" t="s">
        <v>1907</v>
      </c>
      <c r="S216" s="4">
        <v>4</v>
      </c>
      <c r="T216" s="4">
        <v>4</v>
      </c>
      <c r="U216" s="5" t="s">
        <v>2300</v>
      </c>
      <c r="V216" s="5" t="s">
        <v>2300</v>
      </c>
      <c r="W216" s="5" t="s">
        <v>2301</v>
      </c>
      <c r="X216" s="5" t="s">
        <v>2301</v>
      </c>
      <c r="Y216" s="4">
        <v>179</v>
      </c>
      <c r="Z216" s="4">
        <v>112</v>
      </c>
      <c r="AA216" s="4">
        <v>113</v>
      </c>
      <c r="AB216" s="4">
        <v>1</v>
      </c>
      <c r="AC216" s="4">
        <v>1</v>
      </c>
      <c r="AD216" s="4">
        <v>2</v>
      </c>
      <c r="AE216" s="4">
        <v>2</v>
      </c>
      <c r="AF216" s="4">
        <v>0</v>
      </c>
      <c r="AG216" s="4">
        <v>0</v>
      </c>
      <c r="AH216" s="4">
        <v>1</v>
      </c>
      <c r="AI216" s="4">
        <v>1</v>
      </c>
      <c r="AJ216" s="4">
        <v>2</v>
      </c>
      <c r="AK216" s="4">
        <v>2</v>
      </c>
      <c r="AL216" s="4">
        <v>0</v>
      </c>
      <c r="AM216" s="4">
        <v>0</v>
      </c>
      <c r="AN216" s="4">
        <v>0</v>
      </c>
      <c r="AO216" s="4">
        <v>0</v>
      </c>
      <c r="AP216" s="3" t="s">
        <v>58</v>
      </c>
      <c r="AQ216" s="3" t="s">
        <v>69</v>
      </c>
      <c r="AR216" s="6" t="str">
        <f>HYPERLINK("http://catalog.hathitrust.org/Record/003168477","HathiTrust Record")</f>
        <v>HathiTrust Record</v>
      </c>
      <c r="AS216" s="6" t="str">
        <f>HYPERLINK("https://creighton-primo.hosted.exlibrisgroup.com/primo-explore/search?tab=default_tab&amp;search_scope=EVERYTHING&amp;vid=01CRU&amp;lang=en_US&amp;offset=0&amp;query=any,contains,991000818099702656","Catalog Record")</f>
        <v>Catalog Record</v>
      </c>
      <c r="AT216" s="6" t="str">
        <f>HYPERLINK("http://www.worldcat.org/oclc/36225971","WorldCat Record")</f>
        <v>WorldCat Record</v>
      </c>
    </row>
    <row r="217" spans="1:46" ht="40.5" customHeight="1" x14ac:dyDescent="0.25">
      <c r="A217" s="8" t="s">
        <v>58</v>
      </c>
      <c r="B217" s="2" t="s">
        <v>2302</v>
      </c>
      <c r="C217" s="2" t="s">
        <v>2303</v>
      </c>
      <c r="D217" s="2" t="s">
        <v>2304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K217" s="2" t="s">
        <v>2305</v>
      </c>
      <c r="L217" s="2" t="s">
        <v>2306</v>
      </c>
      <c r="M217" s="3" t="s">
        <v>2307</v>
      </c>
      <c r="O217" s="3" t="s">
        <v>64</v>
      </c>
      <c r="P217" s="3" t="s">
        <v>83</v>
      </c>
      <c r="R217" s="3" t="s">
        <v>1907</v>
      </c>
      <c r="S217" s="4">
        <v>3</v>
      </c>
      <c r="T217" s="4">
        <v>3</v>
      </c>
      <c r="U217" s="5" t="s">
        <v>2257</v>
      </c>
      <c r="V217" s="5" t="s">
        <v>2257</v>
      </c>
      <c r="W217" s="5" t="s">
        <v>1923</v>
      </c>
      <c r="X217" s="5" t="s">
        <v>1923</v>
      </c>
      <c r="Y217" s="4">
        <v>97</v>
      </c>
      <c r="Z217" s="4">
        <v>77</v>
      </c>
      <c r="AA217" s="4">
        <v>130</v>
      </c>
      <c r="AB217" s="4">
        <v>1</v>
      </c>
      <c r="AC217" s="4">
        <v>2</v>
      </c>
      <c r="AD217" s="4">
        <v>1</v>
      </c>
      <c r="AE217" s="4">
        <v>3</v>
      </c>
      <c r="AF217" s="4">
        <v>1</v>
      </c>
      <c r="AG217" s="4">
        <v>1</v>
      </c>
      <c r="AH217" s="4">
        <v>0</v>
      </c>
      <c r="AI217" s="4">
        <v>1</v>
      </c>
      <c r="AJ217" s="4">
        <v>0</v>
      </c>
      <c r="AK217" s="4">
        <v>0</v>
      </c>
      <c r="AL217" s="4">
        <v>0</v>
      </c>
      <c r="AM217" s="4">
        <v>1</v>
      </c>
      <c r="AN217" s="4">
        <v>0</v>
      </c>
      <c r="AO217" s="4">
        <v>0</v>
      </c>
      <c r="AP217" s="3" t="s">
        <v>69</v>
      </c>
      <c r="AQ217" s="3" t="s">
        <v>58</v>
      </c>
      <c r="AR217" s="6" t="str">
        <f>HYPERLINK("http://catalog.hathitrust.org/Record/006496951","HathiTrust Record")</f>
        <v>HathiTrust Record</v>
      </c>
      <c r="AS217" s="6" t="str">
        <f>HYPERLINK("https://creighton-primo.hosted.exlibrisgroup.com/primo-explore/search?tab=default_tab&amp;search_scope=EVERYTHING&amp;vid=01CRU&amp;lang=en_US&amp;offset=0&amp;query=any,contains,991000994809702656","Catalog Record")</f>
        <v>Catalog Record</v>
      </c>
      <c r="AT217" s="6" t="str">
        <f>HYPERLINK("http://www.worldcat.org/oclc/3182025","WorldCat Record")</f>
        <v>WorldCat Record</v>
      </c>
    </row>
    <row r="218" spans="1:46" ht="40.5" customHeight="1" x14ac:dyDescent="0.25">
      <c r="A218" s="8" t="s">
        <v>58</v>
      </c>
      <c r="B218" s="2" t="s">
        <v>2308</v>
      </c>
      <c r="C218" s="2" t="s">
        <v>2309</v>
      </c>
      <c r="D218" s="2" t="s">
        <v>2310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L218" s="2" t="s">
        <v>2311</v>
      </c>
      <c r="M218" s="3" t="s">
        <v>258</v>
      </c>
      <c r="N218" s="2" t="s">
        <v>2312</v>
      </c>
      <c r="O218" s="3" t="s">
        <v>64</v>
      </c>
      <c r="P218" s="3" t="s">
        <v>113</v>
      </c>
      <c r="R218" s="3" t="s">
        <v>1907</v>
      </c>
      <c r="S218" s="4">
        <v>7</v>
      </c>
      <c r="T218" s="4">
        <v>7</v>
      </c>
      <c r="U218" s="5" t="s">
        <v>2313</v>
      </c>
      <c r="V218" s="5" t="s">
        <v>2313</v>
      </c>
      <c r="W218" s="5" t="s">
        <v>2314</v>
      </c>
      <c r="X218" s="5" t="s">
        <v>2314</v>
      </c>
      <c r="Y218" s="4">
        <v>242</v>
      </c>
      <c r="Z218" s="4">
        <v>144</v>
      </c>
      <c r="AA218" s="4">
        <v>316</v>
      </c>
      <c r="AB218" s="4">
        <v>2</v>
      </c>
      <c r="AC218" s="4">
        <v>3</v>
      </c>
      <c r="AD218" s="4">
        <v>4</v>
      </c>
      <c r="AE218" s="4">
        <v>13</v>
      </c>
      <c r="AF218" s="4">
        <v>0</v>
      </c>
      <c r="AG218" s="4">
        <v>6</v>
      </c>
      <c r="AH218" s="4">
        <v>2</v>
      </c>
      <c r="AI218" s="4">
        <v>4</v>
      </c>
      <c r="AJ218" s="4">
        <v>3</v>
      </c>
      <c r="AK218" s="4">
        <v>6</v>
      </c>
      <c r="AL218" s="4">
        <v>1</v>
      </c>
      <c r="AM218" s="4">
        <v>2</v>
      </c>
      <c r="AN218" s="4">
        <v>0</v>
      </c>
      <c r="AO218" s="4">
        <v>0</v>
      </c>
      <c r="AP218" s="3" t="s">
        <v>58</v>
      </c>
      <c r="AQ218" s="3" t="s">
        <v>69</v>
      </c>
      <c r="AR218" s="6" t="str">
        <f>HYPERLINK("http://catalog.hathitrust.org/Record/001528027","HathiTrust Record")</f>
        <v>HathiTrust Record</v>
      </c>
      <c r="AS218" s="6" t="str">
        <f>HYPERLINK("https://creighton-primo.hosted.exlibrisgroup.com/primo-explore/search?tab=default_tab&amp;search_scope=EVERYTHING&amp;vid=01CRU&amp;lang=en_US&amp;offset=0&amp;query=any,contains,991001371439702656","Catalog Record")</f>
        <v>Catalog Record</v>
      </c>
      <c r="AT218" s="6" t="str">
        <f>HYPERLINK("http://www.worldcat.org/oclc/18836943","WorldCat Record")</f>
        <v>WorldCat Record</v>
      </c>
    </row>
    <row r="219" spans="1:46" ht="40.5" customHeight="1" x14ac:dyDescent="0.25">
      <c r="A219" s="8" t="s">
        <v>58</v>
      </c>
      <c r="B219" s="2" t="s">
        <v>2315</v>
      </c>
      <c r="C219" s="2" t="s">
        <v>2316</v>
      </c>
      <c r="D219" s="2" t="s">
        <v>2317</v>
      </c>
      <c r="E219" s="3" t="s">
        <v>793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K219" s="2" t="s">
        <v>2318</v>
      </c>
      <c r="L219" s="2" t="s">
        <v>2319</v>
      </c>
      <c r="M219" s="3" t="s">
        <v>884</v>
      </c>
      <c r="O219" s="3" t="s">
        <v>64</v>
      </c>
      <c r="P219" s="3" t="s">
        <v>1921</v>
      </c>
      <c r="R219" s="3" t="s">
        <v>1907</v>
      </c>
      <c r="S219" s="4">
        <v>7</v>
      </c>
      <c r="T219" s="4">
        <v>7</v>
      </c>
      <c r="U219" s="5" t="s">
        <v>2320</v>
      </c>
      <c r="V219" s="5" t="s">
        <v>2320</v>
      </c>
      <c r="W219" s="5" t="s">
        <v>1923</v>
      </c>
      <c r="X219" s="5" t="s">
        <v>1923</v>
      </c>
      <c r="Y219" s="4">
        <v>154</v>
      </c>
      <c r="Z219" s="4">
        <v>122</v>
      </c>
      <c r="AA219" s="4">
        <v>124</v>
      </c>
      <c r="AB219" s="4">
        <v>1</v>
      </c>
      <c r="AC219" s="4">
        <v>1</v>
      </c>
      <c r="AD219" s="4">
        <v>4</v>
      </c>
      <c r="AE219" s="4">
        <v>4</v>
      </c>
      <c r="AF219" s="4">
        <v>0</v>
      </c>
      <c r="AG219" s="4">
        <v>0</v>
      </c>
      <c r="AH219" s="4">
        <v>2</v>
      </c>
      <c r="AI219" s="4">
        <v>2</v>
      </c>
      <c r="AJ219" s="4">
        <v>2</v>
      </c>
      <c r="AK219" s="4">
        <v>2</v>
      </c>
      <c r="AL219" s="4">
        <v>0</v>
      </c>
      <c r="AM219" s="4">
        <v>0</v>
      </c>
      <c r="AN219" s="4">
        <v>0</v>
      </c>
      <c r="AO219" s="4">
        <v>0</v>
      </c>
      <c r="AP219" s="3" t="s">
        <v>58</v>
      </c>
      <c r="AQ219" s="3" t="s">
        <v>69</v>
      </c>
      <c r="AR219" s="6" t="str">
        <f>HYPERLINK("http://catalog.hathitrust.org/Record/000602986","HathiTrust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HYPERLINK("https://creighton-primo.hosted.exlibrisgroup.com/primo-explore/search?tab=default_tab&amp;search_scope=EVERYTHING&amp;vid=01CRU&amp;lang=en_US&amp;offset=0&amp;query=any,contains,991000995569702656","Catalog Record")</f>
        <v>Catalog Record</v>
      </c>
      <c r="AT219" s="6" t="str">
        <f>HYPERLINK("http://www.worldcat.org/oclc/10876826","WorldCat Record")</f>
        <v>WorldCat Record</v>
      </c>
    </row>
    <row r="220" spans="1:46" ht="40.5" customHeight="1" x14ac:dyDescent="0.25">
      <c r="A220" s="8" t="s">
        <v>58</v>
      </c>
      <c r="B220" s="2" t="s">
        <v>2321</v>
      </c>
      <c r="C220" s="2" t="s">
        <v>2322</v>
      </c>
      <c r="D220" s="2" t="s">
        <v>2323</v>
      </c>
      <c r="E220" s="3" t="s">
        <v>2324</v>
      </c>
      <c r="F220" s="3" t="s">
        <v>69</v>
      </c>
      <c r="G220" s="3" t="s">
        <v>59</v>
      </c>
      <c r="H220" s="3" t="s">
        <v>58</v>
      </c>
      <c r="I220" s="3" t="s">
        <v>58</v>
      </c>
      <c r="J220" s="3" t="s">
        <v>60</v>
      </c>
      <c r="K220" s="2" t="s">
        <v>2325</v>
      </c>
      <c r="L220" s="2" t="s">
        <v>2326</v>
      </c>
      <c r="M220" s="3" t="s">
        <v>314</v>
      </c>
      <c r="O220" s="3" t="s">
        <v>64</v>
      </c>
      <c r="P220" s="3" t="s">
        <v>113</v>
      </c>
      <c r="R220" s="3" t="s">
        <v>1907</v>
      </c>
      <c r="S220" s="4">
        <v>1</v>
      </c>
      <c r="T220" s="4">
        <v>6</v>
      </c>
      <c r="V220" s="5" t="s">
        <v>2313</v>
      </c>
      <c r="W220" s="5" t="s">
        <v>2327</v>
      </c>
      <c r="X220" s="5" t="s">
        <v>2327</v>
      </c>
      <c r="Y220" s="4">
        <v>409</v>
      </c>
      <c r="Z220" s="4">
        <v>297</v>
      </c>
      <c r="AA220" s="4">
        <v>298</v>
      </c>
      <c r="AB220" s="4">
        <v>4</v>
      </c>
      <c r="AC220" s="4">
        <v>4</v>
      </c>
      <c r="AD220" s="4">
        <v>14</v>
      </c>
      <c r="AE220" s="4">
        <v>14</v>
      </c>
      <c r="AF220" s="4">
        <v>5</v>
      </c>
      <c r="AG220" s="4">
        <v>5</v>
      </c>
      <c r="AH220" s="4">
        <v>3</v>
      </c>
      <c r="AI220" s="4">
        <v>3</v>
      </c>
      <c r="AJ220" s="4">
        <v>9</v>
      </c>
      <c r="AK220" s="4">
        <v>9</v>
      </c>
      <c r="AL220" s="4">
        <v>2</v>
      </c>
      <c r="AM220" s="4">
        <v>2</v>
      </c>
      <c r="AN220" s="4">
        <v>0</v>
      </c>
      <c r="AO220" s="4">
        <v>0</v>
      </c>
      <c r="AP220" s="3" t="s">
        <v>58</v>
      </c>
      <c r="AQ220" s="3" t="s">
        <v>69</v>
      </c>
      <c r="AR220" s="6" t="str">
        <f t="shared" ref="AR220:AR226" si="0">HYPERLINK("http://catalog.hathitrust.org/Record/000455020","HathiTrust Record")</f>
        <v>HathiTrust Record</v>
      </c>
      <c r="AS220" s="6" t="str">
        <f t="shared" ref="AS220:AS226" si="1">HYPERLINK("https://creighton-primo.hosted.exlibrisgroup.com/primo-explore/search?tab=default_tab&amp;search_scope=EVERYTHING&amp;vid=01CRU&amp;lang=en_US&amp;offset=0&amp;query=any,contains,991000995529702656","Catalog Record")</f>
        <v>Catalog Record</v>
      </c>
      <c r="AT220" s="6" t="str">
        <f t="shared" ref="AT220:AT226" si="2">HYPERLINK("http://www.worldcat.org/oclc/21981","WorldCat Record")</f>
        <v>WorldCat Record</v>
      </c>
    </row>
    <row r="221" spans="1:46" ht="40.5" customHeight="1" x14ac:dyDescent="0.25">
      <c r="A221" s="8" t="s">
        <v>58</v>
      </c>
      <c r="B221" s="2" t="s">
        <v>2321</v>
      </c>
      <c r="C221" s="2" t="s">
        <v>2322</v>
      </c>
      <c r="D221" s="2" t="s">
        <v>2323</v>
      </c>
      <c r="E221" s="3" t="s">
        <v>1952</v>
      </c>
      <c r="F221" s="3" t="s">
        <v>69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2325</v>
      </c>
      <c r="L221" s="2" t="s">
        <v>2326</v>
      </c>
      <c r="M221" s="3" t="s">
        <v>314</v>
      </c>
      <c r="O221" s="3" t="s">
        <v>64</v>
      </c>
      <c r="P221" s="3" t="s">
        <v>113</v>
      </c>
      <c r="R221" s="3" t="s">
        <v>1907</v>
      </c>
      <c r="S221" s="4">
        <v>2</v>
      </c>
      <c r="T221" s="4">
        <v>6</v>
      </c>
      <c r="U221" s="5" t="s">
        <v>2313</v>
      </c>
      <c r="V221" s="5" t="s">
        <v>2313</v>
      </c>
      <c r="W221" s="5" t="s">
        <v>2327</v>
      </c>
      <c r="X221" s="5" t="s">
        <v>2327</v>
      </c>
      <c r="Y221" s="4">
        <v>409</v>
      </c>
      <c r="Z221" s="4">
        <v>297</v>
      </c>
      <c r="AA221" s="4">
        <v>298</v>
      </c>
      <c r="AB221" s="4">
        <v>4</v>
      </c>
      <c r="AC221" s="4">
        <v>4</v>
      </c>
      <c r="AD221" s="4">
        <v>14</v>
      </c>
      <c r="AE221" s="4">
        <v>14</v>
      </c>
      <c r="AF221" s="4">
        <v>5</v>
      </c>
      <c r="AG221" s="4">
        <v>5</v>
      </c>
      <c r="AH221" s="4">
        <v>3</v>
      </c>
      <c r="AI221" s="4">
        <v>3</v>
      </c>
      <c r="AJ221" s="4">
        <v>9</v>
      </c>
      <c r="AK221" s="4">
        <v>9</v>
      </c>
      <c r="AL221" s="4">
        <v>2</v>
      </c>
      <c r="AM221" s="4">
        <v>2</v>
      </c>
      <c r="AN221" s="4">
        <v>0</v>
      </c>
      <c r="AO221" s="4">
        <v>0</v>
      </c>
      <c r="AP221" s="3" t="s">
        <v>58</v>
      </c>
      <c r="AQ221" s="3" t="s">
        <v>69</v>
      </c>
      <c r="AR221" s="6" t="str">
        <f t="shared" si="0"/>
        <v>HathiTrust Record</v>
      </c>
      <c r="AS221" s="6" t="str">
        <f t="shared" si="1"/>
        <v>Catalog Record</v>
      </c>
      <c r="AT221" s="6" t="str">
        <f t="shared" si="2"/>
        <v>WorldCat Record</v>
      </c>
    </row>
    <row r="222" spans="1:46" ht="40.5" customHeight="1" x14ac:dyDescent="0.25">
      <c r="A222" s="8" t="s">
        <v>58</v>
      </c>
      <c r="B222" s="2" t="s">
        <v>2321</v>
      </c>
      <c r="C222" s="2" t="s">
        <v>2322</v>
      </c>
      <c r="D222" s="2" t="s">
        <v>2323</v>
      </c>
      <c r="E222" s="3" t="s">
        <v>1960</v>
      </c>
      <c r="F222" s="3" t="s">
        <v>69</v>
      </c>
      <c r="G222" s="3" t="s">
        <v>59</v>
      </c>
      <c r="H222" s="3" t="s">
        <v>58</v>
      </c>
      <c r="I222" s="3" t="s">
        <v>58</v>
      </c>
      <c r="J222" s="3" t="s">
        <v>60</v>
      </c>
      <c r="K222" s="2" t="s">
        <v>2325</v>
      </c>
      <c r="L222" s="2" t="s">
        <v>2326</v>
      </c>
      <c r="M222" s="3" t="s">
        <v>314</v>
      </c>
      <c r="O222" s="3" t="s">
        <v>64</v>
      </c>
      <c r="P222" s="3" t="s">
        <v>113</v>
      </c>
      <c r="R222" s="3" t="s">
        <v>1907</v>
      </c>
      <c r="S222" s="4">
        <v>1</v>
      </c>
      <c r="T222" s="4">
        <v>6</v>
      </c>
      <c r="V222" s="5" t="s">
        <v>2313</v>
      </c>
      <c r="W222" s="5" t="s">
        <v>2327</v>
      </c>
      <c r="X222" s="5" t="s">
        <v>2327</v>
      </c>
      <c r="Y222" s="4">
        <v>409</v>
      </c>
      <c r="Z222" s="4">
        <v>297</v>
      </c>
      <c r="AA222" s="4">
        <v>298</v>
      </c>
      <c r="AB222" s="4">
        <v>4</v>
      </c>
      <c r="AC222" s="4">
        <v>4</v>
      </c>
      <c r="AD222" s="4">
        <v>14</v>
      </c>
      <c r="AE222" s="4">
        <v>14</v>
      </c>
      <c r="AF222" s="4">
        <v>5</v>
      </c>
      <c r="AG222" s="4">
        <v>5</v>
      </c>
      <c r="AH222" s="4">
        <v>3</v>
      </c>
      <c r="AI222" s="4">
        <v>3</v>
      </c>
      <c r="AJ222" s="4">
        <v>9</v>
      </c>
      <c r="AK222" s="4">
        <v>9</v>
      </c>
      <c r="AL222" s="4">
        <v>2</v>
      </c>
      <c r="AM222" s="4">
        <v>2</v>
      </c>
      <c r="AN222" s="4">
        <v>0</v>
      </c>
      <c r="AO222" s="4">
        <v>0</v>
      </c>
      <c r="AP222" s="3" t="s">
        <v>58</v>
      </c>
      <c r="AQ222" s="3" t="s">
        <v>69</v>
      </c>
      <c r="AR222" s="6" t="str">
        <f t="shared" si="0"/>
        <v>HathiTrust Record</v>
      </c>
      <c r="AS222" s="6" t="str">
        <f t="shared" si="1"/>
        <v>Catalog Record</v>
      </c>
      <c r="AT222" s="6" t="str">
        <f t="shared" si="2"/>
        <v>WorldCat Record</v>
      </c>
    </row>
    <row r="223" spans="1:46" ht="40.5" customHeight="1" x14ac:dyDescent="0.25">
      <c r="A223" s="8" t="s">
        <v>58</v>
      </c>
      <c r="B223" s="2" t="s">
        <v>2321</v>
      </c>
      <c r="C223" s="2" t="s">
        <v>2322</v>
      </c>
      <c r="D223" s="2" t="s">
        <v>2323</v>
      </c>
      <c r="E223" s="3" t="s">
        <v>1947</v>
      </c>
      <c r="F223" s="3" t="s">
        <v>69</v>
      </c>
      <c r="G223" s="3" t="s">
        <v>59</v>
      </c>
      <c r="H223" s="3" t="s">
        <v>58</v>
      </c>
      <c r="I223" s="3" t="s">
        <v>58</v>
      </c>
      <c r="J223" s="3" t="s">
        <v>60</v>
      </c>
      <c r="K223" s="2" t="s">
        <v>2325</v>
      </c>
      <c r="L223" s="2" t="s">
        <v>2326</v>
      </c>
      <c r="M223" s="3" t="s">
        <v>314</v>
      </c>
      <c r="O223" s="3" t="s">
        <v>64</v>
      </c>
      <c r="P223" s="3" t="s">
        <v>113</v>
      </c>
      <c r="R223" s="3" t="s">
        <v>1907</v>
      </c>
      <c r="S223" s="4">
        <v>1</v>
      </c>
      <c r="T223" s="4">
        <v>6</v>
      </c>
      <c r="V223" s="5" t="s">
        <v>2313</v>
      </c>
      <c r="W223" s="5" t="s">
        <v>2327</v>
      </c>
      <c r="X223" s="5" t="s">
        <v>2327</v>
      </c>
      <c r="Y223" s="4">
        <v>409</v>
      </c>
      <c r="Z223" s="4">
        <v>297</v>
      </c>
      <c r="AA223" s="4">
        <v>298</v>
      </c>
      <c r="AB223" s="4">
        <v>4</v>
      </c>
      <c r="AC223" s="4">
        <v>4</v>
      </c>
      <c r="AD223" s="4">
        <v>14</v>
      </c>
      <c r="AE223" s="4">
        <v>14</v>
      </c>
      <c r="AF223" s="4">
        <v>5</v>
      </c>
      <c r="AG223" s="4">
        <v>5</v>
      </c>
      <c r="AH223" s="4">
        <v>3</v>
      </c>
      <c r="AI223" s="4">
        <v>3</v>
      </c>
      <c r="AJ223" s="4">
        <v>9</v>
      </c>
      <c r="AK223" s="4">
        <v>9</v>
      </c>
      <c r="AL223" s="4">
        <v>2</v>
      </c>
      <c r="AM223" s="4">
        <v>2</v>
      </c>
      <c r="AN223" s="4">
        <v>0</v>
      </c>
      <c r="AO223" s="4">
        <v>0</v>
      </c>
      <c r="AP223" s="3" t="s">
        <v>58</v>
      </c>
      <c r="AQ223" s="3" t="s">
        <v>69</v>
      </c>
      <c r="AR223" s="6" t="str">
        <f t="shared" si="0"/>
        <v>HathiTrust Record</v>
      </c>
      <c r="AS223" s="6" t="str">
        <f t="shared" si="1"/>
        <v>Catalog Record</v>
      </c>
      <c r="AT223" s="6" t="str">
        <f t="shared" si="2"/>
        <v>WorldCat Record</v>
      </c>
    </row>
    <row r="224" spans="1:46" ht="40.5" customHeight="1" x14ac:dyDescent="0.25">
      <c r="A224" s="8" t="s">
        <v>58</v>
      </c>
      <c r="B224" s="2" t="s">
        <v>2321</v>
      </c>
      <c r="C224" s="2" t="s">
        <v>2322</v>
      </c>
      <c r="D224" s="2" t="s">
        <v>2323</v>
      </c>
      <c r="E224" s="3" t="s">
        <v>2328</v>
      </c>
      <c r="F224" s="3" t="s">
        <v>69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2325</v>
      </c>
      <c r="L224" s="2" t="s">
        <v>2326</v>
      </c>
      <c r="M224" s="3" t="s">
        <v>314</v>
      </c>
      <c r="O224" s="3" t="s">
        <v>64</v>
      </c>
      <c r="P224" s="3" t="s">
        <v>113</v>
      </c>
      <c r="R224" s="3" t="s">
        <v>1907</v>
      </c>
      <c r="S224" s="4">
        <v>0</v>
      </c>
      <c r="T224" s="4">
        <v>6</v>
      </c>
      <c r="V224" s="5" t="s">
        <v>2313</v>
      </c>
      <c r="W224" s="5" t="s">
        <v>2327</v>
      </c>
      <c r="X224" s="5" t="s">
        <v>2327</v>
      </c>
      <c r="Y224" s="4">
        <v>409</v>
      </c>
      <c r="Z224" s="4">
        <v>297</v>
      </c>
      <c r="AA224" s="4">
        <v>298</v>
      </c>
      <c r="AB224" s="4">
        <v>4</v>
      </c>
      <c r="AC224" s="4">
        <v>4</v>
      </c>
      <c r="AD224" s="4">
        <v>14</v>
      </c>
      <c r="AE224" s="4">
        <v>14</v>
      </c>
      <c r="AF224" s="4">
        <v>5</v>
      </c>
      <c r="AG224" s="4">
        <v>5</v>
      </c>
      <c r="AH224" s="4">
        <v>3</v>
      </c>
      <c r="AI224" s="4">
        <v>3</v>
      </c>
      <c r="AJ224" s="4">
        <v>9</v>
      </c>
      <c r="AK224" s="4">
        <v>9</v>
      </c>
      <c r="AL224" s="4">
        <v>2</v>
      </c>
      <c r="AM224" s="4">
        <v>2</v>
      </c>
      <c r="AN224" s="4">
        <v>0</v>
      </c>
      <c r="AO224" s="4">
        <v>0</v>
      </c>
      <c r="AP224" s="3" t="s">
        <v>58</v>
      </c>
      <c r="AQ224" s="3" t="s">
        <v>69</v>
      </c>
      <c r="AR224" s="6" t="str">
        <f t="shared" si="0"/>
        <v>HathiTrust Record</v>
      </c>
      <c r="AS224" s="6" t="str">
        <f t="shared" si="1"/>
        <v>Catalog Record</v>
      </c>
      <c r="AT224" s="6" t="str">
        <f t="shared" si="2"/>
        <v>WorldCat Record</v>
      </c>
    </row>
    <row r="225" spans="1:46" ht="40.5" customHeight="1" x14ac:dyDescent="0.25">
      <c r="A225" s="8" t="s">
        <v>58</v>
      </c>
      <c r="B225" s="2" t="s">
        <v>2321</v>
      </c>
      <c r="C225" s="2" t="s">
        <v>2322</v>
      </c>
      <c r="D225" s="2" t="s">
        <v>2323</v>
      </c>
      <c r="E225" s="3" t="s">
        <v>2329</v>
      </c>
      <c r="F225" s="3" t="s">
        <v>69</v>
      </c>
      <c r="G225" s="3" t="s">
        <v>59</v>
      </c>
      <c r="H225" s="3" t="s">
        <v>58</v>
      </c>
      <c r="I225" s="3" t="s">
        <v>58</v>
      </c>
      <c r="J225" s="3" t="s">
        <v>60</v>
      </c>
      <c r="K225" s="2" t="s">
        <v>2325</v>
      </c>
      <c r="L225" s="2" t="s">
        <v>2326</v>
      </c>
      <c r="M225" s="3" t="s">
        <v>314</v>
      </c>
      <c r="O225" s="3" t="s">
        <v>64</v>
      </c>
      <c r="P225" s="3" t="s">
        <v>113</v>
      </c>
      <c r="R225" s="3" t="s">
        <v>1907</v>
      </c>
      <c r="S225" s="4">
        <v>0</v>
      </c>
      <c r="T225" s="4">
        <v>6</v>
      </c>
      <c r="V225" s="5" t="s">
        <v>2313</v>
      </c>
      <c r="W225" s="5" t="s">
        <v>2327</v>
      </c>
      <c r="X225" s="5" t="s">
        <v>2327</v>
      </c>
      <c r="Y225" s="4">
        <v>409</v>
      </c>
      <c r="Z225" s="4">
        <v>297</v>
      </c>
      <c r="AA225" s="4">
        <v>298</v>
      </c>
      <c r="AB225" s="4">
        <v>4</v>
      </c>
      <c r="AC225" s="4">
        <v>4</v>
      </c>
      <c r="AD225" s="4">
        <v>14</v>
      </c>
      <c r="AE225" s="4">
        <v>14</v>
      </c>
      <c r="AF225" s="4">
        <v>5</v>
      </c>
      <c r="AG225" s="4">
        <v>5</v>
      </c>
      <c r="AH225" s="4">
        <v>3</v>
      </c>
      <c r="AI225" s="4">
        <v>3</v>
      </c>
      <c r="AJ225" s="4">
        <v>9</v>
      </c>
      <c r="AK225" s="4">
        <v>9</v>
      </c>
      <c r="AL225" s="4">
        <v>2</v>
      </c>
      <c r="AM225" s="4">
        <v>2</v>
      </c>
      <c r="AN225" s="4">
        <v>0</v>
      </c>
      <c r="AO225" s="4">
        <v>0</v>
      </c>
      <c r="AP225" s="3" t="s">
        <v>58</v>
      </c>
      <c r="AQ225" s="3" t="s">
        <v>69</v>
      </c>
      <c r="AR225" s="6" t="str">
        <f t="shared" si="0"/>
        <v>HathiTrust Record</v>
      </c>
      <c r="AS225" s="6" t="str">
        <f t="shared" si="1"/>
        <v>Catalog Record</v>
      </c>
      <c r="AT225" s="6" t="str">
        <f t="shared" si="2"/>
        <v>WorldCat Record</v>
      </c>
    </row>
    <row r="226" spans="1:46" ht="40.5" customHeight="1" x14ac:dyDescent="0.25">
      <c r="A226" s="8" t="s">
        <v>58</v>
      </c>
      <c r="B226" s="2" t="s">
        <v>2321</v>
      </c>
      <c r="C226" s="2" t="s">
        <v>2322</v>
      </c>
      <c r="D226" s="2" t="s">
        <v>2323</v>
      </c>
      <c r="E226" s="3" t="s">
        <v>2330</v>
      </c>
      <c r="F226" s="3" t="s">
        <v>69</v>
      </c>
      <c r="G226" s="3" t="s">
        <v>59</v>
      </c>
      <c r="H226" s="3" t="s">
        <v>58</v>
      </c>
      <c r="I226" s="3" t="s">
        <v>58</v>
      </c>
      <c r="J226" s="3" t="s">
        <v>60</v>
      </c>
      <c r="K226" s="2" t="s">
        <v>2325</v>
      </c>
      <c r="L226" s="2" t="s">
        <v>2326</v>
      </c>
      <c r="M226" s="3" t="s">
        <v>314</v>
      </c>
      <c r="O226" s="3" t="s">
        <v>64</v>
      </c>
      <c r="P226" s="3" t="s">
        <v>113</v>
      </c>
      <c r="R226" s="3" t="s">
        <v>1907</v>
      </c>
      <c r="S226" s="4">
        <v>1</v>
      </c>
      <c r="T226" s="4">
        <v>6</v>
      </c>
      <c r="U226" s="5" t="s">
        <v>2331</v>
      </c>
      <c r="V226" s="5" t="s">
        <v>2313</v>
      </c>
      <c r="W226" s="5" t="s">
        <v>2327</v>
      </c>
      <c r="X226" s="5" t="s">
        <v>2327</v>
      </c>
      <c r="Y226" s="4">
        <v>409</v>
      </c>
      <c r="Z226" s="4">
        <v>297</v>
      </c>
      <c r="AA226" s="4">
        <v>298</v>
      </c>
      <c r="AB226" s="4">
        <v>4</v>
      </c>
      <c r="AC226" s="4">
        <v>4</v>
      </c>
      <c r="AD226" s="4">
        <v>14</v>
      </c>
      <c r="AE226" s="4">
        <v>14</v>
      </c>
      <c r="AF226" s="4">
        <v>5</v>
      </c>
      <c r="AG226" s="4">
        <v>5</v>
      </c>
      <c r="AH226" s="4">
        <v>3</v>
      </c>
      <c r="AI226" s="4">
        <v>3</v>
      </c>
      <c r="AJ226" s="4">
        <v>9</v>
      </c>
      <c r="AK226" s="4">
        <v>9</v>
      </c>
      <c r="AL226" s="4">
        <v>2</v>
      </c>
      <c r="AM226" s="4">
        <v>2</v>
      </c>
      <c r="AN226" s="4">
        <v>0</v>
      </c>
      <c r="AO226" s="4">
        <v>0</v>
      </c>
      <c r="AP226" s="3" t="s">
        <v>58</v>
      </c>
      <c r="AQ226" s="3" t="s">
        <v>69</v>
      </c>
      <c r="AR226" s="6" t="str">
        <f t="shared" si="0"/>
        <v>HathiTrust Record</v>
      </c>
      <c r="AS226" s="6" t="str">
        <f t="shared" si="1"/>
        <v>Catalog Record</v>
      </c>
      <c r="AT226" s="6" t="str">
        <f t="shared" si="2"/>
        <v>WorldCat Record</v>
      </c>
    </row>
    <row r="227" spans="1:46" ht="40.5" customHeight="1" x14ac:dyDescent="0.25">
      <c r="A227" s="8" t="s">
        <v>58</v>
      </c>
      <c r="B227" s="2" t="s">
        <v>2332</v>
      </c>
      <c r="C227" s="2" t="s">
        <v>2333</v>
      </c>
      <c r="D227" s="2" t="s">
        <v>2334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59</v>
      </c>
      <c r="L227" s="2" t="s">
        <v>269</v>
      </c>
      <c r="M227" s="3" t="s">
        <v>270</v>
      </c>
      <c r="O227" s="3" t="s">
        <v>64</v>
      </c>
      <c r="P227" s="3" t="s">
        <v>172</v>
      </c>
      <c r="R227" s="3" t="s">
        <v>1907</v>
      </c>
      <c r="S227" s="4">
        <v>5</v>
      </c>
      <c r="T227" s="4">
        <v>5</v>
      </c>
      <c r="U227" s="5" t="s">
        <v>2335</v>
      </c>
      <c r="V227" s="5" t="s">
        <v>2335</v>
      </c>
      <c r="W227" s="5" t="s">
        <v>2336</v>
      </c>
      <c r="X227" s="5" t="s">
        <v>2336</v>
      </c>
      <c r="Y227" s="4">
        <v>133</v>
      </c>
      <c r="Z227" s="4">
        <v>85</v>
      </c>
      <c r="AA227" s="4">
        <v>899</v>
      </c>
      <c r="AB227" s="4">
        <v>1</v>
      </c>
      <c r="AC227" s="4">
        <v>14</v>
      </c>
      <c r="AD227" s="4">
        <v>3</v>
      </c>
      <c r="AE227" s="4">
        <v>33</v>
      </c>
      <c r="AF227" s="4">
        <v>0</v>
      </c>
      <c r="AG227" s="4">
        <v>9</v>
      </c>
      <c r="AH227" s="4">
        <v>0</v>
      </c>
      <c r="AI227" s="4">
        <v>6</v>
      </c>
      <c r="AJ227" s="4">
        <v>3</v>
      </c>
      <c r="AK227" s="4">
        <v>10</v>
      </c>
      <c r="AL227" s="4">
        <v>0</v>
      </c>
      <c r="AM227" s="4">
        <v>12</v>
      </c>
      <c r="AN227" s="4">
        <v>0</v>
      </c>
      <c r="AO227" s="4">
        <v>1</v>
      </c>
      <c r="AP227" s="3" t="s">
        <v>58</v>
      </c>
      <c r="AQ227" s="3" t="s">
        <v>69</v>
      </c>
      <c r="AR227" s="6" t="str">
        <f>HYPERLINK("http://catalog.hathitrust.org/Record/003102232","HathiTrust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HYPERLINK("https://creighton-primo.hosted.exlibrisgroup.com/primo-explore/search?tab=default_tab&amp;search_scope=EVERYTHING&amp;vid=01CRU&amp;lang=en_US&amp;offset=0&amp;query=any,contains,991001294899702656","Catalog Record")</f>
        <v>Catalog Record</v>
      </c>
      <c r="AT227" s="6" t="str">
        <f>HYPERLINK("http://www.worldcat.org/oclc/34409484","WorldCat Record")</f>
        <v>WorldCat Record</v>
      </c>
    </row>
    <row r="228" spans="1:46" ht="40.5" customHeight="1" x14ac:dyDescent="0.25">
      <c r="A228" s="8" t="s">
        <v>58</v>
      </c>
      <c r="B228" s="2" t="s">
        <v>2337</v>
      </c>
      <c r="C228" s="2" t="s">
        <v>2338</v>
      </c>
      <c r="D228" s="2" t="s">
        <v>2339</v>
      </c>
      <c r="F228" s="3" t="s">
        <v>58</v>
      </c>
      <c r="G228" s="3" t="s">
        <v>59</v>
      </c>
      <c r="H228" s="3" t="s">
        <v>58</v>
      </c>
      <c r="I228" s="3" t="s">
        <v>58</v>
      </c>
      <c r="J228" s="3" t="s">
        <v>60</v>
      </c>
      <c r="L228" s="2" t="s">
        <v>2340</v>
      </c>
      <c r="M228" s="3" t="s">
        <v>870</v>
      </c>
      <c r="N228" s="2" t="s">
        <v>1759</v>
      </c>
      <c r="O228" s="3" t="s">
        <v>64</v>
      </c>
      <c r="P228" s="3" t="s">
        <v>400</v>
      </c>
      <c r="R228" s="3" t="s">
        <v>1907</v>
      </c>
      <c r="S228" s="4">
        <v>5</v>
      </c>
      <c r="T228" s="4">
        <v>5</v>
      </c>
      <c r="U228" s="5" t="s">
        <v>2341</v>
      </c>
      <c r="V228" s="5" t="s">
        <v>2341</v>
      </c>
      <c r="W228" s="5" t="s">
        <v>1923</v>
      </c>
      <c r="X228" s="5" t="s">
        <v>1923</v>
      </c>
      <c r="Y228" s="4">
        <v>425</v>
      </c>
      <c r="Z228" s="4">
        <v>301</v>
      </c>
      <c r="AA228" s="4">
        <v>304</v>
      </c>
      <c r="AB228" s="4">
        <v>2</v>
      </c>
      <c r="AC228" s="4">
        <v>2</v>
      </c>
      <c r="AD228" s="4">
        <v>7</v>
      </c>
      <c r="AE228" s="4">
        <v>7</v>
      </c>
      <c r="AF228" s="4">
        <v>2</v>
      </c>
      <c r="AG228" s="4">
        <v>2</v>
      </c>
      <c r="AH228" s="4">
        <v>3</v>
      </c>
      <c r="AI228" s="4">
        <v>3</v>
      </c>
      <c r="AJ228" s="4">
        <v>2</v>
      </c>
      <c r="AK228" s="4">
        <v>2</v>
      </c>
      <c r="AL228" s="4">
        <v>1</v>
      </c>
      <c r="AM228" s="4">
        <v>1</v>
      </c>
      <c r="AN228" s="4">
        <v>0</v>
      </c>
      <c r="AO228" s="4">
        <v>0</v>
      </c>
      <c r="AP228" s="3" t="s">
        <v>58</v>
      </c>
      <c r="AQ228" s="3" t="s">
        <v>69</v>
      </c>
      <c r="AR228" s="6" t="str">
        <f>HYPERLINK("http://catalog.hathitrust.org/Record/000742227","HathiTrust Record")</f>
        <v>HathiTrust Record</v>
      </c>
      <c r="AS228" s="6" t="str">
        <f>HYPERLINK("https://creighton-primo.hosted.exlibrisgroup.com/primo-explore/search?tab=default_tab&amp;search_scope=EVERYTHING&amp;vid=01CRU&amp;lang=en_US&amp;offset=0&amp;query=any,contains,991000995429702656","Catalog Record")</f>
        <v>Catalog Record</v>
      </c>
      <c r="AT228" s="6" t="str">
        <f>HYPERLINK("http://www.worldcat.org/oclc/5889312","WorldCat Record")</f>
        <v>WorldCat Record</v>
      </c>
    </row>
    <row r="229" spans="1:46" ht="40.5" customHeight="1" x14ac:dyDescent="0.25">
      <c r="A229" s="8" t="s">
        <v>58</v>
      </c>
      <c r="B229" s="2" t="s">
        <v>2342</v>
      </c>
      <c r="C229" s="2" t="s">
        <v>2343</v>
      </c>
      <c r="D229" s="2" t="s">
        <v>2344</v>
      </c>
      <c r="F229" s="3" t="s">
        <v>58</v>
      </c>
      <c r="G229" s="3" t="s">
        <v>59</v>
      </c>
      <c r="H229" s="3" t="s">
        <v>58</v>
      </c>
      <c r="I229" s="3" t="s">
        <v>69</v>
      </c>
      <c r="J229" s="3" t="s">
        <v>60</v>
      </c>
      <c r="L229" s="2" t="s">
        <v>2345</v>
      </c>
      <c r="M229" s="3" t="s">
        <v>215</v>
      </c>
      <c r="N229" s="2" t="s">
        <v>271</v>
      </c>
      <c r="O229" s="3" t="s">
        <v>64</v>
      </c>
      <c r="P229" s="3" t="s">
        <v>97</v>
      </c>
      <c r="R229" s="3" t="s">
        <v>1907</v>
      </c>
      <c r="S229" s="4">
        <v>17</v>
      </c>
      <c r="T229" s="4">
        <v>17</v>
      </c>
      <c r="U229" s="5" t="s">
        <v>2346</v>
      </c>
      <c r="V229" s="5" t="s">
        <v>2346</v>
      </c>
      <c r="W229" s="5" t="s">
        <v>2060</v>
      </c>
      <c r="X229" s="5" t="s">
        <v>2060</v>
      </c>
      <c r="Y229" s="4">
        <v>245</v>
      </c>
      <c r="Z229" s="4">
        <v>188</v>
      </c>
      <c r="AA229" s="4">
        <v>506</v>
      </c>
      <c r="AB229" s="4">
        <v>1</v>
      </c>
      <c r="AC229" s="4">
        <v>2</v>
      </c>
      <c r="AD229" s="4">
        <v>2</v>
      </c>
      <c r="AE229" s="4">
        <v>10</v>
      </c>
      <c r="AF229" s="4">
        <v>0</v>
      </c>
      <c r="AG229" s="4">
        <v>4</v>
      </c>
      <c r="AH229" s="4">
        <v>2</v>
      </c>
      <c r="AI229" s="4">
        <v>4</v>
      </c>
      <c r="AJ229" s="4">
        <v>1</v>
      </c>
      <c r="AK229" s="4">
        <v>4</v>
      </c>
      <c r="AL229" s="4">
        <v>0</v>
      </c>
      <c r="AM229" s="4">
        <v>1</v>
      </c>
      <c r="AN229" s="4">
        <v>0</v>
      </c>
      <c r="AO229" s="4">
        <v>0</v>
      </c>
      <c r="AP229" s="3" t="s">
        <v>58</v>
      </c>
      <c r="AQ229" s="3" t="s">
        <v>69</v>
      </c>
      <c r="AR229" s="6" t="str">
        <f>HYPERLINK("http://catalog.hathitrust.org/Record/004097892","HathiTrust Record")</f>
        <v>HathiTrust Record</v>
      </c>
      <c r="AS229" s="6" t="str">
        <f>HYPERLINK("https://creighton-primo.hosted.exlibrisgroup.com/primo-explore/search?tab=default_tab&amp;search_scope=EVERYTHING&amp;vid=01CRU&amp;lang=en_US&amp;offset=0&amp;query=any,contains,991000276329702656","Catalog Record")</f>
        <v>Catalog Record</v>
      </c>
      <c r="AT229" s="6" t="str">
        <f>HYPERLINK("http://www.worldcat.org/oclc/43207947","WorldCat Record")</f>
        <v>WorldCat Record</v>
      </c>
    </row>
    <row r="230" spans="1:46" ht="40.5" customHeight="1" x14ac:dyDescent="0.25">
      <c r="A230" s="8" t="s">
        <v>58</v>
      </c>
      <c r="B230" s="2" t="s">
        <v>2347</v>
      </c>
      <c r="C230" s="2" t="s">
        <v>2348</v>
      </c>
      <c r="D230" s="2" t="s">
        <v>2349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K230" s="2" t="s">
        <v>2350</v>
      </c>
      <c r="L230" s="2" t="s">
        <v>2351</v>
      </c>
      <c r="M230" s="3" t="s">
        <v>745</v>
      </c>
      <c r="O230" s="3" t="s">
        <v>64</v>
      </c>
      <c r="P230" s="3" t="s">
        <v>83</v>
      </c>
      <c r="R230" s="3" t="s">
        <v>1907</v>
      </c>
      <c r="S230" s="4">
        <v>4</v>
      </c>
      <c r="T230" s="4">
        <v>4</v>
      </c>
      <c r="U230" s="5" t="s">
        <v>2313</v>
      </c>
      <c r="V230" s="5" t="s">
        <v>2313</v>
      </c>
      <c r="W230" s="5" t="s">
        <v>2352</v>
      </c>
      <c r="X230" s="5" t="s">
        <v>2352</v>
      </c>
      <c r="Y230" s="4">
        <v>42</v>
      </c>
      <c r="Z230" s="4">
        <v>35</v>
      </c>
      <c r="AA230" s="4">
        <v>35</v>
      </c>
      <c r="AB230" s="4">
        <v>1</v>
      </c>
      <c r="AC230" s="4">
        <v>1</v>
      </c>
      <c r="AD230" s="4">
        <v>1</v>
      </c>
      <c r="AE230" s="4">
        <v>1</v>
      </c>
      <c r="AF230" s="4">
        <v>0</v>
      </c>
      <c r="AG230" s="4">
        <v>0</v>
      </c>
      <c r="AH230" s="4">
        <v>0</v>
      </c>
      <c r="AI230" s="4">
        <v>0</v>
      </c>
      <c r="AJ230" s="4">
        <v>1</v>
      </c>
      <c r="AK230" s="4">
        <v>1</v>
      </c>
      <c r="AL230" s="4">
        <v>0</v>
      </c>
      <c r="AM230" s="4">
        <v>0</v>
      </c>
      <c r="AN230" s="4">
        <v>0</v>
      </c>
      <c r="AO230" s="4">
        <v>0</v>
      </c>
      <c r="AP230" s="3" t="s">
        <v>58</v>
      </c>
      <c r="AQ230" s="3" t="s">
        <v>58</v>
      </c>
      <c r="AS230" s="6" t="str">
        <f>HYPERLINK("https://creighton-primo.hosted.exlibrisgroup.com/primo-explore/search?tab=default_tab&amp;search_scope=EVERYTHING&amp;vid=01CRU&amp;lang=en_US&amp;offset=0&amp;query=any,contains,991000995389702656","Catalog Record")</f>
        <v>Catalog Record</v>
      </c>
      <c r="AT230" s="6" t="str">
        <f>HYPERLINK("http://www.worldcat.org/oclc/3268321","WorldCat Record")</f>
        <v>WorldCat Record</v>
      </c>
    </row>
    <row r="231" spans="1:46" ht="40.5" customHeight="1" x14ac:dyDescent="0.25">
      <c r="A231" s="8" t="s">
        <v>58</v>
      </c>
      <c r="B231" s="2" t="s">
        <v>2353</v>
      </c>
      <c r="C231" s="2" t="s">
        <v>2354</v>
      </c>
      <c r="D231" s="2" t="s">
        <v>2355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59</v>
      </c>
      <c r="L231" s="2" t="s">
        <v>2356</v>
      </c>
      <c r="M231" s="3" t="s">
        <v>1758</v>
      </c>
      <c r="O231" s="3" t="s">
        <v>64</v>
      </c>
      <c r="P231" s="3" t="s">
        <v>65</v>
      </c>
      <c r="R231" s="3" t="s">
        <v>1907</v>
      </c>
      <c r="S231" s="4">
        <v>1</v>
      </c>
      <c r="T231" s="4">
        <v>1</v>
      </c>
      <c r="U231" s="5" t="s">
        <v>2300</v>
      </c>
      <c r="V231" s="5" t="s">
        <v>2300</v>
      </c>
      <c r="W231" s="5" t="s">
        <v>2357</v>
      </c>
      <c r="X231" s="5" t="s">
        <v>2357</v>
      </c>
      <c r="Y231" s="4">
        <v>128</v>
      </c>
      <c r="Z231" s="4">
        <v>93</v>
      </c>
      <c r="AA231" s="4">
        <v>237</v>
      </c>
      <c r="AB231" s="4">
        <v>1</v>
      </c>
      <c r="AC231" s="4">
        <v>1</v>
      </c>
      <c r="AD231" s="4">
        <v>3</v>
      </c>
      <c r="AE231" s="4">
        <v>4</v>
      </c>
      <c r="AF231" s="4">
        <v>1</v>
      </c>
      <c r="AG231" s="4">
        <v>2</v>
      </c>
      <c r="AH231" s="4">
        <v>2</v>
      </c>
      <c r="AI231" s="4">
        <v>2</v>
      </c>
      <c r="AJ231" s="4">
        <v>2</v>
      </c>
      <c r="AK231" s="4">
        <v>2</v>
      </c>
      <c r="AL231" s="4">
        <v>0</v>
      </c>
      <c r="AM231" s="4">
        <v>0</v>
      </c>
      <c r="AN231" s="4">
        <v>0</v>
      </c>
      <c r="AO231" s="4">
        <v>0</v>
      </c>
      <c r="AP231" s="3" t="s">
        <v>58</v>
      </c>
      <c r="AQ231" s="3" t="s">
        <v>69</v>
      </c>
      <c r="AR231" s="6" t="str">
        <f>HYPERLINK("http://catalog.hathitrust.org/Record/004217517","HathiTrust Record")</f>
        <v>HathiTrust Record</v>
      </c>
      <c r="AS231" s="6" t="str">
        <f>HYPERLINK("https://creighton-primo.hosted.exlibrisgroup.com/primo-explore/search?tab=default_tab&amp;search_scope=EVERYTHING&amp;vid=01CRU&amp;lang=en_US&amp;offset=0&amp;query=any,contains,991000406239702656","Catalog Record")</f>
        <v>Catalog Record</v>
      </c>
      <c r="AT231" s="6" t="str">
        <f>HYPERLINK("http://www.worldcat.org/oclc/45420245","WorldCat Record")</f>
        <v>WorldCat Record</v>
      </c>
    </row>
    <row r="232" spans="1:46" ht="40.5" customHeight="1" x14ac:dyDescent="0.25">
      <c r="A232" s="8" t="s">
        <v>58</v>
      </c>
      <c r="B232" s="2" t="s">
        <v>2358</v>
      </c>
      <c r="C232" s="2" t="s">
        <v>2359</v>
      </c>
      <c r="D232" s="2" t="s">
        <v>2360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60</v>
      </c>
      <c r="L232" s="2" t="s">
        <v>2361</v>
      </c>
      <c r="M232" s="3" t="s">
        <v>480</v>
      </c>
      <c r="N232" s="2" t="s">
        <v>271</v>
      </c>
      <c r="O232" s="3" t="s">
        <v>64</v>
      </c>
      <c r="P232" s="3" t="s">
        <v>97</v>
      </c>
      <c r="R232" s="3" t="s">
        <v>1907</v>
      </c>
      <c r="S232" s="4">
        <v>6</v>
      </c>
      <c r="T232" s="4">
        <v>6</v>
      </c>
      <c r="U232" s="5" t="s">
        <v>2362</v>
      </c>
      <c r="V232" s="5" t="s">
        <v>2362</v>
      </c>
      <c r="W232" s="5" t="s">
        <v>528</v>
      </c>
      <c r="X232" s="5" t="s">
        <v>528</v>
      </c>
      <c r="Y232" s="4">
        <v>138</v>
      </c>
      <c r="Z232" s="4">
        <v>119</v>
      </c>
      <c r="AA232" s="4">
        <v>250</v>
      </c>
      <c r="AB232" s="4">
        <v>1</v>
      </c>
      <c r="AC232" s="4">
        <v>1</v>
      </c>
      <c r="AD232" s="4">
        <v>0</v>
      </c>
      <c r="AE232" s="4">
        <v>1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1</v>
      </c>
      <c r="AL232" s="4">
        <v>0</v>
      </c>
      <c r="AM232" s="4">
        <v>0</v>
      </c>
      <c r="AN232" s="4">
        <v>0</v>
      </c>
      <c r="AO232" s="4">
        <v>0</v>
      </c>
      <c r="AP232" s="3" t="s">
        <v>58</v>
      </c>
      <c r="AQ232" s="3" t="s">
        <v>69</v>
      </c>
      <c r="AR232" s="6" t="str">
        <f>HYPERLINK("http://catalog.hathitrust.org/Record/002478411","HathiTrust Record")</f>
        <v>HathiTrust Record</v>
      </c>
      <c r="AS232" s="6" t="str">
        <f>HYPERLINK("https://creighton-primo.hosted.exlibrisgroup.com/primo-explore/search?tab=default_tab&amp;search_scope=EVERYTHING&amp;vid=01CRU&amp;lang=en_US&amp;offset=0&amp;query=any,contains,991001350609702656","Catalog Record")</f>
        <v>Catalog Record</v>
      </c>
      <c r="AT232" s="6" t="str">
        <f>HYPERLINK("http://www.worldcat.org/oclc/19455414","WorldCat Record")</f>
        <v>WorldCat Record</v>
      </c>
    </row>
    <row r="233" spans="1:46" ht="40.5" customHeight="1" x14ac:dyDescent="0.25">
      <c r="A233" s="8" t="s">
        <v>58</v>
      </c>
      <c r="B233" s="2" t="s">
        <v>2363</v>
      </c>
      <c r="C233" s="2" t="s">
        <v>2364</v>
      </c>
      <c r="D233" s="2" t="s">
        <v>2365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K233" s="2" t="s">
        <v>2366</v>
      </c>
      <c r="L233" s="2" t="s">
        <v>2367</v>
      </c>
      <c r="M233" s="3" t="s">
        <v>1703</v>
      </c>
      <c r="O233" s="3" t="s">
        <v>64</v>
      </c>
      <c r="P233" s="3" t="s">
        <v>97</v>
      </c>
      <c r="R233" s="3" t="s">
        <v>1907</v>
      </c>
      <c r="S233" s="4">
        <v>1</v>
      </c>
      <c r="T233" s="4">
        <v>1</v>
      </c>
      <c r="U233" s="5" t="s">
        <v>187</v>
      </c>
      <c r="V233" s="5" t="s">
        <v>187</v>
      </c>
      <c r="W233" s="5" t="s">
        <v>2368</v>
      </c>
      <c r="X233" s="5" t="s">
        <v>2368</v>
      </c>
      <c r="Y233" s="4">
        <v>112</v>
      </c>
      <c r="Z233" s="4">
        <v>72</v>
      </c>
      <c r="AA233" s="4">
        <v>113</v>
      </c>
      <c r="AB233" s="4">
        <v>1</v>
      </c>
      <c r="AC233" s="4">
        <v>1</v>
      </c>
      <c r="AD233" s="4">
        <v>2</v>
      </c>
      <c r="AE233" s="4">
        <v>2</v>
      </c>
      <c r="AF233" s="4">
        <v>1</v>
      </c>
      <c r="AG233" s="4">
        <v>1</v>
      </c>
      <c r="AH233" s="4">
        <v>0</v>
      </c>
      <c r="AI233" s="4">
        <v>0</v>
      </c>
      <c r="AJ233" s="4">
        <v>1</v>
      </c>
      <c r="AK233" s="4">
        <v>1</v>
      </c>
      <c r="AL233" s="4">
        <v>0</v>
      </c>
      <c r="AM233" s="4">
        <v>0</v>
      </c>
      <c r="AN233" s="4">
        <v>0</v>
      </c>
      <c r="AO233" s="4">
        <v>0</v>
      </c>
      <c r="AP233" s="3" t="s">
        <v>58</v>
      </c>
      <c r="AQ233" s="3" t="s">
        <v>58</v>
      </c>
      <c r="AS233" s="6" t="str">
        <f>HYPERLINK("https://creighton-primo.hosted.exlibrisgroup.com/primo-explore/search?tab=default_tab&amp;search_scope=EVERYTHING&amp;vid=01CRU&amp;lang=en_US&amp;offset=0&amp;query=any,contains,991000461779702656","Catalog Record")</f>
        <v>Catalog Record</v>
      </c>
      <c r="AT233" s="6" t="str">
        <f>HYPERLINK("http://www.worldcat.org/oclc/53326223","WorldCat Record")</f>
        <v>WorldCat Record</v>
      </c>
    </row>
    <row r="234" spans="1:46" ht="40.5" customHeight="1" x14ac:dyDescent="0.25">
      <c r="A234" s="8" t="s">
        <v>58</v>
      </c>
      <c r="B234" s="2" t="s">
        <v>2369</v>
      </c>
      <c r="C234" s="2" t="s">
        <v>2370</v>
      </c>
      <c r="D234" s="2" t="s">
        <v>2371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L234" s="2" t="s">
        <v>2372</v>
      </c>
      <c r="M234" s="3" t="s">
        <v>285</v>
      </c>
      <c r="O234" s="3" t="s">
        <v>64</v>
      </c>
      <c r="P234" s="3" t="s">
        <v>113</v>
      </c>
      <c r="R234" s="3" t="s">
        <v>1907</v>
      </c>
      <c r="S234" s="4">
        <v>4</v>
      </c>
      <c r="T234" s="4">
        <v>4</v>
      </c>
      <c r="U234" s="5" t="s">
        <v>2373</v>
      </c>
      <c r="V234" s="5" t="s">
        <v>2373</v>
      </c>
      <c r="W234" s="5" t="s">
        <v>2374</v>
      </c>
      <c r="X234" s="5" t="s">
        <v>2374</v>
      </c>
      <c r="Y234" s="4">
        <v>172</v>
      </c>
      <c r="Z234" s="4">
        <v>75</v>
      </c>
      <c r="AA234" s="4">
        <v>77</v>
      </c>
      <c r="AB234" s="4">
        <v>1</v>
      </c>
      <c r="AC234" s="4">
        <v>1</v>
      </c>
      <c r="AD234" s="4">
        <v>2</v>
      </c>
      <c r="AE234" s="4">
        <v>2</v>
      </c>
      <c r="AF234" s="4">
        <v>1</v>
      </c>
      <c r="AG234" s="4">
        <v>1</v>
      </c>
      <c r="AH234" s="4">
        <v>1</v>
      </c>
      <c r="AI234" s="4">
        <v>1</v>
      </c>
      <c r="AJ234" s="4">
        <v>1</v>
      </c>
      <c r="AK234" s="4">
        <v>1</v>
      </c>
      <c r="AL234" s="4">
        <v>0</v>
      </c>
      <c r="AM234" s="4">
        <v>0</v>
      </c>
      <c r="AN234" s="4">
        <v>0</v>
      </c>
      <c r="AO234" s="4">
        <v>0</v>
      </c>
      <c r="AP234" s="3" t="s">
        <v>58</v>
      </c>
      <c r="AQ234" s="3" t="s">
        <v>69</v>
      </c>
      <c r="AR234" s="6" t="str">
        <f>HYPERLINK("http://catalog.hathitrust.org/Record/003027420","HathiTrust Record")</f>
        <v>HathiTrust Record</v>
      </c>
      <c r="AS234" s="6" t="str">
        <f>HYPERLINK("https://creighton-primo.hosted.exlibrisgroup.com/primo-explore/search?tab=default_tab&amp;search_scope=EVERYTHING&amp;vid=01CRU&amp;lang=en_US&amp;offset=0&amp;query=any,contains,991000835629702656","Catalog Record")</f>
        <v>Catalog Record</v>
      </c>
      <c r="AT234" s="6" t="str">
        <f>HYPERLINK("http://www.worldcat.org/oclc/31374873","WorldCat Record")</f>
        <v>WorldCat Record</v>
      </c>
    </row>
    <row r="235" spans="1:46" ht="40.5" customHeight="1" x14ac:dyDescent="0.25">
      <c r="A235" s="8" t="s">
        <v>58</v>
      </c>
      <c r="B235" s="2" t="s">
        <v>2375</v>
      </c>
      <c r="C235" s="2" t="s">
        <v>2376</v>
      </c>
      <c r="D235" s="2" t="s">
        <v>2377</v>
      </c>
      <c r="F235" s="3" t="s">
        <v>58</v>
      </c>
      <c r="G235" s="3" t="s">
        <v>59</v>
      </c>
      <c r="H235" s="3" t="s">
        <v>58</v>
      </c>
      <c r="I235" s="3" t="s">
        <v>69</v>
      </c>
      <c r="J235" s="3" t="s">
        <v>60</v>
      </c>
      <c r="K235" s="2" t="s">
        <v>1913</v>
      </c>
      <c r="L235" s="2" t="s">
        <v>2378</v>
      </c>
      <c r="M235" s="3" t="s">
        <v>285</v>
      </c>
      <c r="N235" s="2" t="s">
        <v>1315</v>
      </c>
      <c r="O235" s="3" t="s">
        <v>64</v>
      </c>
      <c r="P235" s="3" t="s">
        <v>186</v>
      </c>
      <c r="R235" s="3" t="s">
        <v>1907</v>
      </c>
      <c r="S235" s="4">
        <v>145</v>
      </c>
      <c r="T235" s="4">
        <v>145</v>
      </c>
      <c r="U235" s="5" t="s">
        <v>1928</v>
      </c>
      <c r="V235" s="5" t="s">
        <v>1928</v>
      </c>
      <c r="W235" s="5" t="s">
        <v>1040</v>
      </c>
      <c r="X235" s="5" t="s">
        <v>1040</v>
      </c>
      <c r="Y235" s="4">
        <v>232</v>
      </c>
      <c r="Z235" s="4">
        <v>169</v>
      </c>
      <c r="AA235" s="4">
        <v>470</v>
      </c>
      <c r="AB235" s="4">
        <v>2</v>
      </c>
      <c r="AC235" s="4">
        <v>3</v>
      </c>
      <c r="AD235" s="4">
        <v>5</v>
      </c>
      <c r="AE235" s="4">
        <v>15</v>
      </c>
      <c r="AF235" s="4">
        <v>1</v>
      </c>
      <c r="AG235" s="4">
        <v>5</v>
      </c>
      <c r="AH235" s="4">
        <v>1</v>
      </c>
      <c r="AI235" s="4">
        <v>3</v>
      </c>
      <c r="AJ235" s="4">
        <v>3</v>
      </c>
      <c r="AK235" s="4">
        <v>7</v>
      </c>
      <c r="AL235" s="4">
        <v>1</v>
      </c>
      <c r="AM235" s="4">
        <v>2</v>
      </c>
      <c r="AN235" s="4">
        <v>0</v>
      </c>
      <c r="AO235" s="4">
        <v>0</v>
      </c>
      <c r="AP235" s="3" t="s">
        <v>58</v>
      </c>
      <c r="AQ235" s="3" t="s">
        <v>69</v>
      </c>
      <c r="AR235" s="6" t="str">
        <f>HYPERLINK("http://catalog.hathitrust.org/Record/002958482","HathiTrust Record")</f>
        <v>HathiTrust Record</v>
      </c>
      <c r="AS235" s="6" t="str">
        <f>HYPERLINK("https://creighton-primo.hosted.exlibrisgroup.com/primo-explore/search?tab=default_tab&amp;search_scope=EVERYTHING&amp;vid=01CRU&amp;lang=en_US&amp;offset=0&amp;query=any,contains,991001403859702656","Catalog Record")</f>
        <v>Catalog Record</v>
      </c>
      <c r="AT235" s="6" t="str">
        <f>HYPERLINK("http://www.worldcat.org/oclc/31331691","WorldCat Record")</f>
        <v>WorldCat Record</v>
      </c>
    </row>
    <row r="236" spans="1:46" ht="40.5" customHeight="1" x14ac:dyDescent="0.25">
      <c r="A236" s="8" t="s">
        <v>58</v>
      </c>
      <c r="B236" s="2" t="s">
        <v>2379</v>
      </c>
      <c r="C236" s="2" t="s">
        <v>2380</v>
      </c>
      <c r="D236" s="2" t="s">
        <v>2381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59</v>
      </c>
      <c r="L236" s="2" t="s">
        <v>2382</v>
      </c>
      <c r="M236" s="3" t="s">
        <v>2383</v>
      </c>
      <c r="O236" s="3" t="s">
        <v>64</v>
      </c>
      <c r="P236" s="3" t="s">
        <v>1501</v>
      </c>
      <c r="R236" s="3" t="s">
        <v>1907</v>
      </c>
      <c r="S236" s="4">
        <v>0</v>
      </c>
      <c r="T236" s="4">
        <v>0</v>
      </c>
      <c r="U236" s="5" t="s">
        <v>2384</v>
      </c>
      <c r="V236" s="5" t="s">
        <v>2384</v>
      </c>
      <c r="W236" s="5" t="s">
        <v>2385</v>
      </c>
      <c r="X236" s="5" t="s">
        <v>2385</v>
      </c>
      <c r="Y236" s="4">
        <v>173</v>
      </c>
      <c r="Z236" s="4">
        <v>124</v>
      </c>
      <c r="AA236" s="4">
        <v>352</v>
      </c>
      <c r="AB236" s="4">
        <v>2</v>
      </c>
      <c r="AC236" s="4">
        <v>3</v>
      </c>
      <c r="AD236" s="4">
        <v>5</v>
      </c>
      <c r="AE236" s="4">
        <v>10</v>
      </c>
      <c r="AF236" s="4">
        <v>1</v>
      </c>
      <c r="AG236" s="4">
        <v>4</v>
      </c>
      <c r="AH236" s="4">
        <v>2</v>
      </c>
      <c r="AI236" s="4">
        <v>3</v>
      </c>
      <c r="AJ236" s="4">
        <v>2</v>
      </c>
      <c r="AK236" s="4">
        <v>6</v>
      </c>
      <c r="AL236" s="4">
        <v>1</v>
      </c>
      <c r="AM236" s="4">
        <v>1</v>
      </c>
      <c r="AN236" s="4">
        <v>0</v>
      </c>
      <c r="AO236" s="4">
        <v>0</v>
      </c>
      <c r="AP236" s="3" t="s">
        <v>58</v>
      </c>
      <c r="AQ236" s="3" t="s">
        <v>58</v>
      </c>
      <c r="AS236" s="6" t="str">
        <f>HYPERLINK("https://creighton-primo.hosted.exlibrisgroup.com/primo-explore/search?tab=default_tab&amp;search_scope=EVERYTHING&amp;vid=01CRU&amp;lang=en_US&amp;offset=0&amp;query=any,contains,991000629239702656","Catalog Record")</f>
        <v>Catalog Record</v>
      </c>
      <c r="AT236" s="6" t="str">
        <f>HYPERLINK("http://www.worldcat.org/oclc/62393119","WorldCat Record")</f>
        <v>WorldCat Record</v>
      </c>
    </row>
    <row r="237" spans="1:46" ht="40.5" customHeight="1" x14ac:dyDescent="0.25">
      <c r="A237" s="8" t="s">
        <v>58</v>
      </c>
      <c r="B237" s="2" t="s">
        <v>2386</v>
      </c>
      <c r="C237" s="2" t="s">
        <v>2387</v>
      </c>
      <c r="D237" s="2" t="s">
        <v>2388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59</v>
      </c>
      <c r="K237" s="2" t="s">
        <v>2389</v>
      </c>
      <c r="L237" s="2" t="s">
        <v>2390</v>
      </c>
      <c r="M237" s="3" t="s">
        <v>870</v>
      </c>
      <c r="O237" s="3" t="s">
        <v>64</v>
      </c>
      <c r="P237" s="3" t="s">
        <v>83</v>
      </c>
      <c r="Q237" s="2" t="s">
        <v>1824</v>
      </c>
      <c r="R237" s="3" t="s">
        <v>1907</v>
      </c>
      <c r="S237" s="4">
        <v>2</v>
      </c>
      <c r="T237" s="4">
        <v>2</v>
      </c>
      <c r="U237" s="5" t="s">
        <v>2391</v>
      </c>
      <c r="V237" s="5" t="s">
        <v>2391</v>
      </c>
      <c r="W237" s="5" t="s">
        <v>1923</v>
      </c>
      <c r="X237" s="5" t="s">
        <v>1923</v>
      </c>
      <c r="Y237" s="4">
        <v>425</v>
      </c>
      <c r="Z237" s="4">
        <v>300</v>
      </c>
      <c r="AA237" s="4">
        <v>933</v>
      </c>
      <c r="AB237" s="4">
        <v>2</v>
      </c>
      <c r="AC237" s="4">
        <v>18</v>
      </c>
      <c r="AD237" s="4">
        <v>7</v>
      </c>
      <c r="AE237" s="4">
        <v>37</v>
      </c>
      <c r="AF237" s="4">
        <v>1</v>
      </c>
      <c r="AG237" s="4">
        <v>12</v>
      </c>
      <c r="AH237" s="4">
        <v>4</v>
      </c>
      <c r="AI237" s="4">
        <v>7</v>
      </c>
      <c r="AJ237" s="4">
        <v>4</v>
      </c>
      <c r="AK237" s="4">
        <v>19</v>
      </c>
      <c r="AL237" s="4">
        <v>1</v>
      </c>
      <c r="AM237" s="4">
        <v>9</v>
      </c>
      <c r="AN237" s="4">
        <v>0</v>
      </c>
      <c r="AO237" s="4">
        <v>0</v>
      </c>
      <c r="AP237" s="3" t="s">
        <v>58</v>
      </c>
      <c r="AQ237" s="3" t="s">
        <v>69</v>
      </c>
      <c r="AR237" s="6" t="str">
        <f>HYPERLINK("http://catalog.hathitrust.org/Record/000745659","HathiTrust Record")</f>
        <v>HathiTrust Record</v>
      </c>
      <c r="AS237" s="6" t="str">
        <f>HYPERLINK("https://creighton-primo.hosted.exlibrisgroup.com/primo-explore/search?tab=default_tab&amp;search_scope=EVERYTHING&amp;vid=01CRU&amp;lang=en_US&amp;offset=0&amp;query=any,contains,991000996089702656","Catalog Record")</f>
        <v>Catalog Record</v>
      </c>
      <c r="AT237" s="6" t="str">
        <f>HYPERLINK("http://www.worldcat.org/oclc/7248504","WorldCat Record")</f>
        <v>WorldCat Record</v>
      </c>
    </row>
    <row r="238" spans="1:46" ht="40.5" customHeight="1" x14ac:dyDescent="0.25">
      <c r="A238" s="8" t="s">
        <v>58</v>
      </c>
      <c r="B238" s="2" t="s">
        <v>2392</v>
      </c>
      <c r="C238" s="2" t="s">
        <v>2393</v>
      </c>
      <c r="D238" s="2" t="s">
        <v>2394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60</v>
      </c>
      <c r="K238" s="2" t="s">
        <v>2395</v>
      </c>
      <c r="L238" s="2" t="s">
        <v>2396</v>
      </c>
      <c r="M238" s="3" t="s">
        <v>243</v>
      </c>
      <c r="O238" s="3" t="s">
        <v>64</v>
      </c>
      <c r="P238" s="3" t="s">
        <v>186</v>
      </c>
      <c r="Q238" s="2" t="s">
        <v>2397</v>
      </c>
      <c r="R238" s="3" t="s">
        <v>1907</v>
      </c>
      <c r="S238" s="4">
        <v>9</v>
      </c>
      <c r="T238" s="4">
        <v>9</v>
      </c>
      <c r="U238" s="5" t="s">
        <v>2398</v>
      </c>
      <c r="V238" s="5" t="s">
        <v>2398</v>
      </c>
      <c r="W238" s="5" t="s">
        <v>2399</v>
      </c>
      <c r="X238" s="5" t="s">
        <v>2399</v>
      </c>
      <c r="Y238" s="4">
        <v>315</v>
      </c>
      <c r="Z238" s="4">
        <v>217</v>
      </c>
      <c r="AA238" s="4">
        <v>219</v>
      </c>
      <c r="AB238" s="4">
        <v>1</v>
      </c>
      <c r="AC238" s="4">
        <v>1</v>
      </c>
      <c r="AD238" s="4">
        <v>9</v>
      </c>
      <c r="AE238" s="4">
        <v>9</v>
      </c>
      <c r="AF238" s="4">
        <v>2</v>
      </c>
      <c r="AG238" s="4">
        <v>2</v>
      </c>
      <c r="AH238" s="4">
        <v>2</v>
      </c>
      <c r="AI238" s="4">
        <v>2</v>
      </c>
      <c r="AJ238" s="4">
        <v>6</v>
      </c>
      <c r="AK238" s="4">
        <v>6</v>
      </c>
      <c r="AL238" s="4">
        <v>0</v>
      </c>
      <c r="AM238" s="4">
        <v>0</v>
      </c>
      <c r="AN238" s="4">
        <v>0</v>
      </c>
      <c r="AO238" s="4">
        <v>0</v>
      </c>
      <c r="AP238" s="3" t="s">
        <v>58</v>
      </c>
      <c r="AQ238" s="3" t="s">
        <v>69</v>
      </c>
      <c r="AR238" s="6" t="str">
        <f>HYPERLINK("http://catalog.hathitrust.org/Record/000918268","HathiTrust Record")</f>
        <v>HathiTrust Record</v>
      </c>
      <c r="AS238" s="6" t="str">
        <f>HYPERLINK("https://creighton-primo.hosted.exlibrisgroup.com/primo-explore/search?tab=default_tab&amp;search_scope=EVERYTHING&amp;vid=01CRU&amp;lang=en_US&amp;offset=0&amp;query=any,contains,991001537089702656","Catalog Record")</f>
        <v>Catalog Record</v>
      </c>
      <c r="AT238" s="6" t="str">
        <f>HYPERLINK("http://www.worldcat.org/oclc/15630709","WorldCat Record")</f>
        <v>WorldCat Record</v>
      </c>
    </row>
    <row r="239" spans="1:46" ht="40.5" customHeight="1" x14ac:dyDescent="0.25">
      <c r="A239" s="8" t="s">
        <v>58</v>
      </c>
      <c r="B239" s="2" t="s">
        <v>2400</v>
      </c>
      <c r="C239" s="2" t="s">
        <v>2401</v>
      </c>
      <c r="D239" s="2" t="s">
        <v>2402</v>
      </c>
      <c r="F239" s="3" t="s">
        <v>58</v>
      </c>
      <c r="G239" s="3" t="s">
        <v>59</v>
      </c>
      <c r="H239" s="3" t="s">
        <v>58</v>
      </c>
      <c r="I239" s="3" t="s">
        <v>58</v>
      </c>
      <c r="J239" s="3" t="s">
        <v>60</v>
      </c>
      <c r="L239" s="2" t="s">
        <v>2403</v>
      </c>
      <c r="M239" s="3" t="s">
        <v>185</v>
      </c>
      <c r="O239" s="3" t="s">
        <v>64</v>
      </c>
      <c r="P239" s="3" t="s">
        <v>83</v>
      </c>
      <c r="Q239" s="2" t="s">
        <v>2404</v>
      </c>
      <c r="R239" s="3" t="s">
        <v>1907</v>
      </c>
      <c r="S239" s="4">
        <v>4</v>
      </c>
      <c r="T239" s="4">
        <v>4</v>
      </c>
      <c r="U239" s="5" t="s">
        <v>2405</v>
      </c>
      <c r="V239" s="5" t="s">
        <v>2405</v>
      </c>
      <c r="W239" s="5" t="s">
        <v>2406</v>
      </c>
      <c r="X239" s="5" t="s">
        <v>2406</v>
      </c>
      <c r="Y239" s="4">
        <v>179</v>
      </c>
      <c r="Z239" s="4">
        <v>116</v>
      </c>
      <c r="AA239" s="4">
        <v>120</v>
      </c>
      <c r="AB239" s="4">
        <v>1</v>
      </c>
      <c r="AC239" s="4">
        <v>1</v>
      </c>
      <c r="AD239" s="4">
        <v>5</v>
      </c>
      <c r="AE239" s="4">
        <v>5</v>
      </c>
      <c r="AF239" s="4">
        <v>0</v>
      </c>
      <c r="AG239" s="4">
        <v>0</v>
      </c>
      <c r="AH239" s="4">
        <v>2</v>
      </c>
      <c r="AI239" s="4">
        <v>2</v>
      </c>
      <c r="AJ239" s="4">
        <v>4</v>
      </c>
      <c r="AK239" s="4">
        <v>4</v>
      </c>
      <c r="AL239" s="4">
        <v>0</v>
      </c>
      <c r="AM239" s="4">
        <v>0</v>
      </c>
      <c r="AN239" s="4">
        <v>0</v>
      </c>
      <c r="AO239" s="4">
        <v>0</v>
      </c>
      <c r="AP239" s="3" t="s">
        <v>58</v>
      </c>
      <c r="AQ239" s="3" t="s">
        <v>69</v>
      </c>
      <c r="AR239" s="6" t="str">
        <f>HYPERLINK("http://catalog.hathitrust.org/Record/002605788","HathiTrust Record")</f>
        <v>HathiTrust Record</v>
      </c>
      <c r="AS239" s="6" t="str">
        <f>HYPERLINK("https://creighton-primo.hosted.exlibrisgroup.com/primo-explore/search?tab=default_tab&amp;search_scope=EVERYTHING&amp;vid=01CRU&amp;lang=en_US&amp;offset=0&amp;query=any,contains,991001482349702656","Catalog Record")</f>
        <v>Catalog Record</v>
      </c>
      <c r="AT239" s="6" t="str">
        <f>HYPERLINK("http://www.worldcat.org/oclc/24211989","WorldCat Record")</f>
        <v>WorldCat Record</v>
      </c>
    </row>
    <row r="240" spans="1:46" ht="40.5" customHeight="1" x14ac:dyDescent="0.25">
      <c r="A240" s="8" t="s">
        <v>58</v>
      </c>
      <c r="B240" s="2" t="s">
        <v>2407</v>
      </c>
      <c r="C240" s="2" t="s">
        <v>2408</v>
      </c>
      <c r="D240" s="2" t="s">
        <v>1539</v>
      </c>
      <c r="F240" s="3" t="s">
        <v>58</v>
      </c>
      <c r="G240" s="3" t="s">
        <v>59</v>
      </c>
      <c r="H240" s="3" t="s">
        <v>58</v>
      </c>
      <c r="I240" s="3" t="s">
        <v>69</v>
      </c>
      <c r="J240" s="3" t="s">
        <v>60</v>
      </c>
      <c r="K240" s="2" t="s">
        <v>1540</v>
      </c>
      <c r="L240" s="2" t="s">
        <v>2409</v>
      </c>
      <c r="M240" s="3" t="s">
        <v>385</v>
      </c>
      <c r="O240" s="3" t="s">
        <v>64</v>
      </c>
      <c r="P240" s="3" t="s">
        <v>83</v>
      </c>
      <c r="R240" s="3" t="s">
        <v>1907</v>
      </c>
      <c r="S240" s="4">
        <v>1</v>
      </c>
      <c r="T240" s="4">
        <v>1</v>
      </c>
      <c r="U240" s="5" t="s">
        <v>1891</v>
      </c>
      <c r="V240" s="5" t="s">
        <v>1891</v>
      </c>
      <c r="W240" s="5" t="s">
        <v>2327</v>
      </c>
      <c r="X240" s="5" t="s">
        <v>2327</v>
      </c>
      <c r="Y240" s="4">
        <v>302</v>
      </c>
      <c r="Z240" s="4">
        <v>281</v>
      </c>
      <c r="AA240" s="4">
        <v>814</v>
      </c>
      <c r="AB240" s="4">
        <v>4</v>
      </c>
      <c r="AC240" s="4">
        <v>9</v>
      </c>
      <c r="AD240" s="4">
        <v>14</v>
      </c>
      <c r="AE240" s="4">
        <v>38</v>
      </c>
      <c r="AF240" s="4">
        <v>5</v>
      </c>
      <c r="AG240" s="4">
        <v>20</v>
      </c>
      <c r="AH240" s="4">
        <v>2</v>
      </c>
      <c r="AI240" s="4">
        <v>6</v>
      </c>
      <c r="AJ240" s="4">
        <v>7</v>
      </c>
      <c r="AK240" s="4">
        <v>15</v>
      </c>
      <c r="AL240" s="4">
        <v>3</v>
      </c>
      <c r="AM240" s="4">
        <v>7</v>
      </c>
      <c r="AN240" s="4">
        <v>0</v>
      </c>
      <c r="AO240" s="4">
        <v>0</v>
      </c>
      <c r="AP240" s="3" t="s">
        <v>58</v>
      </c>
      <c r="AQ240" s="3" t="s">
        <v>69</v>
      </c>
      <c r="AR240" s="6" t="str">
        <f>HYPERLINK("http://catalog.hathitrust.org/Record/010150572","HathiTrust Record")</f>
        <v>HathiTrust Record</v>
      </c>
      <c r="AS240" s="6" t="str">
        <f>HYPERLINK("https://creighton-primo.hosted.exlibrisgroup.com/primo-explore/search?tab=default_tab&amp;search_scope=EVERYTHING&amp;vid=01CRU&amp;lang=en_US&amp;offset=0&amp;query=any,contains,991000996029702656","Catalog Record")</f>
        <v>Catalog Record</v>
      </c>
      <c r="AT240" s="6" t="str">
        <f>HYPERLINK("http://www.worldcat.org/oclc/758644618","WorldCat Record")</f>
        <v>WorldCat Record</v>
      </c>
    </row>
    <row r="241" spans="1:46" ht="40.5" customHeight="1" x14ac:dyDescent="0.25">
      <c r="A241" s="8" t="s">
        <v>58</v>
      </c>
      <c r="B241" s="2" t="s">
        <v>2410</v>
      </c>
      <c r="C241" s="2" t="s">
        <v>2411</v>
      </c>
      <c r="D241" s="2" t="s">
        <v>2412</v>
      </c>
      <c r="F241" s="3" t="s">
        <v>58</v>
      </c>
      <c r="G241" s="3" t="s">
        <v>59</v>
      </c>
      <c r="H241" s="3" t="s">
        <v>58</v>
      </c>
      <c r="I241" s="3" t="s">
        <v>58</v>
      </c>
      <c r="J241" s="3" t="s">
        <v>60</v>
      </c>
      <c r="L241" s="2" t="s">
        <v>2413</v>
      </c>
      <c r="M241" s="3" t="s">
        <v>1632</v>
      </c>
      <c r="O241" s="3" t="s">
        <v>64</v>
      </c>
      <c r="P241" s="3" t="s">
        <v>1921</v>
      </c>
      <c r="R241" s="3" t="s">
        <v>1907</v>
      </c>
      <c r="S241" s="4">
        <v>12</v>
      </c>
      <c r="T241" s="4">
        <v>12</v>
      </c>
      <c r="U241" s="5" t="s">
        <v>2414</v>
      </c>
      <c r="V241" s="5" t="s">
        <v>2414</v>
      </c>
      <c r="W241" s="5" t="s">
        <v>2415</v>
      </c>
      <c r="X241" s="5" t="s">
        <v>2415</v>
      </c>
      <c r="Y241" s="4">
        <v>198</v>
      </c>
      <c r="Z241" s="4">
        <v>125</v>
      </c>
      <c r="AA241" s="4">
        <v>126</v>
      </c>
      <c r="AB241" s="4">
        <v>1</v>
      </c>
      <c r="AC241" s="4">
        <v>1</v>
      </c>
      <c r="AD241" s="4">
        <v>1</v>
      </c>
      <c r="AE241" s="4">
        <v>1</v>
      </c>
      <c r="AF241" s="4">
        <v>0</v>
      </c>
      <c r="AG241" s="4">
        <v>0</v>
      </c>
      <c r="AH241" s="4">
        <v>1</v>
      </c>
      <c r="AI241" s="4">
        <v>1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3" t="s">
        <v>58</v>
      </c>
      <c r="AQ241" s="3" t="s">
        <v>69</v>
      </c>
      <c r="AR241" s="6" t="str">
        <f>HYPERLINK("http://catalog.hathitrust.org/Record/001083461","HathiTrust Record")</f>
        <v>HathiTrust Record</v>
      </c>
      <c r="AS241" s="6" t="str">
        <f>HYPERLINK("https://creighton-primo.hosted.exlibrisgroup.com/primo-explore/search?tab=default_tab&amp;search_scope=EVERYTHING&amp;vid=01CRU&amp;lang=en_US&amp;offset=0&amp;query=any,contains,991001241319702656","Catalog Record")</f>
        <v>Catalog Record</v>
      </c>
      <c r="AT241" s="6" t="str">
        <f>HYPERLINK("http://www.worldcat.org/oclc/17901409","WorldCat Record")</f>
        <v>WorldCat Record</v>
      </c>
    </row>
    <row r="242" spans="1:46" ht="40.5" customHeight="1" x14ac:dyDescent="0.25">
      <c r="A242" s="8" t="s">
        <v>58</v>
      </c>
      <c r="B242" s="2" t="s">
        <v>2416</v>
      </c>
      <c r="C242" s="2" t="s">
        <v>2417</v>
      </c>
      <c r="D242" s="2" t="s">
        <v>2418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60</v>
      </c>
      <c r="L242" s="2" t="s">
        <v>2419</v>
      </c>
      <c r="M242" s="3" t="s">
        <v>63</v>
      </c>
      <c r="O242" s="3" t="s">
        <v>64</v>
      </c>
      <c r="P242" s="3" t="s">
        <v>1921</v>
      </c>
      <c r="R242" s="3" t="s">
        <v>1907</v>
      </c>
      <c r="S242" s="4">
        <v>7</v>
      </c>
      <c r="T242" s="4">
        <v>7</v>
      </c>
      <c r="U242" s="5" t="s">
        <v>2420</v>
      </c>
      <c r="V242" s="5" t="s">
        <v>2420</v>
      </c>
      <c r="W242" s="5" t="s">
        <v>1923</v>
      </c>
      <c r="X242" s="5" t="s">
        <v>1923</v>
      </c>
      <c r="Y242" s="4">
        <v>256</v>
      </c>
      <c r="Z242" s="4">
        <v>187</v>
      </c>
      <c r="AA242" s="4">
        <v>236</v>
      </c>
      <c r="AB242" s="4">
        <v>1</v>
      </c>
      <c r="AC242" s="4">
        <v>1</v>
      </c>
      <c r="AD242" s="4">
        <v>2</v>
      </c>
      <c r="AE242" s="4">
        <v>5</v>
      </c>
      <c r="AF242" s="4">
        <v>0</v>
      </c>
      <c r="AG242" s="4">
        <v>2</v>
      </c>
      <c r="AH242" s="4">
        <v>1</v>
      </c>
      <c r="AI242" s="4">
        <v>3</v>
      </c>
      <c r="AJ242" s="4">
        <v>1</v>
      </c>
      <c r="AK242" s="4">
        <v>1</v>
      </c>
      <c r="AL242" s="4">
        <v>0</v>
      </c>
      <c r="AM242" s="4">
        <v>0</v>
      </c>
      <c r="AN242" s="4">
        <v>0</v>
      </c>
      <c r="AO242" s="4">
        <v>0</v>
      </c>
      <c r="AP242" s="3" t="s">
        <v>58</v>
      </c>
      <c r="AQ242" s="3" t="s">
        <v>69</v>
      </c>
      <c r="AR242" s="6" t="str">
        <f>HYPERLINK("http://catalog.hathitrust.org/Record/000164738","HathiTrust Record")</f>
        <v>HathiTrust Record</v>
      </c>
      <c r="AS242" s="6" t="str">
        <f>HYPERLINK("https://creighton-primo.hosted.exlibrisgroup.com/primo-explore/search?tab=default_tab&amp;search_scope=EVERYTHING&amp;vid=01CRU&amp;lang=en_US&amp;offset=0&amp;query=any,contains,991000995919702656","Catalog Record")</f>
        <v>Catalog Record</v>
      </c>
      <c r="AT242" s="6" t="str">
        <f>HYPERLINK("http://www.worldcat.org/oclc/10122646","WorldCat Record")</f>
        <v>WorldCat Record</v>
      </c>
    </row>
    <row r="243" spans="1:46" ht="40.5" customHeight="1" x14ac:dyDescent="0.25">
      <c r="A243" s="8" t="s">
        <v>58</v>
      </c>
      <c r="B243" s="2" t="s">
        <v>2421</v>
      </c>
      <c r="C243" s="2" t="s">
        <v>2422</v>
      </c>
      <c r="D243" s="2" t="s">
        <v>2423</v>
      </c>
      <c r="F243" s="3" t="s">
        <v>58</v>
      </c>
      <c r="G243" s="3" t="s">
        <v>59</v>
      </c>
      <c r="H243" s="3" t="s">
        <v>58</v>
      </c>
      <c r="I243" s="3" t="s">
        <v>58</v>
      </c>
      <c r="J243" s="3" t="s">
        <v>60</v>
      </c>
      <c r="L243" s="2" t="s">
        <v>2424</v>
      </c>
      <c r="M243" s="3" t="s">
        <v>126</v>
      </c>
      <c r="O243" s="3" t="s">
        <v>64</v>
      </c>
      <c r="P243" s="3" t="s">
        <v>202</v>
      </c>
      <c r="Q243" s="2" t="s">
        <v>2425</v>
      </c>
      <c r="R243" s="3" t="s">
        <v>1907</v>
      </c>
      <c r="S243" s="4">
        <v>11</v>
      </c>
      <c r="T243" s="4">
        <v>11</v>
      </c>
      <c r="U243" s="5" t="s">
        <v>2426</v>
      </c>
      <c r="V243" s="5" t="s">
        <v>2426</v>
      </c>
      <c r="W243" s="5" t="s">
        <v>2427</v>
      </c>
      <c r="X243" s="5" t="s">
        <v>2427</v>
      </c>
      <c r="Y243" s="4">
        <v>276</v>
      </c>
      <c r="Z243" s="4">
        <v>191</v>
      </c>
      <c r="AA243" s="4">
        <v>238</v>
      </c>
      <c r="AB243" s="4">
        <v>1</v>
      </c>
      <c r="AC243" s="4">
        <v>2</v>
      </c>
      <c r="AD243" s="4">
        <v>10</v>
      </c>
      <c r="AE243" s="4">
        <v>12</v>
      </c>
      <c r="AF243" s="4">
        <v>4</v>
      </c>
      <c r="AG243" s="4">
        <v>5</v>
      </c>
      <c r="AH243" s="4">
        <v>3</v>
      </c>
      <c r="AI243" s="4">
        <v>4</v>
      </c>
      <c r="AJ243" s="4">
        <v>7</v>
      </c>
      <c r="AK243" s="4">
        <v>7</v>
      </c>
      <c r="AL243" s="4">
        <v>0</v>
      </c>
      <c r="AM243" s="4">
        <v>1</v>
      </c>
      <c r="AN243" s="4">
        <v>0</v>
      </c>
      <c r="AO243" s="4">
        <v>0</v>
      </c>
      <c r="AP243" s="3" t="s">
        <v>58</v>
      </c>
      <c r="AQ243" s="3" t="s">
        <v>69</v>
      </c>
      <c r="AR243" s="6" t="str">
        <f>HYPERLINK("http://catalog.hathitrust.org/Record/002808464","HathiTrust Record")</f>
        <v>HathiTrust Record</v>
      </c>
      <c r="AS243" s="6" t="str">
        <f>HYPERLINK("https://creighton-primo.hosted.exlibrisgroup.com/primo-explore/search?tab=default_tab&amp;search_scope=EVERYTHING&amp;vid=01CRU&amp;lang=en_US&amp;offset=0&amp;query=any,contains,991001396909702656","Catalog Record")</f>
        <v>Catalog Record</v>
      </c>
      <c r="AT243" s="6" t="str">
        <f>HYPERLINK("http://www.worldcat.org/oclc/29256334","WorldCat Record")</f>
        <v>WorldCat Record</v>
      </c>
    </row>
    <row r="244" spans="1:46" ht="40.5" customHeight="1" x14ac:dyDescent="0.25">
      <c r="A244" s="8" t="s">
        <v>58</v>
      </c>
      <c r="B244" s="2" t="s">
        <v>2428</v>
      </c>
      <c r="C244" s="2" t="s">
        <v>2429</v>
      </c>
      <c r="D244" s="2" t="s">
        <v>2430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60</v>
      </c>
      <c r="K244" s="2" t="s">
        <v>2431</v>
      </c>
      <c r="L244" s="2" t="s">
        <v>2432</v>
      </c>
      <c r="M244" s="3" t="s">
        <v>96</v>
      </c>
      <c r="O244" s="3" t="s">
        <v>64</v>
      </c>
      <c r="P244" s="3" t="s">
        <v>113</v>
      </c>
      <c r="R244" s="3" t="s">
        <v>1907</v>
      </c>
      <c r="S244" s="4">
        <v>5</v>
      </c>
      <c r="T244" s="4">
        <v>5</v>
      </c>
      <c r="U244" s="5" t="s">
        <v>2420</v>
      </c>
      <c r="V244" s="5" t="s">
        <v>2420</v>
      </c>
      <c r="W244" s="5" t="s">
        <v>2433</v>
      </c>
      <c r="X244" s="5" t="s">
        <v>2433</v>
      </c>
      <c r="Y244" s="4">
        <v>254</v>
      </c>
      <c r="Z244" s="4">
        <v>163</v>
      </c>
      <c r="AA244" s="4">
        <v>165</v>
      </c>
      <c r="AB244" s="4">
        <v>1</v>
      </c>
      <c r="AC244" s="4">
        <v>1</v>
      </c>
      <c r="AD244" s="4">
        <v>6</v>
      </c>
      <c r="AE244" s="4">
        <v>6</v>
      </c>
      <c r="AF244" s="4">
        <v>3</v>
      </c>
      <c r="AG244" s="4">
        <v>3</v>
      </c>
      <c r="AH244" s="4">
        <v>3</v>
      </c>
      <c r="AI244" s="4">
        <v>3</v>
      </c>
      <c r="AJ244" s="4">
        <v>3</v>
      </c>
      <c r="AK244" s="4">
        <v>3</v>
      </c>
      <c r="AL244" s="4">
        <v>0</v>
      </c>
      <c r="AM244" s="4">
        <v>0</v>
      </c>
      <c r="AN244" s="4">
        <v>0</v>
      </c>
      <c r="AO244" s="4">
        <v>0</v>
      </c>
      <c r="AP244" s="3" t="s">
        <v>58</v>
      </c>
      <c r="AQ244" s="3" t="s">
        <v>69</v>
      </c>
      <c r="AR244" s="6" t="str">
        <f>HYPERLINK("http://catalog.hathitrust.org/Record/000212687","HathiTrust Record")</f>
        <v>HathiTrust Record</v>
      </c>
      <c r="AS244" s="6" t="str">
        <f>HYPERLINK("https://creighton-primo.hosted.exlibrisgroup.com/primo-explore/search?tab=default_tab&amp;search_scope=EVERYTHING&amp;vid=01CRU&amp;lang=en_US&amp;offset=0&amp;query=any,contains,991000995839702656","Catalog Record")</f>
        <v>Catalog Record</v>
      </c>
      <c r="AT244" s="6" t="str">
        <f>HYPERLINK("http://www.worldcat.org/oclc/1800641","WorldCat Record")</f>
        <v>WorldCat Record</v>
      </c>
    </row>
    <row r="245" spans="1:46" ht="40.5" customHeight="1" x14ac:dyDescent="0.25">
      <c r="A245" s="8" t="s">
        <v>58</v>
      </c>
      <c r="B245" s="2" t="s">
        <v>2434</v>
      </c>
      <c r="C245" s="2" t="s">
        <v>2435</v>
      </c>
      <c r="D245" s="2" t="s">
        <v>2436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60</v>
      </c>
      <c r="K245" s="2" t="s">
        <v>2437</v>
      </c>
      <c r="L245" s="2" t="s">
        <v>2438</v>
      </c>
      <c r="M245" s="3" t="s">
        <v>1980</v>
      </c>
      <c r="O245" s="3" t="s">
        <v>64</v>
      </c>
      <c r="P245" s="3" t="s">
        <v>1234</v>
      </c>
      <c r="R245" s="3" t="s">
        <v>1907</v>
      </c>
      <c r="S245" s="4">
        <v>11</v>
      </c>
      <c r="T245" s="4">
        <v>11</v>
      </c>
      <c r="U245" s="5" t="s">
        <v>2439</v>
      </c>
      <c r="V245" s="5" t="s">
        <v>2439</v>
      </c>
      <c r="W245" s="5" t="s">
        <v>2440</v>
      </c>
      <c r="X245" s="5" t="s">
        <v>2440</v>
      </c>
      <c r="Y245" s="4">
        <v>127</v>
      </c>
      <c r="Z245" s="4">
        <v>84</v>
      </c>
      <c r="AA245" s="4">
        <v>94</v>
      </c>
      <c r="AB245" s="4">
        <v>1</v>
      </c>
      <c r="AC245" s="4">
        <v>1</v>
      </c>
      <c r="AD245" s="4">
        <v>2</v>
      </c>
      <c r="AE245" s="4">
        <v>2</v>
      </c>
      <c r="AF245" s="4">
        <v>0</v>
      </c>
      <c r="AG245" s="4">
        <v>0</v>
      </c>
      <c r="AH245" s="4">
        <v>2</v>
      </c>
      <c r="AI245" s="4">
        <v>2</v>
      </c>
      <c r="AJ245" s="4">
        <v>1</v>
      </c>
      <c r="AK245" s="4">
        <v>1</v>
      </c>
      <c r="AL245" s="4">
        <v>0</v>
      </c>
      <c r="AM245" s="4">
        <v>0</v>
      </c>
      <c r="AN245" s="4">
        <v>0</v>
      </c>
      <c r="AO245" s="4">
        <v>0</v>
      </c>
      <c r="AP245" s="3" t="s">
        <v>58</v>
      </c>
      <c r="AQ245" s="3" t="s">
        <v>58</v>
      </c>
      <c r="AS245" s="6" t="str">
        <f>HYPERLINK("https://creighton-primo.hosted.exlibrisgroup.com/primo-explore/search?tab=default_tab&amp;search_scope=EVERYTHING&amp;vid=01CRU&amp;lang=en_US&amp;offset=0&amp;query=any,contains,991001243099702656","Catalog Record")</f>
        <v>Catalog Record</v>
      </c>
      <c r="AT245" s="6" t="str">
        <f>HYPERLINK("http://www.worldcat.org/oclc/9852762","WorldCat Record")</f>
        <v>WorldCat Record</v>
      </c>
    </row>
    <row r="246" spans="1:46" ht="40.5" customHeight="1" x14ac:dyDescent="0.25">
      <c r="A246" s="8" t="s">
        <v>58</v>
      </c>
      <c r="B246" s="2" t="s">
        <v>2441</v>
      </c>
      <c r="C246" s="2" t="s">
        <v>2442</v>
      </c>
      <c r="D246" s="2" t="s">
        <v>2443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K246" s="2" t="s">
        <v>2444</v>
      </c>
      <c r="L246" s="2" t="s">
        <v>2445</v>
      </c>
      <c r="M246" s="3" t="s">
        <v>2446</v>
      </c>
      <c r="O246" s="3" t="s">
        <v>64</v>
      </c>
      <c r="P246" s="3" t="s">
        <v>2447</v>
      </c>
      <c r="R246" s="3" t="s">
        <v>1907</v>
      </c>
      <c r="S246" s="4">
        <v>6</v>
      </c>
      <c r="T246" s="4">
        <v>6</v>
      </c>
      <c r="U246" s="5" t="s">
        <v>2420</v>
      </c>
      <c r="V246" s="5" t="s">
        <v>2420</v>
      </c>
      <c r="W246" s="5" t="s">
        <v>2433</v>
      </c>
      <c r="X246" s="5" t="s">
        <v>2433</v>
      </c>
      <c r="Y246" s="4">
        <v>175</v>
      </c>
      <c r="Z246" s="4">
        <v>116</v>
      </c>
      <c r="AA246" s="4">
        <v>118</v>
      </c>
      <c r="AB246" s="4">
        <v>1</v>
      </c>
      <c r="AC246" s="4">
        <v>1</v>
      </c>
      <c r="AD246" s="4">
        <v>1</v>
      </c>
      <c r="AE246" s="4">
        <v>1</v>
      </c>
      <c r="AF246" s="4">
        <v>1</v>
      </c>
      <c r="AG246" s="4">
        <v>1</v>
      </c>
      <c r="AH246" s="4">
        <v>1</v>
      </c>
      <c r="AI246" s="4">
        <v>1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3" t="s">
        <v>58</v>
      </c>
      <c r="AQ246" s="3" t="s">
        <v>69</v>
      </c>
      <c r="AR246" s="6" t="str">
        <f>HYPERLINK("http://catalog.hathitrust.org/Record/001556520","HathiTrust Record")</f>
        <v>HathiTrust Record</v>
      </c>
      <c r="AS246" s="6" t="str">
        <f>HYPERLINK("https://creighton-primo.hosted.exlibrisgroup.com/primo-explore/search?tab=default_tab&amp;search_scope=EVERYTHING&amp;vid=01CRU&amp;lang=en_US&amp;offset=0&amp;query=any,contains,991000995799702656","Catalog Record")</f>
        <v>Catalog Record</v>
      </c>
      <c r="AT246" s="6" t="str">
        <f>HYPERLINK("http://www.worldcat.org/oclc/645931","WorldCat Record")</f>
        <v>WorldCat Record</v>
      </c>
    </row>
    <row r="247" spans="1:46" ht="40.5" customHeight="1" x14ac:dyDescent="0.25">
      <c r="A247" s="8" t="s">
        <v>58</v>
      </c>
      <c r="B247" s="2" t="s">
        <v>2448</v>
      </c>
      <c r="C247" s="2" t="s">
        <v>2449</v>
      </c>
      <c r="D247" s="2" t="s">
        <v>2450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60</v>
      </c>
      <c r="K247" s="2" t="s">
        <v>2451</v>
      </c>
      <c r="L247" s="2" t="s">
        <v>2452</v>
      </c>
      <c r="M247" s="3" t="s">
        <v>950</v>
      </c>
      <c r="O247" s="3" t="s">
        <v>64</v>
      </c>
      <c r="P247" s="3" t="s">
        <v>400</v>
      </c>
      <c r="R247" s="3" t="s">
        <v>1907</v>
      </c>
      <c r="S247" s="4">
        <v>1</v>
      </c>
      <c r="T247" s="4">
        <v>1</v>
      </c>
      <c r="U247" s="5" t="s">
        <v>2453</v>
      </c>
      <c r="V247" s="5" t="s">
        <v>2453</v>
      </c>
      <c r="W247" s="5" t="s">
        <v>2433</v>
      </c>
      <c r="X247" s="5" t="s">
        <v>2433</v>
      </c>
      <c r="Y247" s="4">
        <v>316</v>
      </c>
      <c r="Z247" s="4">
        <v>245</v>
      </c>
      <c r="AA247" s="4">
        <v>253</v>
      </c>
      <c r="AB247" s="4">
        <v>1</v>
      </c>
      <c r="AC247" s="4">
        <v>1</v>
      </c>
      <c r="AD247" s="4">
        <v>8</v>
      </c>
      <c r="AE247" s="4">
        <v>9</v>
      </c>
      <c r="AF247" s="4">
        <v>3</v>
      </c>
      <c r="AG247" s="4">
        <v>3</v>
      </c>
      <c r="AH247" s="4">
        <v>5</v>
      </c>
      <c r="AI247" s="4">
        <v>5</v>
      </c>
      <c r="AJ247" s="4">
        <v>4</v>
      </c>
      <c r="AK247" s="4">
        <v>5</v>
      </c>
      <c r="AL247" s="4">
        <v>0</v>
      </c>
      <c r="AM247" s="4">
        <v>0</v>
      </c>
      <c r="AN247" s="4">
        <v>0</v>
      </c>
      <c r="AO247" s="4">
        <v>0</v>
      </c>
      <c r="AP247" s="3" t="s">
        <v>58</v>
      </c>
      <c r="AQ247" s="3" t="s">
        <v>69</v>
      </c>
      <c r="AR247" s="6" t="str">
        <f>HYPERLINK("http://catalog.hathitrust.org/Record/001556331","HathiTrust Record")</f>
        <v>HathiTrust Record</v>
      </c>
      <c r="AS247" s="6" t="str">
        <f>HYPERLINK("https://creighton-primo.hosted.exlibrisgroup.com/primo-explore/search?tab=default_tab&amp;search_scope=EVERYTHING&amp;vid=01CRU&amp;lang=en_US&amp;offset=0&amp;query=any,contains,991000995759702656","Catalog Record")</f>
        <v>Catalog Record</v>
      </c>
      <c r="AT247" s="6" t="str">
        <f>HYPERLINK("http://www.worldcat.org/oclc/137677","WorldCat Record")</f>
        <v>WorldCat Record</v>
      </c>
    </row>
    <row r="248" spans="1:46" ht="40.5" customHeight="1" x14ac:dyDescent="0.25">
      <c r="A248" s="8" t="s">
        <v>58</v>
      </c>
      <c r="B248" s="2" t="s">
        <v>2454</v>
      </c>
      <c r="C248" s="2" t="s">
        <v>2455</v>
      </c>
      <c r="D248" s="2" t="s">
        <v>2456</v>
      </c>
      <c r="E248" s="3" t="s">
        <v>1947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L248" s="2" t="s">
        <v>2457</v>
      </c>
      <c r="M248" s="3" t="s">
        <v>1632</v>
      </c>
      <c r="O248" s="3" t="s">
        <v>64</v>
      </c>
      <c r="P248" s="3" t="s">
        <v>607</v>
      </c>
      <c r="Q248" s="2" t="s">
        <v>2458</v>
      </c>
      <c r="R248" s="3" t="s">
        <v>1907</v>
      </c>
      <c r="S248" s="4">
        <v>4</v>
      </c>
      <c r="T248" s="4">
        <v>4</v>
      </c>
      <c r="U248" s="5" t="s">
        <v>2459</v>
      </c>
      <c r="V248" s="5" t="s">
        <v>2459</v>
      </c>
      <c r="W248" s="5" t="s">
        <v>2460</v>
      </c>
      <c r="X248" s="5" t="s">
        <v>2460</v>
      </c>
      <c r="Y248" s="4">
        <v>175</v>
      </c>
      <c r="Z248" s="4">
        <v>125</v>
      </c>
      <c r="AA248" s="4">
        <v>128</v>
      </c>
      <c r="AB248" s="4">
        <v>1</v>
      </c>
      <c r="AC248" s="4">
        <v>1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3" t="s">
        <v>58</v>
      </c>
      <c r="AQ248" s="3" t="s">
        <v>69</v>
      </c>
      <c r="AR248" s="6" t="str">
        <f>HYPERLINK("http://catalog.hathitrust.org/Record/000905354","HathiTrust Record")</f>
        <v>HathiTrust Record</v>
      </c>
      <c r="AS248" s="6" t="str">
        <f>HYPERLINK("https://creighton-primo.hosted.exlibrisgroup.com/primo-explore/search?tab=default_tab&amp;search_scope=EVERYTHING&amp;vid=01CRU&amp;lang=en_US&amp;offset=0&amp;query=any,contains,991001191359702656","Catalog Record")</f>
        <v>Catalog Record</v>
      </c>
      <c r="AT248" s="6" t="str">
        <f>HYPERLINK("http://www.worldcat.org/oclc/16228059","WorldCat Record")</f>
        <v>WorldCat Record</v>
      </c>
    </row>
    <row r="249" spans="1:46" ht="40.5" customHeight="1" x14ac:dyDescent="0.25">
      <c r="A249" s="8" t="s">
        <v>58</v>
      </c>
      <c r="B249" s="2" t="s">
        <v>2461</v>
      </c>
      <c r="C249" s="2" t="s">
        <v>2462</v>
      </c>
      <c r="D249" s="2" t="s">
        <v>2463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L249" s="2" t="s">
        <v>2464</v>
      </c>
      <c r="M249" s="3" t="s">
        <v>1703</v>
      </c>
      <c r="O249" s="3" t="s">
        <v>64</v>
      </c>
      <c r="P249" s="3" t="s">
        <v>1501</v>
      </c>
      <c r="Q249" s="2" t="s">
        <v>2465</v>
      </c>
      <c r="R249" s="3" t="s">
        <v>1907</v>
      </c>
      <c r="S249" s="4">
        <v>2</v>
      </c>
      <c r="T249" s="4">
        <v>2</v>
      </c>
      <c r="U249" s="5" t="s">
        <v>2466</v>
      </c>
      <c r="V249" s="5" t="s">
        <v>2466</v>
      </c>
      <c r="W249" s="5" t="s">
        <v>2467</v>
      </c>
      <c r="X249" s="5" t="s">
        <v>2467</v>
      </c>
      <c r="Y249" s="4">
        <v>189</v>
      </c>
      <c r="Z249" s="4">
        <v>114</v>
      </c>
      <c r="AA249" s="4">
        <v>206</v>
      </c>
      <c r="AB249" s="4">
        <v>2</v>
      </c>
      <c r="AC249" s="4">
        <v>3</v>
      </c>
      <c r="AD249" s="4">
        <v>4</v>
      </c>
      <c r="AE249" s="4">
        <v>8</v>
      </c>
      <c r="AF249" s="4">
        <v>1</v>
      </c>
      <c r="AG249" s="4">
        <v>3</v>
      </c>
      <c r="AH249" s="4">
        <v>2</v>
      </c>
      <c r="AI249" s="4">
        <v>3</v>
      </c>
      <c r="AJ249" s="4">
        <v>1</v>
      </c>
      <c r="AK249" s="4">
        <v>3</v>
      </c>
      <c r="AL249" s="4">
        <v>1</v>
      </c>
      <c r="AM249" s="4">
        <v>2</v>
      </c>
      <c r="AN249" s="4">
        <v>0</v>
      </c>
      <c r="AO249" s="4">
        <v>0</v>
      </c>
      <c r="AP249" s="3" t="s">
        <v>58</v>
      </c>
      <c r="AQ249" s="3" t="s">
        <v>58</v>
      </c>
      <c r="AS249" s="6" t="str">
        <f>HYPERLINK("https://creighton-primo.hosted.exlibrisgroup.com/primo-explore/search?tab=default_tab&amp;search_scope=EVERYTHING&amp;vid=01CRU&amp;lang=en_US&amp;offset=0&amp;query=any,contains,991000407209702656","Catalog Record")</f>
        <v>Catalog Record</v>
      </c>
      <c r="AT249" s="6" t="str">
        <f>HYPERLINK("http://www.worldcat.org/oclc/54966711","WorldCat Record")</f>
        <v>WorldCat Record</v>
      </c>
    </row>
    <row r="250" spans="1:46" ht="40.5" customHeight="1" x14ac:dyDescent="0.25">
      <c r="A250" s="8" t="s">
        <v>58</v>
      </c>
      <c r="B250" s="2" t="s">
        <v>2468</v>
      </c>
      <c r="C250" s="2" t="s">
        <v>2469</v>
      </c>
      <c r="D250" s="2" t="s">
        <v>2470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60</v>
      </c>
      <c r="L250" s="2" t="s">
        <v>2464</v>
      </c>
      <c r="M250" s="3" t="s">
        <v>1703</v>
      </c>
      <c r="O250" s="3" t="s">
        <v>64</v>
      </c>
      <c r="P250" s="3" t="s">
        <v>1501</v>
      </c>
      <c r="Q250" s="2" t="s">
        <v>2471</v>
      </c>
      <c r="R250" s="3" t="s">
        <v>1907</v>
      </c>
      <c r="S250" s="4">
        <v>0</v>
      </c>
      <c r="T250" s="4">
        <v>0</v>
      </c>
      <c r="U250" s="5" t="s">
        <v>2472</v>
      </c>
      <c r="V250" s="5" t="s">
        <v>2472</v>
      </c>
      <c r="W250" s="5" t="s">
        <v>2357</v>
      </c>
      <c r="X250" s="5" t="s">
        <v>2357</v>
      </c>
      <c r="Y250" s="4">
        <v>191</v>
      </c>
      <c r="Z250" s="4">
        <v>128</v>
      </c>
      <c r="AA250" s="4">
        <v>212</v>
      </c>
      <c r="AB250" s="4">
        <v>1</v>
      </c>
      <c r="AC250" s="4">
        <v>3</v>
      </c>
      <c r="AD250" s="4">
        <v>1</v>
      </c>
      <c r="AE250" s="4">
        <v>5</v>
      </c>
      <c r="AF250" s="4">
        <v>0</v>
      </c>
      <c r="AG250" s="4">
        <v>2</v>
      </c>
      <c r="AH250" s="4">
        <v>1</v>
      </c>
      <c r="AI250" s="4">
        <v>1</v>
      </c>
      <c r="AJ250" s="4">
        <v>1</v>
      </c>
      <c r="AK250" s="4">
        <v>2</v>
      </c>
      <c r="AL250" s="4">
        <v>0</v>
      </c>
      <c r="AM250" s="4">
        <v>2</v>
      </c>
      <c r="AN250" s="4">
        <v>0</v>
      </c>
      <c r="AO250" s="4">
        <v>0</v>
      </c>
      <c r="AP250" s="3" t="s">
        <v>58</v>
      </c>
      <c r="AQ250" s="3" t="s">
        <v>58</v>
      </c>
      <c r="AS250" s="6" t="str">
        <f>HYPERLINK("https://creighton-primo.hosted.exlibrisgroup.com/primo-explore/search?tab=default_tab&amp;search_scope=EVERYTHING&amp;vid=01CRU&amp;lang=en_US&amp;offset=0&amp;query=any,contains,991000406309702656","Catalog Record")</f>
        <v>Catalog Record</v>
      </c>
      <c r="AT250" s="6" t="str">
        <f>HYPERLINK("http://www.worldcat.org/oclc/53477897","WorldCat Record")</f>
        <v>WorldCat Record</v>
      </c>
    </row>
    <row r="251" spans="1:46" ht="40.5" customHeight="1" x14ac:dyDescent="0.25">
      <c r="A251" s="8" t="s">
        <v>58</v>
      </c>
      <c r="B251" s="2" t="s">
        <v>2473</v>
      </c>
      <c r="C251" s="2" t="s">
        <v>2474</v>
      </c>
      <c r="D251" s="2" t="s">
        <v>2475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60</v>
      </c>
      <c r="K251" s="2" t="s">
        <v>2476</v>
      </c>
      <c r="L251" s="2" t="s">
        <v>2477</v>
      </c>
      <c r="M251" s="3" t="s">
        <v>258</v>
      </c>
      <c r="O251" s="3" t="s">
        <v>64</v>
      </c>
      <c r="P251" s="3" t="s">
        <v>113</v>
      </c>
      <c r="R251" s="3" t="s">
        <v>1907</v>
      </c>
      <c r="S251" s="4">
        <v>8</v>
      </c>
      <c r="T251" s="4">
        <v>8</v>
      </c>
      <c r="U251" s="5" t="s">
        <v>2478</v>
      </c>
      <c r="V251" s="5" t="s">
        <v>2478</v>
      </c>
      <c r="W251" s="5" t="s">
        <v>2479</v>
      </c>
      <c r="X251" s="5" t="s">
        <v>2479</v>
      </c>
      <c r="Y251" s="4">
        <v>114</v>
      </c>
      <c r="Z251" s="4">
        <v>52</v>
      </c>
      <c r="AA251" s="4">
        <v>98</v>
      </c>
      <c r="AB251" s="4">
        <v>1</v>
      </c>
      <c r="AC251" s="4">
        <v>1</v>
      </c>
      <c r="AD251" s="4">
        <v>0</v>
      </c>
      <c r="AE251" s="4">
        <v>3</v>
      </c>
      <c r="AF251" s="4">
        <v>0</v>
      </c>
      <c r="AG251" s="4">
        <v>2</v>
      </c>
      <c r="AH251" s="4">
        <v>0</v>
      </c>
      <c r="AI251" s="4">
        <v>2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3" t="s">
        <v>58</v>
      </c>
      <c r="AQ251" s="3" t="s">
        <v>69</v>
      </c>
      <c r="AR251" s="6" t="str">
        <f>HYPERLINK("http://catalog.hathitrust.org/Record/001829762","HathiTrust Record")</f>
        <v>HathiTrust Record</v>
      </c>
      <c r="AS251" s="6" t="str">
        <f>HYPERLINK("https://creighton-primo.hosted.exlibrisgroup.com/primo-explore/search?tab=default_tab&amp;search_scope=EVERYTHING&amp;vid=01CRU&amp;lang=en_US&amp;offset=0&amp;query=any,contains,991001367899702656","Catalog Record")</f>
        <v>Catalog Record</v>
      </c>
      <c r="AT251" s="6" t="str">
        <f>HYPERLINK("http://www.worldcat.org/oclc/18990463","WorldCat Record")</f>
        <v>WorldCat Record</v>
      </c>
    </row>
    <row r="252" spans="1:46" ht="40.5" customHeight="1" x14ac:dyDescent="0.25">
      <c r="A252" s="8" t="s">
        <v>58</v>
      </c>
      <c r="B252" s="2" t="s">
        <v>2480</v>
      </c>
      <c r="C252" s="2" t="s">
        <v>2481</v>
      </c>
      <c r="D252" s="2" t="s">
        <v>2482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60</v>
      </c>
      <c r="K252" s="2" t="s">
        <v>2483</v>
      </c>
      <c r="L252" s="2" t="s">
        <v>2484</v>
      </c>
      <c r="M252" s="3" t="s">
        <v>1980</v>
      </c>
      <c r="O252" s="3" t="s">
        <v>64</v>
      </c>
      <c r="P252" s="3" t="s">
        <v>65</v>
      </c>
      <c r="R252" s="3" t="s">
        <v>1907</v>
      </c>
      <c r="S252" s="4">
        <v>2</v>
      </c>
      <c r="T252" s="4">
        <v>2</v>
      </c>
      <c r="U252" s="5" t="s">
        <v>2485</v>
      </c>
      <c r="V252" s="5" t="s">
        <v>2485</v>
      </c>
      <c r="W252" s="5" t="s">
        <v>1923</v>
      </c>
      <c r="X252" s="5" t="s">
        <v>1923</v>
      </c>
      <c r="Y252" s="4">
        <v>106</v>
      </c>
      <c r="Z252" s="4">
        <v>64</v>
      </c>
      <c r="AA252" s="4">
        <v>78</v>
      </c>
      <c r="AB252" s="4">
        <v>1</v>
      </c>
      <c r="AC252" s="4">
        <v>1</v>
      </c>
      <c r="AD252" s="4">
        <v>1</v>
      </c>
      <c r="AE252" s="4">
        <v>2</v>
      </c>
      <c r="AF252" s="4">
        <v>0</v>
      </c>
      <c r="AG252" s="4">
        <v>0</v>
      </c>
      <c r="AH252" s="4">
        <v>1</v>
      </c>
      <c r="AI252" s="4">
        <v>2</v>
      </c>
      <c r="AJ252" s="4">
        <v>1</v>
      </c>
      <c r="AK252" s="4">
        <v>1</v>
      </c>
      <c r="AL252" s="4">
        <v>0</v>
      </c>
      <c r="AM252" s="4">
        <v>0</v>
      </c>
      <c r="AN252" s="4">
        <v>0</v>
      </c>
      <c r="AO252" s="4">
        <v>0</v>
      </c>
      <c r="AP252" s="3" t="s">
        <v>58</v>
      </c>
      <c r="AQ252" s="3" t="s">
        <v>69</v>
      </c>
      <c r="AR252" s="6" t="str">
        <f>HYPERLINK("http://catalog.hathitrust.org/Record/000271661","HathiTrust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HYPERLINK("https://creighton-primo.hosted.exlibrisgroup.com/primo-explore/search?tab=default_tab&amp;search_scope=EVERYTHING&amp;vid=01CRU&amp;lang=en_US&amp;offset=0&amp;query=any,contains,991000995689702656","Catalog Record")</f>
        <v>Catalog Record</v>
      </c>
      <c r="AT252" s="6" t="str">
        <f>HYPERLINK("http://www.worldcat.org/oclc/7553235","WorldCat Record")</f>
        <v>WorldCat Record</v>
      </c>
    </row>
    <row r="253" spans="1:46" ht="40.5" customHeight="1" x14ac:dyDescent="0.25">
      <c r="A253" s="8" t="s">
        <v>58</v>
      </c>
      <c r="B253" s="2" t="s">
        <v>2486</v>
      </c>
      <c r="C253" s="2" t="s">
        <v>2487</v>
      </c>
      <c r="D253" s="2" t="s">
        <v>2488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L253" s="2" t="s">
        <v>2489</v>
      </c>
      <c r="M253" s="3" t="s">
        <v>870</v>
      </c>
      <c r="O253" s="3" t="s">
        <v>64</v>
      </c>
      <c r="P253" s="3" t="s">
        <v>1921</v>
      </c>
      <c r="R253" s="3" t="s">
        <v>1907</v>
      </c>
      <c r="S253" s="4">
        <v>3</v>
      </c>
      <c r="T253" s="4">
        <v>3</v>
      </c>
      <c r="U253" s="5" t="s">
        <v>2490</v>
      </c>
      <c r="V253" s="5" t="s">
        <v>2490</v>
      </c>
      <c r="W253" s="5" t="s">
        <v>1923</v>
      </c>
      <c r="X253" s="5" t="s">
        <v>1923</v>
      </c>
      <c r="Y253" s="4">
        <v>118</v>
      </c>
      <c r="Z253" s="4">
        <v>67</v>
      </c>
      <c r="AA253" s="4">
        <v>69</v>
      </c>
      <c r="AB253" s="4">
        <v>2</v>
      </c>
      <c r="AC253" s="4">
        <v>2</v>
      </c>
      <c r="AD253" s="4">
        <v>3</v>
      </c>
      <c r="AE253" s="4">
        <v>3</v>
      </c>
      <c r="AF253" s="4">
        <v>0</v>
      </c>
      <c r="AG253" s="4">
        <v>0</v>
      </c>
      <c r="AH253" s="4">
        <v>1</v>
      </c>
      <c r="AI253" s="4">
        <v>1</v>
      </c>
      <c r="AJ253" s="4">
        <v>2</v>
      </c>
      <c r="AK253" s="4">
        <v>2</v>
      </c>
      <c r="AL253" s="4">
        <v>1</v>
      </c>
      <c r="AM253" s="4">
        <v>1</v>
      </c>
      <c r="AN253" s="4">
        <v>0</v>
      </c>
      <c r="AO253" s="4">
        <v>0</v>
      </c>
      <c r="AP253" s="3" t="s">
        <v>58</v>
      </c>
      <c r="AQ253" s="3" t="s">
        <v>69</v>
      </c>
      <c r="AR253" s="6" t="str">
        <f>HYPERLINK("http://catalog.hathitrust.org/Record/000181538","HathiTrust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HYPERLINK("https://creighton-primo.hosted.exlibrisgroup.com/primo-explore/search?tab=default_tab&amp;search_scope=EVERYTHING&amp;vid=01CRU&amp;lang=en_US&amp;offset=0&amp;query=any,contains,991000996719702656","Catalog Record")</f>
        <v>Catalog Record</v>
      </c>
      <c r="AT253" s="6" t="str">
        <f>HYPERLINK("http://www.worldcat.org/oclc/7614717","WorldCat Record")</f>
        <v>WorldCat Record</v>
      </c>
    </row>
    <row r="254" spans="1:46" ht="40.5" customHeight="1" x14ac:dyDescent="0.25">
      <c r="A254" s="8" t="s">
        <v>58</v>
      </c>
      <c r="B254" s="2" t="s">
        <v>2491</v>
      </c>
      <c r="C254" s="2" t="s">
        <v>2492</v>
      </c>
      <c r="D254" s="2" t="s">
        <v>2493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L254" s="2" t="s">
        <v>2494</v>
      </c>
      <c r="M254" s="3" t="s">
        <v>1632</v>
      </c>
      <c r="O254" s="3" t="s">
        <v>64</v>
      </c>
      <c r="P254" s="3" t="s">
        <v>1921</v>
      </c>
      <c r="Q254" s="2" t="s">
        <v>2495</v>
      </c>
      <c r="R254" s="3" t="s">
        <v>1907</v>
      </c>
      <c r="S254" s="4">
        <v>11</v>
      </c>
      <c r="T254" s="4">
        <v>11</v>
      </c>
      <c r="U254" s="5" t="s">
        <v>2485</v>
      </c>
      <c r="V254" s="5" t="s">
        <v>2485</v>
      </c>
      <c r="W254" s="5" t="s">
        <v>2496</v>
      </c>
      <c r="X254" s="5" t="s">
        <v>2496</v>
      </c>
      <c r="Y254" s="4">
        <v>142</v>
      </c>
      <c r="Z254" s="4">
        <v>88</v>
      </c>
      <c r="AA254" s="4">
        <v>175</v>
      </c>
      <c r="AB254" s="4">
        <v>2</v>
      </c>
      <c r="AC254" s="4">
        <v>2</v>
      </c>
      <c r="AD254" s="4">
        <v>1</v>
      </c>
      <c r="AE254" s="4">
        <v>4</v>
      </c>
      <c r="AF254" s="4">
        <v>0</v>
      </c>
      <c r="AG254" s="4">
        <v>0</v>
      </c>
      <c r="AH254" s="4">
        <v>1</v>
      </c>
      <c r="AI254" s="4">
        <v>2</v>
      </c>
      <c r="AJ254" s="4">
        <v>1</v>
      </c>
      <c r="AK254" s="4">
        <v>3</v>
      </c>
      <c r="AL254" s="4">
        <v>0</v>
      </c>
      <c r="AM254" s="4">
        <v>0</v>
      </c>
      <c r="AN254" s="4">
        <v>0</v>
      </c>
      <c r="AO254" s="4">
        <v>0</v>
      </c>
      <c r="AP254" s="3" t="s">
        <v>58</v>
      </c>
      <c r="AQ254" s="3" t="s">
        <v>69</v>
      </c>
      <c r="AR254" s="6" t="str">
        <f>HYPERLINK("http://catalog.hathitrust.org/Record/000927871","HathiTrust Record")</f>
        <v>HathiTrust Record</v>
      </c>
      <c r="AS254" s="6" t="str">
        <f>HYPERLINK("https://creighton-primo.hosted.exlibrisgroup.com/primo-explore/search?tab=default_tab&amp;search_scope=EVERYTHING&amp;vid=01CRU&amp;lang=en_US&amp;offset=0&amp;query=any,contains,991001121489702656","Catalog Record")</f>
        <v>Catalog Record</v>
      </c>
      <c r="AT254" s="6" t="str">
        <f>HYPERLINK("http://www.worldcat.org/oclc/18019866","WorldCat Record")</f>
        <v>WorldCat Record</v>
      </c>
    </row>
    <row r="255" spans="1:46" ht="40.5" customHeight="1" x14ac:dyDescent="0.25">
      <c r="A255" s="8" t="s">
        <v>58</v>
      </c>
      <c r="B255" s="2" t="s">
        <v>2497</v>
      </c>
      <c r="C255" s="2" t="s">
        <v>2498</v>
      </c>
      <c r="D255" s="2" t="s">
        <v>2499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L255" s="2" t="s">
        <v>2500</v>
      </c>
      <c r="M255" s="3" t="s">
        <v>1980</v>
      </c>
      <c r="N255" s="2" t="s">
        <v>2501</v>
      </c>
      <c r="O255" s="3" t="s">
        <v>64</v>
      </c>
      <c r="P255" s="3" t="s">
        <v>1921</v>
      </c>
      <c r="R255" s="3" t="s">
        <v>1907</v>
      </c>
      <c r="S255" s="4">
        <v>6</v>
      </c>
      <c r="T255" s="4">
        <v>6</v>
      </c>
      <c r="U255" s="5" t="s">
        <v>2485</v>
      </c>
      <c r="V255" s="5" t="s">
        <v>2485</v>
      </c>
      <c r="W255" s="5" t="s">
        <v>1923</v>
      </c>
      <c r="X255" s="5" t="s">
        <v>1923</v>
      </c>
      <c r="Y255" s="4">
        <v>111</v>
      </c>
      <c r="Z255" s="4">
        <v>57</v>
      </c>
      <c r="AA255" s="4">
        <v>209</v>
      </c>
      <c r="AB255" s="4">
        <v>1</v>
      </c>
      <c r="AC255" s="4">
        <v>1</v>
      </c>
      <c r="AD255" s="4">
        <v>0</v>
      </c>
      <c r="AE255" s="4">
        <v>6</v>
      </c>
      <c r="AF255" s="4">
        <v>0</v>
      </c>
      <c r="AG255" s="4">
        <v>2</v>
      </c>
      <c r="AH255" s="4">
        <v>0</v>
      </c>
      <c r="AI255" s="4">
        <v>2</v>
      </c>
      <c r="AJ255" s="4">
        <v>0</v>
      </c>
      <c r="AK255" s="4">
        <v>4</v>
      </c>
      <c r="AL255" s="4">
        <v>0</v>
      </c>
      <c r="AM255" s="4">
        <v>0</v>
      </c>
      <c r="AN255" s="4">
        <v>0</v>
      </c>
      <c r="AO255" s="4">
        <v>0</v>
      </c>
      <c r="AP255" s="3" t="s">
        <v>58</v>
      </c>
      <c r="AQ255" s="3" t="s">
        <v>69</v>
      </c>
      <c r="AR255" s="6" t="str">
        <f>HYPERLINK("http://catalog.hathitrust.org/Record/000272172","HathiTrust Record")</f>
        <v>HathiTrust Record</v>
      </c>
      <c r="AS255" s="6" t="str">
        <f>HYPERLINK("https://creighton-primo.hosted.exlibrisgroup.com/primo-explore/search?tab=default_tab&amp;search_scope=EVERYTHING&amp;vid=01CRU&amp;lang=en_US&amp;offset=0&amp;query=any,contains,991000996679702656","Catalog Record")</f>
        <v>Catalog Record</v>
      </c>
      <c r="AT255" s="6" t="str">
        <f>HYPERLINK("http://www.worldcat.org/oclc/8170070","WorldCat Record")</f>
        <v>WorldCat Record</v>
      </c>
    </row>
    <row r="256" spans="1:46" ht="40.5" customHeight="1" x14ac:dyDescent="0.25">
      <c r="A256" s="8" t="s">
        <v>58</v>
      </c>
      <c r="B256" s="2" t="s">
        <v>2502</v>
      </c>
      <c r="C256" s="2" t="s">
        <v>2503</v>
      </c>
      <c r="D256" s="2" t="s">
        <v>2504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L256" s="2" t="s">
        <v>2505</v>
      </c>
      <c r="M256" s="3" t="s">
        <v>1094</v>
      </c>
      <c r="N256" s="2" t="s">
        <v>1759</v>
      </c>
      <c r="O256" s="3" t="s">
        <v>64</v>
      </c>
      <c r="P256" s="3" t="s">
        <v>1921</v>
      </c>
      <c r="R256" s="3" t="s">
        <v>1907</v>
      </c>
      <c r="S256" s="4">
        <v>4</v>
      </c>
      <c r="T256" s="4">
        <v>4</v>
      </c>
      <c r="U256" s="5" t="s">
        <v>2485</v>
      </c>
      <c r="V256" s="5" t="s">
        <v>2485</v>
      </c>
      <c r="W256" s="5" t="s">
        <v>2011</v>
      </c>
      <c r="X256" s="5" t="s">
        <v>2011</v>
      </c>
      <c r="Y256" s="4">
        <v>171</v>
      </c>
      <c r="Z256" s="4">
        <v>112</v>
      </c>
      <c r="AA256" s="4">
        <v>232</v>
      </c>
      <c r="AB256" s="4">
        <v>1</v>
      </c>
      <c r="AC256" s="4">
        <v>1</v>
      </c>
      <c r="AD256" s="4">
        <v>4</v>
      </c>
      <c r="AE256" s="4">
        <v>6</v>
      </c>
      <c r="AF256" s="4">
        <v>1</v>
      </c>
      <c r="AG256" s="4">
        <v>2</v>
      </c>
      <c r="AH256" s="4">
        <v>2</v>
      </c>
      <c r="AI256" s="4">
        <v>2</v>
      </c>
      <c r="AJ256" s="4">
        <v>3</v>
      </c>
      <c r="AK256" s="4">
        <v>4</v>
      </c>
      <c r="AL256" s="4">
        <v>0</v>
      </c>
      <c r="AM256" s="4">
        <v>0</v>
      </c>
      <c r="AN256" s="4">
        <v>0</v>
      </c>
      <c r="AO256" s="4">
        <v>0</v>
      </c>
      <c r="AP256" s="3" t="s">
        <v>58</v>
      </c>
      <c r="AQ256" s="3" t="s">
        <v>69</v>
      </c>
      <c r="AR256" s="6" t="str">
        <f>HYPERLINK("http://catalog.hathitrust.org/Record/000227050","HathiTrust Record")</f>
        <v>HathiTrust Record</v>
      </c>
      <c r="AS256" s="6" t="str">
        <f>HYPERLINK("https://creighton-primo.hosted.exlibrisgroup.com/primo-explore/search?tab=default_tab&amp;search_scope=EVERYTHING&amp;vid=01CRU&amp;lang=en_US&amp;offset=0&amp;query=any,contains,991000748849702656","Catalog Record")</f>
        <v>Catalog Record</v>
      </c>
      <c r="AT256" s="6" t="str">
        <f>HYPERLINK("http://www.worldcat.org/oclc/7795078","WorldCat Record")</f>
        <v>WorldCat Record</v>
      </c>
    </row>
    <row r="257" spans="1:46" ht="40.5" customHeight="1" x14ac:dyDescent="0.25">
      <c r="A257" s="8" t="s">
        <v>58</v>
      </c>
      <c r="B257" s="2" t="s">
        <v>2506</v>
      </c>
      <c r="C257" s="2" t="s">
        <v>2507</v>
      </c>
      <c r="D257" s="2" t="s">
        <v>2508</v>
      </c>
      <c r="F257" s="3" t="s">
        <v>58</v>
      </c>
      <c r="G257" s="3" t="s">
        <v>59</v>
      </c>
      <c r="H257" s="3" t="s">
        <v>58</v>
      </c>
      <c r="I257" s="3" t="s">
        <v>58</v>
      </c>
      <c r="J257" s="3" t="s">
        <v>60</v>
      </c>
      <c r="L257" s="2" t="s">
        <v>2509</v>
      </c>
      <c r="M257" s="3" t="s">
        <v>171</v>
      </c>
      <c r="O257" s="3" t="s">
        <v>64</v>
      </c>
      <c r="P257" s="3" t="s">
        <v>1501</v>
      </c>
      <c r="Q257" s="2" t="s">
        <v>2510</v>
      </c>
      <c r="R257" s="3" t="s">
        <v>1907</v>
      </c>
      <c r="S257" s="4">
        <v>4</v>
      </c>
      <c r="T257" s="4">
        <v>4</v>
      </c>
      <c r="U257" s="5" t="s">
        <v>2511</v>
      </c>
      <c r="V257" s="5" t="s">
        <v>2511</v>
      </c>
      <c r="W257" s="5" t="s">
        <v>2512</v>
      </c>
      <c r="X257" s="5" t="s">
        <v>2512</v>
      </c>
      <c r="Y257" s="4">
        <v>146</v>
      </c>
      <c r="Z257" s="4">
        <v>100</v>
      </c>
      <c r="AA257" s="4">
        <v>202</v>
      </c>
      <c r="AB257" s="4">
        <v>1</v>
      </c>
      <c r="AC257" s="4">
        <v>3</v>
      </c>
      <c r="AD257" s="4">
        <v>2</v>
      </c>
      <c r="AE257" s="4">
        <v>6</v>
      </c>
      <c r="AF257" s="4">
        <v>0</v>
      </c>
      <c r="AG257" s="4">
        <v>1</v>
      </c>
      <c r="AH257" s="4">
        <v>0</v>
      </c>
      <c r="AI257" s="4">
        <v>1</v>
      </c>
      <c r="AJ257" s="4">
        <v>2</v>
      </c>
      <c r="AK257" s="4">
        <v>3</v>
      </c>
      <c r="AL257" s="4">
        <v>0</v>
      </c>
      <c r="AM257" s="4">
        <v>2</v>
      </c>
      <c r="AN257" s="4">
        <v>0</v>
      </c>
      <c r="AO257" s="4">
        <v>0</v>
      </c>
      <c r="AP257" s="3" t="s">
        <v>58</v>
      </c>
      <c r="AQ257" s="3" t="s">
        <v>58</v>
      </c>
      <c r="AS257" s="6" t="str">
        <f>HYPERLINK("https://creighton-primo.hosted.exlibrisgroup.com/primo-explore/search?tab=default_tab&amp;search_scope=EVERYTHING&amp;vid=01CRU&amp;lang=en_US&amp;offset=0&amp;query=any,contains,991001533329702656","Catalog Record")</f>
        <v>Catalog Record</v>
      </c>
      <c r="AT257" s="6" t="str">
        <f>HYPERLINK("http://www.worldcat.org/oclc/39170391","WorldCat Record")</f>
        <v>WorldCat Record</v>
      </c>
    </row>
    <row r="258" spans="1:46" ht="40.5" customHeight="1" x14ac:dyDescent="0.25">
      <c r="A258" s="8" t="s">
        <v>58</v>
      </c>
      <c r="B258" s="2" t="s">
        <v>2513</v>
      </c>
      <c r="C258" s="2" t="s">
        <v>2514</v>
      </c>
      <c r="D258" s="2" t="s">
        <v>2515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60</v>
      </c>
      <c r="L258" s="2" t="s">
        <v>2516</v>
      </c>
      <c r="M258" s="3" t="s">
        <v>1632</v>
      </c>
      <c r="O258" s="3" t="s">
        <v>64</v>
      </c>
      <c r="P258" s="3" t="s">
        <v>172</v>
      </c>
      <c r="R258" s="3" t="s">
        <v>1907</v>
      </c>
      <c r="S258" s="4">
        <v>9</v>
      </c>
      <c r="T258" s="4">
        <v>9</v>
      </c>
      <c r="U258" s="5" t="s">
        <v>2517</v>
      </c>
      <c r="V258" s="5" t="s">
        <v>2517</v>
      </c>
      <c r="W258" s="5" t="s">
        <v>2518</v>
      </c>
      <c r="X258" s="5" t="s">
        <v>2518</v>
      </c>
      <c r="Y258" s="4">
        <v>118</v>
      </c>
      <c r="Z258" s="4">
        <v>83</v>
      </c>
      <c r="AA258" s="4">
        <v>129</v>
      </c>
      <c r="AB258" s="4">
        <v>1</v>
      </c>
      <c r="AC258" s="4">
        <v>1</v>
      </c>
      <c r="AD258" s="4">
        <v>1</v>
      </c>
      <c r="AE258" s="4">
        <v>4</v>
      </c>
      <c r="AF258" s="4">
        <v>0</v>
      </c>
      <c r="AG258" s="4">
        <v>2</v>
      </c>
      <c r="AH258" s="4">
        <v>0</v>
      </c>
      <c r="AI258" s="4">
        <v>2</v>
      </c>
      <c r="AJ258" s="4">
        <v>1</v>
      </c>
      <c r="AK258" s="4">
        <v>1</v>
      </c>
      <c r="AL258" s="4">
        <v>0</v>
      </c>
      <c r="AM258" s="4">
        <v>0</v>
      </c>
      <c r="AN258" s="4">
        <v>0</v>
      </c>
      <c r="AO258" s="4">
        <v>0</v>
      </c>
      <c r="AP258" s="3" t="s">
        <v>58</v>
      </c>
      <c r="AQ258" s="3" t="s">
        <v>69</v>
      </c>
      <c r="AR258" s="6" t="str">
        <f>HYPERLINK("http://catalog.hathitrust.org/Record/000911043","HathiTrust Record")</f>
        <v>HathiTrust Record</v>
      </c>
      <c r="AS258" s="6" t="str">
        <f>HYPERLINK("https://creighton-primo.hosted.exlibrisgroup.com/primo-explore/search?tab=default_tab&amp;search_scope=EVERYTHING&amp;vid=01CRU&amp;lang=en_US&amp;offset=0&amp;query=any,contains,991001421379702656","Catalog Record")</f>
        <v>Catalog Record</v>
      </c>
      <c r="AT258" s="6" t="str">
        <f>HYPERLINK("http://www.worldcat.org/oclc/16128827","WorldCat Record")</f>
        <v>WorldCat Record</v>
      </c>
    </row>
    <row r="259" spans="1:46" ht="40.5" customHeight="1" x14ac:dyDescent="0.25">
      <c r="A259" s="8" t="s">
        <v>58</v>
      </c>
      <c r="B259" s="2" t="s">
        <v>2519</v>
      </c>
      <c r="C259" s="2" t="s">
        <v>2520</v>
      </c>
      <c r="D259" s="2" t="s">
        <v>2521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60</v>
      </c>
      <c r="L259" s="2" t="s">
        <v>2522</v>
      </c>
      <c r="M259" s="3" t="s">
        <v>171</v>
      </c>
      <c r="O259" s="3" t="s">
        <v>64</v>
      </c>
      <c r="P259" s="3" t="s">
        <v>83</v>
      </c>
      <c r="Q259" s="2" t="s">
        <v>2523</v>
      </c>
      <c r="R259" s="3" t="s">
        <v>1907</v>
      </c>
      <c r="S259" s="4">
        <v>7</v>
      </c>
      <c r="T259" s="4">
        <v>7</v>
      </c>
      <c r="U259" s="5" t="s">
        <v>2524</v>
      </c>
      <c r="V259" s="5" t="s">
        <v>2524</v>
      </c>
      <c r="W259" s="5" t="s">
        <v>2525</v>
      </c>
      <c r="X259" s="5" t="s">
        <v>2525</v>
      </c>
      <c r="Y259" s="4">
        <v>182</v>
      </c>
      <c r="Z259" s="4">
        <v>138</v>
      </c>
      <c r="AA259" s="4">
        <v>163</v>
      </c>
      <c r="AB259" s="4">
        <v>1</v>
      </c>
      <c r="AC259" s="4">
        <v>1</v>
      </c>
      <c r="AD259" s="4">
        <v>4</v>
      </c>
      <c r="AE259" s="4">
        <v>6</v>
      </c>
      <c r="AF259" s="4">
        <v>0</v>
      </c>
      <c r="AG259" s="4">
        <v>1</v>
      </c>
      <c r="AH259" s="4">
        <v>3</v>
      </c>
      <c r="AI259" s="4">
        <v>3</v>
      </c>
      <c r="AJ259" s="4">
        <v>3</v>
      </c>
      <c r="AK259" s="4">
        <v>5</v>
      </c>
      <c r="AL259" s="4">
        <v>0</v>
      </c>
      <c r="AM259" s="4">
        <v>0</v>
      </c>
      <c r="AN259" s="4">
        <v>0</v>
      </c>
      <c r="AO259" s="4">
        <v>0</v>
      </c>
      <c r="AP259" s="3" t="s">
        <v>58</v>
      </c>
      <c r="AQ259" s="3" t="s">
        <v>58</v>
      </c>
      <c r="AS259" s="6" t="str">
        <f>HYPERLINK("https://creighton-primo.hosted.exlibrisgroup.com/primo-explore/search?tab=default_tab&amp;search_scope=EVERYTHING&amp;vid=01CRU&amp;lang=en_US&amp;offset=0&amp;query=any,contains,991000794989702656","Catalog Record")</f>
        <v>Catalog Record</v>
      </c>
      <c r="AT259" s="6" t="str">
        <f>HYPERLINK("http://www.worldcat.org/oclc/39727963","WorldCat Record")</f>
        <v>WorldCat Record</v>
      </c>
    </row>
    <row r="260" spans="1:46" ht="40.5" customHeight="1" x14ac:dyDescent="0.25">
      <c r="A260" s="8" t="s">
        <v>58</v>
      </c>
      <c r="B260" s="2" t="s">
        <v>2526</v>
      </c>
      <c r="C260" s="2" t="s">
        <v>2527</v>
      </c>
      <c r="D260" s="2" t="s">
        <v>2528</v>
      </c>
      <c r="F260" s="3" t="s">
        <v>58</v>
      </c>
      <c r="G260" s="3" t="s">
        <v>59</v>
      </c>
      <c r="H260" s="3" t="s">
        <v>58</v>
      </c>
      <c r="I260" s="3" t="s">
        <v>58</v>
      </c>
      <c r="J260" s="3" t="s">
        <v>60</v>
      </c>
      <c r="L260" s="2" t="s">
        <v>2529</v>
      </c>
      <c r="M260" s="3" t="s">
        <v>884</v>
      </c>
      <c r="O260" s="3" t="s">
        <v>64</v>
      </c>
      <c r="P260" s="3" t="s">
        <v>113</v>
      </c>
      <c r="Q260" s="2" t="s">
        <v>2530</v>
      </c>
      <c r="R260" s="3" t="s">
        <v>1907</v>
      </c>
      <c r="S260" s="4">
        <v>7</v>
      </c>
      <c r="T260" s="4">
        <v>7</v>
      </c>
      <c r="U260" s="5" t="s">
        <v>2405</v>
      </c>
      <c r="V260" s="5" t="s">
        <v>2405</v>
      </c>
      <c r="W260" s="5" t="s">
        <v>1923</v>
      </c>
      <c r="X260" s="5" t="s">
        <v>1923</v>
      </c>
      <c r="Y260" s="4">
        <v>233</v>
      </c>
      <c r="Z260" s="4">
        <v>166</v>
      </c>
      <c r="AA260" s="4">
        <v>167</v>
      </c>
      <c r="AB260" s="4">
        <v>2</v>
      </c>
      <c r="AC260" s="4">
        <v>2</v>
      </c>
      <c r="AD260" s="4">
        <v>6</v>
      </c>
      <c r="AE260" s="4">
        <v>6</v>
      </c>
      <c r="AF260" s="4">
        <v>3</v>
      </c>
      <c r="AG260" s="4">
        <v>3</v>
      </c>
      <c r="AH260" s="4">
        <v>1</v>
      </c>
      <c r="AI260" s="4">
        <v>1</v>
      </c>
      <c r="AJ260" s="4">
        <v>2</v>
      </c>
      <c r="AK260" s="4">
        <v>2</v>
      </c>
      <c r="AL260" s="4">
        <v>1</v>
      </c>
      <c r="AM260" s="4">
        <v>1</v>
      </c>
      <c r="AN260" s="4">
        <v>0</v>
      </c>
      <c r="AO260" s="4">
        <v>0</v>
      </c>
      <c r="AP260" s="3" t="s">
        <v>58</v>
      </c>
      <c r="AQ260" s="3" t="s">
        <v>69</v>
      </c>
      <c r="AR260" s="6" t="str">
        <f>HYPERLINK("http://catalog.hathitrust.org/Record/000578271","HathiTrust Record")</f>
        <v>HathiTrust Record</v>
      </c>
      <c r="AS260" s="6" t="str">
        <f>HYPERLINK("https://creighton-primo.hosted.exlibrisgroup.com/primo-explore/search?tab=default_tab&amp;search_scope=EVERYTHING&amp;vid=01CRU&amp;lang=en_US&amp;offset=0&amp;query=any,contains,991000996389702656","Catalog Record")</f>
        <v>Catalog Record</v>
      </c>
      <c r="AT260" s="6" t="str">
        <f>HYPERLINK("http://www.worldcat.org/oclc/10849736","WorldCat Record")</f>
        <v>WorldCat Record</v>
      </c>
    </row>
    <row r="261" spans="1:46" ht="40.5" customHeight="1" x14ac:dyDescent="0.25">
      <c r="A261" s="8" t="s">
        <v>58</v>
      </c>
      <c r="B261" s="2" t="s">
        <v>2531</v>
      </c>
      <c r="C261" s="2" t="s">
        <v>2532</v>
      </c>
      <c r="D261" s="2" t="s">
        <v>2533</v>
      </c>
      <c r="F261" s="3" t="s">
        <v>58</v>
      </c>
      <c r="G261" s="3" t="s">
        <v>59</v>
      </c>
      <c r="H261" s="3" t="s">
        <v>58</v>
      </c>
      <c r="I261" s="3" t="s">
        <v>58</v>
      </c>
      <c r="J261" s="3" t="s">
        <v>60</v>
      </c>
      <c r="K261" s="2" t="s">
        <v>2534</v>
      </c>
      <c r="L261" s="2" t="s">
        <v>2535</v>
      </c>
      <c r="M261" s="3" t="s">
        <v>442</v>
      </c>
      <c r="O261" s="3" t="s">
        <v>64</v>
      </c>
      <c r="P261" s="3" t="s">
        <v>1607</v>
      </c>
      <c r="R261" s="3" t="s">
        <v>1907</v>
      </c>
      <c r="S261" s="4">
        <v>3</v>
      </c>
      <c r="T261" s="4">
        <v>3</v>
      </c>
      <c r="U261" s="5" t="s">
        <v>2536</v>
      </c>
      <c r="V261" s="5" t="s">
        <v>2536</v>
      </c>
      <c r="W261" s="5" t="s">
        <v>2433</v>
      </c>
      <c r="X261" s="5" t="s">
        <v>2433</v>
      </c>
      <c r="Y261" s="4">
        <v>198</v>
      </c>
      <c r="Z261" s="4">
        <v>131</v>
      </c>
      <c r="AA261" s="4">
        <v>133</v>
      </c>
      <c r="AB261" s="4">
        <v>2</v>
      </c>
      <c r="AC261" s="4">
        <v>2</v>
      </c>
      <c r="AD261" s="4">
        <v>4</v>
      </c>
      <c r="AE261" s="4">
        <v>4</v>
      </c>
      <c r="AF261" s="4">
        <v>1</v>
      </c>
      <c r="AG261" s="4">
        <v>1</v>
      </c>
      <c r="AH261" s="4">
        <v>0</v>
      </c>
      <c r="AI261" s="4">
        <v>0</v>
      </c>
      <c r="AJ261" s="4">
        <v>2</v>
      </c>
      <c r="AK261" s="4">
        <v>2</v>
      </c>
      <c r="AL261" s="4">
        <v>1</v>
      </c>
      <c r="AM261" s="4">
        <v>1</v>
      </c>
      <c r="AN261" s="4">
        <v>0</v>
      </c>
      <c r="AO261" s="4">
        <v>0</v>
      </c>
      <c r="AP261" s="3" t="s">
        <v>58</v>
      </c>
      <c r="AQ261" s="3" t="s">
        <v>69</v>
      </c>
      <c r="AR261" s="6" t="str">
        <f>HYPERLINK("http://catalog.hathitrust.org/Record/002066339","HathiTrust Record")</f>
        <v>HathiTrust Record</v>
      </c>
      <c r="AS261" s="6" t="str">
        <f>HYPERLINK("https://creighton-primo.hosted.exlibrisgroup.com/primo-explore/search?tab=default_tab&amp;search_scope=EVERYTHING&amp;vid=01CRU&amp;lang=en_US&amp;offset=0&amp;query=any,contains,991000996309702656","Catalog Record")</f>
        <v>Catalog Record</v>
      </c>
      <c r="AT261" s="6" t="str">
        <f>HYPERLINK("http://www.worldcat.org/oclc/2399517","WorldCat Record")</f>
        <v>WorldCat Record</v>
      </c>
    </row>
    <row r="262" spans="1:46" ht="40.5" customHeight="1" x14ac:dyDescent="0.25">
      <c r="A262" s="8" t="s">
        <v>58</v>
      </c>
      <c r="B262" s="2" t="s">
        <v>2537</v>
      </c>
      <c r="C262" s="2" t="s">
        <v>2538</v>
      </c>
      <c r="D262" s="2" t="s">
        <v>2539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60</v>
      </c>
      <c r="K262" s="2" t="s">
        <v>2540</v>
      </c>
      <c r="L262" s="2" t="s">
        <v>2541</v>
      </c>
      <c r="M262" s="3" t="s">
        <v>2446</v>
      </c>
      <c r="O262" s="3" t="s">
        <v>64</v>
      </c>
      <c r="P262" s="3" t="s">
        <v>83</v>
      </c>
      <c r="R262" s="3" t="s">
        <v>1907</v>
      </c>
      <c r="S262" s="4">
        <v>7</v>
      </c>
      <c r="T262" s="4">
        <v>7</v>
      </c>
      <c r="U262" s="5" t="s">
        <v>2542</v>
      </c>
      <c r="V262" s="5" t="s">
        <v>2542</v>
      </c>
      <c r="W262" s="5" t="s">
        <v>2433</v>
      </c>
      <c r="X262" s="5" t="s">
        <v>2433</v>
      </c>
      <c r="Y262" s="4">
        <v>257</v>
      </c>
      <c r="Z262" s="4">
        <v>187</v>
      </c>
      <c r="AA262" s="4">
        <v>189</v>
      </c>
      <c r="AB262" s="4">
        <v>2</v>
      </c>
      <c r="AC262" s="4">
        <v>2</v>
      </c>
      <c r="AD262" s="4">
        <v>5</v>
      </c>
      <c r="AE262" s="4">
        <v>5</v>
      </c>
      <c r="AF262" s="4">
        <v>0</v>
      </c>
      <c r="AG262" s="4">
        <v>0</v>
      </c>
      <c r="AH262" s="4">
        <v>3</v>
      </c>
      <c r="AI262" s="4">
        <v>3</v>
      </c>
      <c r="AJ262" s="4">
        <v>2</v>
      </c>
      <c r="AK262" s="4">
        <v>2</v>
      </c>
      <c r="AL262" s="4">
        <v>1</v>
      </c>
      <c r="AM262" s="4">
        <v>1</v>
      </c>
      <c r="AN262" s="4">
        <v>0</v>
      </c>
      <c r="AO262" s="4">
        <v>0</v>
      </c>
      <c r="AP262" s="3" t="s">
        <v>58</v>
      </c>
      <c r="AQ262" s="3" t="s">
        <v>69</v>
      </c>
      <c r="AR262" s="6" t="str">
        <f>HYPERLINK("http://catalog.hathitrust.org/Record/001562064","HathiTrust Record")</f>
        <v>HathiTrust Record</v>
      </c>
      <c r="AS262" s="6" t="str">
        <f>HYPERLINK("https://creighton-primo.hosted.exlibrisgroup.com/primo-explore/search?tab=default_tab&amp;search_scope=EVERYTHING&amp;vid=01CRU&amp;lang=en_US&amp;offset=0&amp;query=any,contains,991000996349702656","Catalog Record")</f>
        <v>Catalog Record</v>
      </c>
      <c r="AT262" s="6" t="str">
        <f>HYPERLINK("http://www.worldcat.org/oclc/570367","WorldCat Record")</f>
        <v>WorldCat Record</v>
      </c>
    </row>
    <row r="263" spans="1:46" ht="40.5" customHeight="1" x14ac:dyDescent="0.25">
      <c r="A263" s="8" t="s">
        <v>58</v>
      </c>
      <c r="B263" s="2" t="s">
        <v>2543</v>
      </c>
      <c r="C263" s="2" t="s">
        <v>2544</v>
      </c>
      <c r="D263" s="2" t="s">
        <v>2545</v>
      </c>
      <c r="F263" s="3" t="s">
        <v>58</v>
      </c>
      <c r="G263" s="3" t="s">
        <v>59</v>
      </c>
      <c r="H263" s="3" t="s">
        <v>58</v>
      </c>
      <c r="I263" s="3" t="s">
        <v>58</v>
      </c>
      <c r="J263" s="3" t="s">
        <v>60</v>
      </c>
      <c r="K263" s="2" t="s">
        <v>2546</v>
      </c>
      <c r="L263" s="2" t="s">
        <v>2547</v>
      </c>
      <c r="M263" s="3" t="s">
        <v>525</v>
      </c>
      <c r="O263" s="3" t="s">
        <v>64</v>
      </c>
      <c r="P263" s="3" t="s">
        <v>2548</v>
      </c>
      <c r="R263" s="3" t="s">
        <v>1907</v>
      </c>
      <c r="S263" s="4">
        <v>3</v>
      </c>
      <c r="T263" s="4">
        <v>3</v>
      </c>
      <c r="U263" s="5" t="s">
        <v>2549</v>
      </c>
      <c r="V263" s="5" t="s">
        <v>2549</v>
      </c>
      <c r="W263" s="5" t="s">
        <v>2550</v>
      </c>
      <c r="X263" s="5" t="s">
        <v>2550</v>
      </c>
      <c r="Y263" s="4">
        <v>14</v>
      </c>
      <c r="Z263" s="4">
        <v>11</v>
      </c>
      <c r="AA263" s="4">
        <v>13</v>
      </c>
      <c r="AB263" s="4">
        <v>1</v>
      </c>
      <c r="AC263" s="4">
        <v>1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3" t="s">
        <v>58</v>
      </c>
      <c r="AQ263" s="3" t="s">
        <v>69</v>
      </c>
      <c r="AR263" s="6" t="str">
        <f>HYPERLINK("http://catalog.hathitrust.org/Record/003949998","HathiTrust Record")</f>
        <v>HathiTrust Record</v>
      </c>
      <c r="AS263" s="6" t="str">
        <f>HYPERLINK("https://creighton-primo.hosted.exlibrisgroup.com/primo-explore/search?tab=default_tab&amp;search_scope=EVERYTHING&amp;vid=01CRU&amp;lang=en_US&amp;offset=0&amp;query=any,contains,991001029479702656","Catalog Record")</f>
        <v>Catalog Record</v>
      </c>
      <c r="AT263" s="6" t="str">
        <f>HYPERLINK("http://www.worldcat.org/oclc/25195802","WorldCat Record")</f>
        <v>WorldCat Record</v>
      </c>
    </row>
    <row r="264" spans="1:46" ht="40.5" customHeight="1" x14ac:dyDescent="0.25">
      <c r="A264" s="8" t="s">
        <v>58</v>
      </c>
      <c r="B264" s="2" t="s">
        <v>2551</v>
      </c>
      <c r="C264" s="2" t="s">
        <v>2552</v>
      </c>
      <c r="D264" s="2" t="s">
        <v>2553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60</v>
      </c>
      <c r="K264" s="2" t="s">
        <v>2554</v>
      </c>
      <c r="M264" s="3" t="s">
        <v>1980</v>
      </c>
      <c r="O264" s="3" t="s">
        <v>64</v>
      </c>
      <c r="P264" s="3" t="s">
        <v>939</v>
      </c>
      <c r="R264" s="3" t="s">
        <v>1907</v>
      </c>
      <c r="S264" s="4">
        <v>3</v>
      </c>
      <c r="T264" s="4">
        <v>3</v>
      </c>
      <c r="U264" s="5" t="s">
        <v>2542</v>
      </c>
      <c r="V264" s="5" t="s">
        <v>2542</v>
      </c>
      <c r="W264" s="5" t="s">
        <v>1923</v>
      </c>
      <c r="X264" s="5" t="s">
        <v>1923</v>
      </c>
      <c r="Y264" s="4">
        <v>16</v>
      </c>
      <c r="Z264" s="4">
        <v>13</v>
      </c>
      <c r="AA264" s="4">
        <v>15</v>
      </c>
      <c r="AB264" s="4">
        <v>1</v>
      </c>
      <c r="AC264" s="4">
        <v>1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3" t="s">
        <v>58</v>
      </c>
      <c r="AQ264" s="3" t="s">
        <v>69</v>
      </c>
      <c r="AR264" s="6" t="str">
        <f>HYPERLINK("http://catalog.hathitrust.org/Record/003950014","HathiTrust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HYPERLINK("https://creighton-primo.hosted.exlibrisgroup.com/primo-explore/search?tab=default_tab&amp;search_scope=EVERYTHING&amp;vid=01CRU&amp;lang=en_US&amp;offset=0&amp;query=any,contains,991000996269702656","Catalog Record")</f>
        <v>Catalog Record</v>
      </c>
      <c r="AT264" s="6" t="str">
        <f>HYPERLINK("http://www.worldcat.org/oclc/9668483","WorldCat Record")</f>
        <v>WorldCat Record</v>
      </c>
    </row>
    <row r="265" spans="1:46" ht="40.5" customHeight="1" x14ac:dyDescent="0.25">
      <c r="A265" s="8" t="s">
        <v>58</v>
      </c>
      <c r="B265" s="2" t="s">
        <v>2555</v>
      </c>
      <c r="C265" s="2" t="s">
        <v>2556</v>
      </c>
      <c r="D265" s="2" t="s">
        <v>2557</v>
      </c>
      <c r="F265" s="3" t="s">
        <v>58</v>
      </c>
      <c r="G265" s="3" t="s">
        <v>59</v>
      </c>
      <c r="H265" s="3" t="s">
        <v>58</v>
      </c>
      <c r="I265" s="3" t="s">
        <v>58</v>
      </c>
      <c r="J265" s="3" t="s">
        <v>60</v>
      </c>
      <c r="K265" s="2" t="s">
        <v>2558</v>
      </c>
      <c r="L265" s="2" t="s">
        <v>2559</v>
      </c>
      <c r="M265" s="3" t="s">
        <v>1632</v>
      </c>
      <c r="O265" s="3" t="s">
        <v>64</v>
      </c>
      <c r="P265" s="3" t="s">
        <v>2548</v>
      </c>
      <c r="R265" s="3" t="s">
        <v>1907</v>
      </c>
      <c r="S265" s="4">
        <v>2</v>
      </c>
      <c r="T265" s="4">
        <v>2</v>
      </c>
      <c r="U265" s="5" t="s">
        <v>2542</v>
      </c>
      <c r="V265" s="5" t="s">
        <v>2542</v>
      </c>
      <c r="W265" s="5" t="s">
        <v>2560</v>
      </c>
      <c r="X265" s="5" t="s">
        <v>2560</v>
      </c>
      <c r="Y265" s="4">
        <v>13</v>
      </c>
      <c r="Z265" s="4">
        <v>10</v>
      </c>
      <c r="AA265" s="4">
        <v>12</v>
      </c>
      <c r="AB265" s="4">
        <v>1</v>
      </c>
      <c r="AC265" s="4">
        <v>1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3" t="s">
        <v>58</v>
      </c>
      <c r="AQ265" s="3" t="s">
        <v>69</v>
      </c>
      <c r="AR265" s="6" t="str">
        <f>HYPERLINK("http://catalog.hathitrust.org/Record/003950015","HathiTrust Record")</f>
        <v>HathiTrust Record</v>
      </c>
      <c r="AS265" s="6" t="str">
        <f>HYPERLINK("https://creighton-primo.hosted.exlibrisgroup.com/primo-explore/search?tab=default_tab&amp;search_scope=EVERYTHING&amp;vid=01CRU&amp;lang=en_US&amp;offset=0&amp;query=any,contains,991001102729702656","Catalog Record")</f>
        <v>Catalog Record</v>
      </c>
      <c r="AT265" s="6" t="str">
        <f>HYPERLINK("http://www.worldcat.org/oclc/18171129","WorldCat Record")</f>
        <v>WorldCat Record</v>
      </c>
    </row>
    <row r="266" spans="1:46" ht="40.5" customHeight="1" x14ac:dyDescent="0.25">
      <c r="A266" s="8" t="s">
        <v>58</v>
      </c>
      <c r="B266" s="2" t="s">
        <v>2561</v>
      </c>
      <c r="C266" s="2" t="s">
        <v>2562</v>
      </c>
      <c r="D266" s="2" t="s">
        <v>2563</v>
      </c>
      <c r="F266" s="3" t="s">
        <v>58</v>
      </c>
      <c r="G266" s="3" t="s">
        <v>59</v>
      </c>
      <c r="H266" s="3" t="s">
        <v>58</v>
      </c>
      <c r="I266" s="3" t="s">
        <v>58</v>
      </c>
      <c r="J266" s="3" t="s">
        <v>60</v>
      </c>
      <c r="K266" s="2" t="s">
        <v>2564</v>
      </c>
      <c r="L266" s="2" t="s">
        <v>2565</v>
      </c>
      <c r="M266" s="3" t="s">
        <v>950</v>
      </c>
      <c r="O266" s="3" t="s">
        <v>64</v>
      </c>
      <c r="P266" s="3" t="s">
        <v>2191</v>
      </c>
      <c r="R266" s="3" t="s">
        <v>1907</v>
      </c>
      <c r="S266" s="4">
        <v>4</v>
      </c>
      <c r="T266" s="4">
        <v>4</v>
      </c>
      <c r="U266" s="5" t="s">
        <v>1935</v>
      </c>
      <c r="V266" s="5" t="s">
        <v>1935</v>
      </c>
      <c r="W266" s="5" t="s">
        <v>2433</v>
      </c>
      <c r="X266" s="5" t="s">
        <v>2433</v>
      </c>
      <c r="Y266" s="4">
        <v>164</v>
      </c>
      <c r="Z266" s="4">
        <v>125</v>
      </c>
      <c r="AA266" s="4">
        <v>128</v>
      </c>
      <c r="AB266" s="4">
        <v>2</v>
      </c>
      <c r="AC266" s="4">
        <v>2</v>
      </c>
      <c r="AD266" s="4">
        <v>2</v>
      </c>
      <c r="AE266" s="4">
        <v>2</v>
      </c>
      <c r="AF266" s="4">
        <v>0</v>
      </c>
      <c r="AG266" s="4">
        <v>0</v>
      </c>
      <c r="AH266" s="4">
        <v>1</v>
      </c>
      <c r="AI266" s="4">
        <v>1</v>
      </c>
      <c r="AJ266" s="4">
        <v>1</v>
      </c>
      <c r="AK266" s="4">
        <v>1</v>
      </c>
      <c r="AL266" s="4">
        <v>1</v>
      </c>
      <c r="AM266" s="4">
        <v>1</v>
      </c>
      <c r="AN266" s="4">
        <v>0</v>
      </c>
      <c r="AO266" s="4">
        <v>0</v>
      </c>
      <c r="AP266" s="3" t="s">
        <v>58</v>
      </c>
      <c r="AQ266" s="3" t="s">
        <v>69</v>
      </c>
      <c r="AR266" s="6" t="str">
        <f>HYPERLINK("http://catalog.hathitrust.org/Record/001562128","HathiTrust Record")</f>
        <v>HathiTrust Record</v>
      </c>
      <c r="AS266" s="6" t="str">
        <f>HYPERLINK("https://creighton-primo.hosted.exlibrisgroup.com/primo-explore/search?tab=default_tab&amp;search_scope=EVERYTHING&amp;vid=01CRU&amp;lang=en_US&amp;offset=0&amp;query=any,contains,991000996129702656","Catalog Record")</f>
        <v>Catalog Record</v>
      </c>
      <c r="AT266" s="6" t="str">
        <f>HYPERLINK("http://www.worldcat.org/oclc/141614","WorldCat Record")</f>
        <v>WorldCat Record</v>
      </c>
    </row>
    <row r="267" spans="1:46" ht="40.5" customHeight="1" x14ac:dyDescent="0.25">
      <c r="A267" s="8" t="s">
        <v>58</v>
      </c>
      <c r="B267" s="2" t="s">
        <v>2566</v>
      </c>
      <c r="C267" s="2" t="s">
        <v>2567</v>
      </c>
      <c r="D267" s="2" t="s">
        <v>2568</v>
      </c>
      <c r="F267" s="3" t="s">
        <v>58</v>
      </c>
      <c r="G267" s="3" t="s">
        <v>59</v>
      </c>
      <c r="H267" s="3" t="s">
        <v>58</v>
      </c>
      <c r="I267" s="3" t="s">
        <v>58</v>
      </c>
      <c r="J267" s="3" t="s">
        <v>60</v>
      </c>
      <c r="L267" s="2" t="s">
        <v>2457</v>
      </c>
      <c r="M267" s="3" t="s">
        <v>1632</v>
      </c>
      <c r="O267" s="3" t="s">
        <v>64</v>
      </c>
      <c r="P267" s="3" t="s">
        <v>1921</v>
      </c>
      <c r="R267" s="3" t="s">
        <v>1907</v>
      </c>
      <c r="S267" s="4">
        <v>7</v>
      </c>
      <c r="T267" s="4">
        <v>7</v>
      </c>
      <c r="U267" s="5" t="s">
        <v>2569</v>
      </c>
      <c r="V267" s="5" t="s">
        <v>2569</v>
      </c>
      <c r="W267" s="5" t="s">
        <v>2570</v>
      </c>
      <c r="X267" s="5" t="s">
        <v>2570</v>
      </c>
      <c r="Y267" s="4">
        <v>140</v>
      </c>
      <c r="Z267" s="4">
        <v>102</v>
      </c>
      <c r="AA267" s="4">
        <v>125</v>
      </c>
      <c r="AB267" s="4">
        <v>2</v>
      </c>
      <c r="AC267" s="4">
        <v>2</v>
      </c>
      <c r="AD267" s="4">
        <v>4</v>
      </c>
      <c r="AE267" s="4">
        <v>4</v>
      </c>
      <c r="AF267" s="4">
        <v>0</v>
      </c>
      <c r="AG267" s="4">
        <v>0</v>
      </c>
      <c r="AH267" s="4">
        <v>1</v>
      </c>
      <c r="AI267" s="4">
        <v>1</v>
      </c>
      <c r="AJ267" s="4">
        <v>3</v>
      </c>
      <c r="AK267" s="4">
        <v>3</v>
      </c>
      <c r="AL267" s="4">
        <v>1</v>
      </c>
      <c r="AM267" s="4">
        <v>1</v>
      </c>
      <c r="AN267" s="4">
        <v>0</v>
      </c>
      <c r="AO267" s="4">
        <v>0</v>
      </c>
      <c r="AP267" s="3" t="s">
        <v>58</v>
      </c>
      <c r="AQ267" s="3" t="s">
        <v>58</v>
      </c>
      <c r="AS267" s="6" t="str">
        <f>HYPERLINK("https://creighton-primo.hosted.exlibrisgroup.com/primo-explore/search?tab=default_tab&amp;search_scope=EVERYTHING&amp;vid=01CRU&amp;lang=en_US&amp;offset=0&amp;query=any,contains,991001107359702656","Catalog Record")</f>
        <v>Catalog Record</v>
      </c>
      <c r="AT267" s="6" t="str">
        <f>HYPERLINK("http://www.worldcat.org/oclc/16718642","WorldCat Record")</f>
        <v>WorldCat Record</v>
      </c>
    </row>
    <row r="268" spans="1:46" ht="40.5" customHeight="1" x14ac:dyDescent="0.25">
      <c r="A268" s="8" t="s">
        <v>58</v>
      </c>
      <c r="B268" s="2" t="s">
        <v>2571</v>
      </c>
      <c r="C268" s="2" t="s">
        <v>2572</v>
      </c>
      <c r="D268" s="2" t="s">
        <v>2573</v>
      </c>
      <c r="F268" s="3" t="s">
        <v>58</v>
      </c>
      <c r="G268" s="3" t="s">
        <v>59</v>
      </c>
      <c r="H268" s="3" t="s">
        <v>58</v>
      </c>
      <c r="I268" s="3" t="s">
        <v>58</v>
      </c>
      <c r="J268" s="3" t="s">
        <v>60</v>
      </c>
      <c r="L268" s="2" t="s">
        <v>2574</v>
      </c>
      <c r="M268" s="3" t="s">
        <v>258</v>
      </c>
      <c r="O268" s="3" t="s">
        <v>64</v>
      </c>
      <c r="P268" s="3" t="s">
        <v>113</v>
      </c>
      <c r="R268" s="3" t="s">
        <v>1907</v>
      </c>
      <c r="S268" s="4">
        <v>5</v>
      </c>
      <c r="T268" s="4">
        <v>5</v>
      </c>
      <c r="U268" s="5" t="s">
        <v>2300</v>
      </c>
      <c r="V268" s="5" t="s">
        <v>2300</v>
      </c>
      <c r="W268" s="5" t="s">
        <v>2575</v>
      </c>
      <c r="X268" s="5" t="s">
        <v>2575</v>
      </c>
      <c r="Y268" s="4">
        <v>70</v>
      </c>
      <c r="Z268" s="4">
        <v>37</v>
      </c>
      <c r="AA268" s="4">
        <v>37</v>
      </c>
      <c r="AB268" s="4">
        <v>1</v>
      </c>
      <c r="AC268" s="4">
        <v>1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3" t="s">
        <v>58</v>
      </c>
      <c r="AQ268" s="3" t="s">
        <v>58</v>
      </c>
      <c r="AS268" s="6" t="str">
        <f>HYPERLINK("https://creighton-primo.hosted.exlibrisgroup.com/primo-explore/search?tab=default_tab&amp;search_scope=EVERYTHING&amp;vid=01CRU&amp;lang=en_US&amp;offset=0&amp;query=any,contains,991001383339702656","Catalog Record")</f>
        <v>Catalog Record</v>
      </c>
      <c r="AT268" s="6" t="str">
        <f>HYPERLINK("http://www.worldcat.org/oclc/21166182","WorldCat Record")</f>
        <v>WorldCat Record</v>
      </c>
    </row>
    <row r="269" spans="1:46" ht="40.5" customHeight="1" x14ac:dyDescent="0.25">
      <c r="A269" s="8" t="s">
        <v>58</v>
      </c>
      <c r="B269" s="2" t="s">
        <v>2576</v>
      </c>
      <c r="C269" s="2" t="s">
        <v>2577</v>
      </c>
      <c r="D269" s="2" t="s">
        <v>2578</v>
      </c>
      <c r="F269" s="3" t="s">
        <v>58</v>
      </c>
      <c r="G269" s="3" t="s">
        <v>59</v>
      </c>
      <c r="H269" s="3" t="s">
        <v>58</v>
      </c>
      <c r="I269" s="3" t="s">
        <v>58</v>
      </c>
      <c r="J269" s="3" t="s">
        <v>60</v>
      </c>
      <c r="L269" s="2" t="s">
        <v>2579</v>
      </c>
      <c r="M269" s="3" t="s">
        <v>185</v>
      </c>
      <c r="O269" s="3" t="s">
        <v>64</v>
      </c>
      <c r="P269" s="3" t="s">
        <v>607</v>
      </c>
      <c r="R269" s="3" t="s">
        <v>1907</v>
      </c>
      <c r="S269" s="4">
        <v>9</v>
      </c>
      <c r="T269" s="4">
        <v>9</v>
      </c>
      <c r="U269" s="5" t="s">
        <v>2580</v>
      </c>
      <c r="V269" s="5" t="s">
        <v>2580</v>
      </c>
      <c r="W269" s="5" t="s">
        <v>2581</v>
      </c>
      <c r="X269" s="5" t="s">
        <v>2581</v>
      </c>
      <c r="Y269" s="4">
        <v>100</v>
      </c>
      <c r="Z269" s="4">
        <v>65</v>
      </c>
      <c r="AA269" s="4">
        <v>101</v>
      </c>
      <c r="AB269" s="4">
        <v>1</v>
      </c>
      <c r="AC269" s="4">
        <v>1</v>
      </c>
      <c r="AD269" s="4">
        <v>1</v>
      </c>
      <c r="AE269" s="4">
        <v>1</v>
      </c>
      <c r="AF269" s="4">
        <v>0</v>
      </c>
      <c r="AG269" s="4">
        <v>0</v>
      </c>
      <c r="AH269" s="4">
        <v>0</v>
      </c>
      <c r="AI269" s="4">
        <v>0</v>
      </c>
      <c r="AJ269" s="4">
        <v>1</v>
      </c>
      <c r="AK269" s="4">
        <v>1</v>
      </c>
      <c r="AL269" s="4">
        <v>0</v>
      </c>
      <c r="AM269" s="4">
        <v>0</v>
      </c>
      <c r="AN269" s="4">
        <v>0</v>
      </c>
      <c r="AO269" s="4">
        <v>0</v>
      </c>
      <c r="AP269" s="3" t="s">
        <v>58</v>
      </c>
      <c r="AQ269" s="3" t="s">
        <v>58</v>
      </c>
      <c r="AS269" s="6" t="str">
        <f>HYPERLINK("https://creighton-primo.hosted.exlibrisgroup.com/primo-explore/search?tab=default_tab&amp;search_scope=EVERYTHING&amp;vid=01CRU&amp;lang=en_US&amp;offset=0&amp;query=any,contains,991000669249702656","Catalog Record")</f>
        <v>Catalog Record</v>
      </c>
      <c r="AT269" s="6" t="str">
        <f>HYPERLINK("http://www.worldcat.org/oclc/26502681","WorldCat Record")</f>
        <v>WorldCat Record</v>
      </c>
    </row>
    <row r="270" spans="1:46" ht="40.5" customHeight="1" x14ac:dyDescent="0.25">
      <c r="A270" s="8" t="s">
        <v>58</v>
      </c>
      <c r="B270" s="2" t="s">
        <v>2582</v>
      </c>
      <c r="C270" s="2" t="s">
        <v>2583</v>
      </c>
      <c r="D270" s="2" t="s">
        <v>2584</v>
      </c>
      <c r="F270" s="3" t="s">
        <v>58</v>
      </c>
      <c r="G270" s="3" t="s">
        <v>59</v>
      </c>
      <c r="H270" s="3" t="s">
        <v>58</v>
      </c>
      <c r="I270" s="3" t="s">
        <v>58</v>
      </c>
      <c r="J270" s="3" t="s">
        <v>60</v>
      </c>
      <c r="L270" s="2" t="s">
        <v>2585</v>
      </c>
      <c r="M270" s="3" t="s">
        <v>2263</v>
      </c>
      <c r="O270" s="3" t="s">
        <v>64</v>
      </c>
      <c r="P270" s="3" t="s">
        <v>1501</v>
      </c>
      <c r="Q270" s="2" t="s">
        <v>2586</v>
      </c>
      <c r="R270" s="3" t="s">
        <v>1907</v>
      </c>
      <c r="S270" s="4">
        <v>5</v>
      </c>
      <c r="T270" s="4">
        <v>5</v>
      </c>
      <c r="U270" s="5" t="s">
        <v>2587</v>
      </c>
      <c r="V270" s="5" t="s">
        <v>2587</v>
      </c>
      <c r="W270" s="5" t="s">
        <v>2588</v>
      </c>
      <c r="X270" s="5" t="s">
        <v>2588</v>
      </c>
      <c r="Y270" s="4">
        <v>131</v>
      </c>
      <c r="Z270" s="4">
        <v>85</v>
      </c>
      <c r="AA270" s="4">
        <v>147</v>
      </c>
      <c r="AB270" s="4">
        <v>1</v>
      </c>
      <c r="AC270" s="4">
        <v>3</v>
      </c>
      <c r="AD270" s="4">
        <v>0</v>
      </c>
      <c r="AE270" s="4">
        <v>3</v>
      </c>
      <c r="AF270" s="4">
        <v>0</v>
      </c>
      <c r="AG270" s="4">
        <v>1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2</v>
      </c>
      <c r="AN270" s="4">
        <v>0</v>
      </c>
      <c r="AO270" s="4">
        <v>0</v>
      </c>
      <c r="AP270" s="3" t="s">
        <v>58</v>
      </c>
      <c r="AQ270" s="3" t="s">
        <v>69</v>
      </c>
      <c r="AR270" s="6" t="str">
        <f>HYPERLINK("http://catalog.hathitrust.org/Record/003168603","HathiTrust Record")</f>
        <v>HathiTrust Record</v>
      </c>
      <c r="AS270" s="6" t="str">
        <f>HYPERLINK("https://creighton-primo.hosted.exlibrisgroup.com/primo-explore/search?tab=default_tab&amp;search_scope=EVERYTHING&amp;vid=01CRU&amp;lang=en_US&amp;offset=0&amp;query=any,contains,991001261339702656","Catalog Record")</f>
        <v>Catalog Record</v>
      </c>
      <c r="AT270" s="6" t="str">
        <f>HYPERLINK("http://www.worldcat.org/oclc/36458245","WorldCat Record")</f>
        <v>WorldCat Record</v>
      </c>
    </row>
    <row r="271" spans="1:46" ht="40.5" customHeight="1" x14ac:dyDescent="0.25">
      <c r="A271" s="8" t="s">
        <v>58</v>
      </c>
      <c r="B271" s="2" t="s">
        <v>2589</v>
      </c>
      <c r="C271" s="2" t="s">
        <v>2590</v>
      </c>
      <c r="D271" s="2" t="s">
        <v>2591</v>
      </c>
      <c r="F271" s="3" t="s">
        <v>58</v>
      </c>
      <c r="G271" s="3" t="s">
        <v>59</v>
      </c>
      <c r="H271" s="3" t="s">
        <v>58</v>
      </c>
      <c r="I271" s="3" t="s">
        <v>58</v>
      </c>
      <c r="J271" s="3" t="s">
        <v>60</v>
      </c>
      <c r="K271" s="2" t="s">
        <v>2592</v>
      </c>
      <c r="L271" s="2" t="s">
        <v>2593</v>
      </c>
      <c r="M271" s="3" t="s">
        <v>1121</v>
      </c>
      <c r="O271" s="3" t="s">
        <v>64</v>
      </c>
      <c r="P271" s="3" t="s">
        <v>1921</v>
      </c>
      <c r="Q271" s="2" t="s">
        <v>2594</v>
      </c>
      <c r="R271" s="3" t="s">
        <v>1907</v>
      </c>
      <c r="S271" s="4">
        <v>1</v>
      </c>
      <c r="T271" s="4">
        <v>1</v>
      </c>
      <c r="U271" s="5" t="s">
        <v>2595</v>
      </c>
      <c r="V271" s="5" t="s">
        <v>2595</v>
      </c>
      <c r="W271" s="5" t="s">
        <v>1923</v>
      </c>
      <c r="X271" s="5" t="s">
        <v>1923</v>
      </c>
      <c r="Y271" s="4">
        <v>389</v>
      </c>
      <c r="Z271" s="4">
        <v>296</v>
      </c>
      <c r="AA271" s="4">
        <v>303</v>
      </c>
      <c r="AB271" s="4">
        <v>2</v>
      </c>
      <c r="AC271" s="4">
        <v>2</v>
      </c>
      <c r="AD271" s="4">
        <v>11</v>
      </c>
      <c r="AE271" s="4">
        <v>11</v>
      </c>
      <c r="AF271" s="4">
        <v>2</v>
      </c>
      <c r="AG271" s="4">
        <v>2</v>
      </c>
      <c r="AH271" s="4">
        <v>5</v>
      </c>
      <c r="AI271" s="4">
        <v>5</v>
      </c>
      <c r="AJ271" s="4">
        <v>7</v>
      </c>
      <c r="AK271" s="4">
        <v>7</v>
      </c>
      <c r="AL271" s="4">
        <v>1</v>
      </c>
      <c r="AM271" s="4">
        <v>1</v>
      </c>
      <c r="AN271" s="4">
        <v>0</v>
      </c>
      <c r="AO271" s="4">
        <v>0</v>
      </c>
      <c r="AP271" s="3" t="s">
        <v>58</v>
      </c>
      <c r="AQ271" s="3" t="s">
        <v>69</v>
      </c>
      <c r="AR271" s="6" t="str">
        <f>HYPERLINK("http://catalog.hathitrust.org/Record/000703995","HathiTrust Record")</f>
        <v>HathiTrust Record</v>
      </c>
      <c r="AS271" s="6" t="str">
        <f>HYPERLINK("https://creighton-primo.hosted.exlibrisgroup.com/primo-explore/search?tab=default_tab&amp;search_scope=EVERYTHING&amp;vid=01CRU&amp;lang=en_US&amp;offset=0&amp;query=any,contains,991000996829702656","Catalog Record")</f>
        <v>Catalog Record</v>
      </c>
      <c r="AT271" s="6" t="str">
        <f>HYPERLINK("http://www.worldcat.org/oclc/6195861","WorldCat Record")</f>
        <v>WorldCat Record</v>
      </c>
    </row>
    <row r="272" spans="1:46" ht="40.5" customHeight="1" x14ac:dyDescent="0.25">
      <c r="A272" s="8" t="s">
        <v>58</v>
      </c>
      <c r="B272" s="2" t="s">
        <v>2596</v>
      </c>
      <c r="C272" s="2" t="s">
        <v>2597</v>
      </c>
      <c r="D272" s="2" t="s">
        <v>2598</v>
      </c>
      <c r="E272" s="3" t="s">
        <v>1952</v>
      </c>
      <c r="F272" s="3" t="s">
        <v>69</v>
      </c>
      <c r="G272" s="3" t="s">
        <v>59</v>
      </c>
      <c r="H272" s="3" t="s">
        <v>58</v>
      </c>
      <c r="I272" s="3" t="s">
        <v>58</v>
      </c>
      <c r="J272" s="3" t="s">
        <v>60</v>
      </c>
      <c r="K272" s="2" t="s">
        <v>2599</v>
      </c>
      <c r="L272" s="2" t="s">
        <v>2600</v>
      </c>
      <c r="M272" s="3" t="s">
        <v>442</v>
      </c>
      <c r="O272" s="3" t="s">
        <v>64</v>
      </c>
      <c r="P272" s="3" t="s">
        <v>83</v>
      </c>
      <c r="R272" s="3" t="s">
        <v>1907</v>
      </c>
      <c r="S272" s="4">
        <v>2</v>
      </c>
      <c r="T272" s="4">
        <v>5</v>
      </c>
      <c r="U272" s="5" t="s">
        <v>2601</v>
      </c>
      <c r="V272" s="5" t="s">
        <v>2391</v>
      </c>
      <c r="W272" s="5" t="s">
        <v>2433</v>
      </c>
      <c r="X272" s="5" t="s">
        <v>2433</v>
      </c>
      <c r="Y272" s="4">
        <v>664</v>
      </c>
      <c r="Z272" s="4">
        <v>551</v>
      </c>
      <c r="AA272" s="4">
        <v>582</v>
      </c>
      <c r="AB272" s="4">
        <v>3</v>
      </c>
      <c r="AC272" s="4">
        <v>3</v>
      </c>
      <c r="AD272" s="4">
        <v>20</v>
      </c>
      <c r="AE272" s="4">
        <v>23</v>
      </c>
      <c r="AF272" s="4">
        <v>8</v>
      </c>
      <c r="AG272" s="4">
        <v>10</v>
      </c>
      <c r="AH272" s="4">
        <v>4</v>
      </c>
      <c r="AI272" s="4">
        <v>6</v>
      </c>
      <c r="AJ272" s="4">
        <v>10</v>
      </c>
      <c r="AK272" s="4">
        <v>11</v>
      </c>
      <c r="AL272" s="4">
        <v>2</v>
      </c>
      <c r="AM272" s="4">
        <v>2</v>
      </c>
      <c r="AN272" s="4">
        <v>0</v>
      </c>
      <c r="AO272" s="4">
        <v>0</v>
      </c>
      <c r="AP272" s="3" t="s">
        <v>58</v>
      </c>
      <c r="AQ272" s="3" t="s">
        <v>58</v>
      </c>
      <c r="AR272" s="6" t="str">
        <f>HYPERLINK("http://catalog.hathitrust.org/Record/001556722","HathiTrust Record")</f>
        <v>HathiTrust Record</v>
      </c>
      <c r="AS272" s="6" t="str">
        <f>HYPERLINK("https://creighton-primo.hosted.exlibrisgroup.com/primo-explore/search?tab=default_tab&amp;search_scope=EVERYTHING&amp;vid=01CRU&amp;lang=en_US&amp;offset=0&amp;query=any,contains,991000996869702656","Catalog Record")</f>
        <v>Catalog Record</v>
      </c>
      <c r="AT272" s="6" t="str">
        <f>HYPERLINK("http://www.worldcat.org/oclc/326764","WorldCat Record")</f>
        <v>WorldCat Record</v>
      </c>
    </row>
    <row r="273" spans="1:46" ht="40.5" customHeight="1" x14ac:dyDescent="0.25">
      <c r="A273" s="8" t="s">
        <v>58</v>
      </c>
      <c r="B273" s="2" t="s">
        <v>2596</v>
      </c>
      <c r="C273" s="2" t="s">
        <v>2597</v>
      </c>
      <c r="D273" s="2" t="s">
        <v>2598</v>
      </c>
      <c r="E273" s="3" t="s">
        <v>1956</v>
      </c>
      <c r="F273" s="3" t="s">
        <v>69</v>
      </c>
      <c r="G273" s="3" t="s">
        <v>59</v>
      </c>
      <c r="H273" s="3" t="s">
        <v>58</v>
      </c>
      <c r="I273" s="3" t="s">
        <v>58</v>
      </c>
      <c r="J273" s="3" t="s">
        <v>60</v>
      </c>
      <c r="K273" s="2" t="s">
        <v>2599</v>
      </c>
      <c r="L273" s="2" t="s">
        <v>2600</v>
      </c>
      <c r="M273" s="3" t="s">
        <v>442</v>
      </c>
      <c r="O273" s="3" t="s">
        <v>64</v>
      </c>
      <c r="P273" s="3" t="s">
        <v>83</v>
      </c>
      <c r="R273" s="3" t="s">
        <v>1907</v>
      </c>
      <c r="S273" s="4">
        <v>2</v>
      </c>
      <c r="T273" s="4">
        <v>5</v>
      </c>
      <c r="V273" s="5" t="s">
        <v>2391</v>
      </c>
      <c r="W273" s="5" t="s">
        <v>2433</v>
      </c>
      <c r="X273" s="5" t="s">
        <v>2433</v>
      </c>
      <c r="Y273" s="4">
        <v>664</v>
      </c>
      <c r="Z273" s="4">
        <v>551</v>
      </c>
      <c r="AA273" s="4">
        <v>582</v>
      </c>
      <c r="AB273" s="4">
        <v>3</v>
      </c>
      <c r="AC273" s="4">
        <v>3</v>
      </c>
      <c r="AD273" s="4">
        <v>20</v>
      </c>
      <c r="AE273" s="4">
        <v>23</v>
      </c>
      <c r="AF273" s="4">
        <v>8</v>
      </c>
      <c r="AG273" s="4">
        <v>10</v>
      </c>
      <c r="AH273" s="4">
        <v>4</v>
      </c>
      <c r="AI273" s="4">
        <v>6</v>
      </c>
      <c r="AJ273" s="4">
        <v>10</v>
      </c>
      <c r="AK273" s="4">
        <v>11</v>
      </c>
      <c r="AL273" s="4">
        <v>2</v>
      </c>
      <c r="AM273" s="4">
        <v>2</v>
      </c>
      <c r="AN273" s="4">
        <v>0</v>
      </c>
      <c r="AO273" s="4">
        <v>0</v>
      </c>
      <c r="AP273" s="3" t="s">
        <v>58</v>
      </c>
      <c r="AQ273" s="3" t="s">
        <v>58</v>
      </c>
      <c r="AR273" s="6" t="str">
        <f>HYPERLINK("http://catalog.hathitrust.org/Record/001556722","HathiTrust Record")</f>
        <v>HathiTrust Record</v>
      </c>
      <c r="AS273" s="6" t="str">
        <f>HYPERLINK("https://creighton-primo.hosted.exlibrisgroup.com/primo-explore/search?tab=default_tab&amp;search_scope=EVERYTHING&amp;vid=01CRU&amp;lang=en_US&amp;offset=0&amp;query=any,contains,991000996869702656","Catalog Record")</f>
        <v>Catalog Record</v>
      </c>
      <c r="AT273" s="6" t="str">
        <f>HYPERLINK("http://www.worldcat.org/oclc/326764","WorldCat Record")</f>
        <v>WorldCat Record</v>
      </c>
    </row>
    <row r="274" spans="1:46" ht="40.5" customHeight="1" x14ac:dyDescent="0.25">
      <c r="A274" s="8" t="s">
        <v>58</v>
      </c>
      <c r="B274" s="2" t="s">
        <v>2596</v>
      </c>
      <c r="C274" s="2" t="s">
        <v>2597</v>
      </c>
      <c r="D274" s="2" t="s">
        <v>2598</v>
      </c>
      <c r="E274" s="3" t="s">
        <v>1947</v>
      </c>
      <c r="F274" s="3" t="s">
        <v>69</v>
      </c>
      <c r="G274" s="3" t="s">
        <v>59</v>
      </c>
      <c r="H274" s="3" t="s">
        <v>58</v>
      </c>
      <c r="I274" s="3" t="s">
        <v>58</v>
      </c>
      <c r="J274" s="3" t="s">
        <v>60</v>
      </c>
      <c r="K274" s="2" t="s">
        <v>2599</v>
      </c>
      <c r="L274" s="2" t="s">
        <v>2600</v>
      </c>
      <c r="M274" s="3" t="s">
        <v>442</v>
      </c>
      <c r="O274" s="3" t="s">
        <v>64</v>
      </c>
      <c r="P274" s="3" t="s">
        <v>83</v>
      </c>
      <c r="R274" s="3" t="s">
        <v>1907</v>
      </c>
      <c r="S274" s="4">
        <v>1</v>
      </c>
      <c r="T274" s="4">
        <v>5</v>
      </c>
      <c r="U274" s="5" t="s">
        <v>2391</v>
      </c>
      <c r="V274" s="5" t="s">
        <v>2391</v>
      </c>
      <c r="W274" s="5" t="s">
        <v>2433</v>
      </c>
      <c r="X274" s="5" t="s">
        <v>2433</v>
      </c>
      <c r="Y274" s="4">
        <v>664</v>
      </c>
      <c r="Z274" s="4">
        <v>551</v>
      </c>
      <c r="AA274" s="4">
        <v>582</v>
      </c>
      <c r="AB274" s="4">
        <v>3</v>
      </c>
      <c r="AC274" s="4">
        <v>3</v>
      </c>
      <c r="AD274" s="4">
        <v>20</v>
      </c>
      <c r="AE274" s="4">
        <v>23</v>
      </c>
      <c r="AF274" s="4">
        <v>8</v>
      </c>
      <c r="AG274" s="4">
        <v>10</v>
      </c>
      <c r="AH274" s="4">
        <v>4</v>
      </c>
      <c r="AI274" s="4">
        <v>6</v>
      </c>
      <c r="AJ274" s="4">
        <v>10</v>
      </c>
      <c r="AK274" s="4">
        <v>11</v>
      </c>
      <c r="AL274" s="4">
        <v>2</v>
      </c>
      <c r="AM274" s="4">
        <v>2</v>
      </c>
      <c r="AN274" s="4">
        <v>0</v>
      </c>
      <c r="AO274" s="4">
        <v>0</v>
      </c>
      <c r="AP274" s="3" t="s">
        <v>58</v>
      </c>
      <c r="AQ274" s="3" t="s">
        <v>58</v>
      </c>
      <c r="AR274" s="6" t="str">
        <f>HYPERLINK("http://catalog.hathitrust.org/Record/001556722","HathiTrust Record")</f>
        <v>HathiTrust Record</v>
      </c>
      <c r="AS274" s="6" t="str">
        <f>HYPERLINK("https://creighton-primo.hosted.exlibrisgroup.com/primo-explore/search?tab=default_tab&amp;search_scope=EVERYTHING&amp;vid=01CRU&amp;lang=en_US&amp;offset=0&amp;query=any,contains,991000996869702656","Catalog Record")</f>
        <v>Catalog Record</v>
      </c>
      <c r="AT274" s="6" t="str">
        <f>HYPERLINK("http://www.worldcat.org/oclc/326764","WorldCat Record")</f>
        <v>WorldCat Record</v>
      </c>
    </row>
    <row r="275" spans="1:46" ht="40.5" customHeight="1" x14ac:dyDescent="0.25">
      <c r="A275" s="8" t="s">
        <v>58</v>
      </c>
      <c r="B275" s="2" t="s">
        <v>2602</v>
      </c>
      <c r="C275" s="2" t="s">
        <v>2603</v>
      </c>
      <c r="D275" s="2" t="s">
        <v>2604</v>
      </c>
      <c r="F275" s="3" t="s">
        <v>58</v>
      </c>
      <c r="G275" s="3" t="s">
        <v>59</v>
      </c>
      <c r="H275" s="3" t="s">
        <v>58</v>
      </c>
      <c r="I275" s="3" t="s">
        <v>58</v>
      </c>
      <c r="J275" s="3" t="s">
        <v>60</v>
      </c>
      <c r="K275" s="2" t="s">
        <v>396</v>
      </c>
      <c r="L275" s="2" t="s">
        <v>2605</v>
      </c>
      <c r="M275" s="3" t="s">
        <v>2606</v>
      </c>
      <c r="O275" s="3" t="s">
        <v>64</v>
      </c>
      <c r="P275" s="3" t="s">
        <v>400</v>
      </c>
      <c r="R275" s="3" t="s">
        <v>1907</v>
      </c>
      <c r="S275" s="4">
        <v>1</v>
      </c>
      <c r="T275" s="4">
        <v>1</v>
      </c>
      <c r="U275" s="5" t="s">
        <v>2391</v>
      </c>
      <c r="V275" s="5" t="s">
        <v>2391</v>
      </c>
      <c r="W275" s="5" t="s">
        <v>1923</v>
      </c>
      <c r="X275" s="5" t="s">
        <v>1923</v>
      </c>
      <c r="Y275" s="4">
        <v>187</v>
      </c>
      <c r="Z275" s="4">
        <v>165</v>
      </c>
      <c r="AA275" s="4">
        <v>190</v>
      </c>
      <c r="AB275" s="4">
        <v>2</v>
      </c>
      <c r="AC275" s="4">
        <v>2</v>
      </c>
      <c r="AD275" s="4">
        <v>5</v>
      </c>
      <c r="AE275" s="4">
        <v>5</v>
      </c>
      <c r="AF275" s="4">
        <v>1</v>
      </c>
      <c r="AG275" s="4">
        <v>1</v>
      </c>
      <c r="AH275" s="4">
        <v>2</v>
      </c>
      <c r="AI275" s="4">
        <v>2</v>
      </c>
      <c r="AJ275" s="4">
        <v>2</v>
      </c>
      <c r="AK275" s="4">
        <v>2</v>
      </c>
      <c r="AL275" s="4">
        <v>1</v>
      </c>
      <c r="AM275" s="4">
        <v>1</v>
      </c>
      <c r="AN275" s="4">
        <v>0</v>
      </c>
      <c r="AO275" s="4">
        <v>0</v>
      </c>
      <c r="AP275" s="3" t="s">
        <v>58</v>
      </c>
      <c r="AQ275" s="3" t="s">
        <v>69</v>
      </c>
      <c r="AR275" s="6" t="str">
        <f>HYPERLINK("http://catalog.hathitrust.org/Record/009074174","HathiTrust Record")</f>
        <v>HathiTrust Record</v>
      </c>
      <c r="AS275" s="6" t="str">
        <f>HYPERLINK("https://creighton-primo.hosted.exlibrisgroup.com/primo-explore/search?tab=default_tab&amp;search_scope=EVERYTHING&amp;vid=01CRU&amp;lang=en_US&amp;offset=0&amp;query=any,contains,991000997149702656","Catalog Record")</f>
        <v>Catalog Record</v>
      </c>
      <c r="AT275" s="6" t="str">
        <f>HYPERLINK("http://www.worldcat.org/oclc/2394374","WorldCat Record")</f>
        <v>WorldCat Record</v>
      </c>
    </row>
    <row r="276" spans="1:46" ht="40.5" customHeight="1" x14ac:dyDescent="0.25">
      <c r="A276" s="8" t="s">
        <v>58</v>
      </c>
      <c r="B276" s="2" t="s">
        <v>2607</v>
      </c>
      <c r="C276" s="2" t="s">
        <v>2608</v>
      </c>
      <c r="D276" s="2" t="s">
        <v>2609</v>
      </c>
      <c r="F276" s="3" t="s">
        <v>58</v>
      </c>
      <c r="G276" s="3" t="s">
        <v>59</v>
      </c>
      <c r="H276" s="3" t="s">
        <v>58</v>
      </c>
      <c r="I276" s="3" t="s">
        <v>58</v>
      </c>
      <c r="J276" s="3" t="s">
        <v>60</v>
      </c>
      <c r="K276" s="2" t="s">
        <v>2610</v>
      </c>
      <c r="L276" s="2" t="s">
        <v>2611</v>
      </c>
      <c r="M276" s="3" t="s">
        <v>1632</v>
      </c>
      <c r="N276" s="2" t="s">
        <v>271</v>
      </c>
      <c r="O276" s="3" t="s">
        <v>64</v>
      </c>
      <c r="P276" s="3" t="s">
        <v>1921</v>
      </c>
      <c r="R276" s="3" t="s">
        <v>1907</v>
      </c>
      <c r="S276" s="4">
        <v>12</v>
      </c>
      <c r="T276" s="4">
        <v>12</v>
      </c>
      <c r="U276" s="5" t="s">
        <v>1003</v>
      </c>
      <c r="V276" s="5" t="s">
        <v>1003</v>
      </c>
      <c r="W276" s="5" t="s">
        <v>2612</v>
      </c>
      <c r="X276" s="5" t="s">
        <v>2612</v>
      </c>
      <c r="Y276" s="4">
        <v>178</v>
      </c>
      <c r="Z276" s="4">
        <v>109</v>
      </c>
      <c r="AA276" s="4">
        <v>183</v>
      </c>
      <c r="AB276" s="4">
        <v>1</v>
      </c>
      <c r="AC276" s="4">
        <v>2</v>
      </c>
      <c r="AD276" s="4">
        <v>2</v>
      </c>
      <c r="AE276" s="4">
        <v>8</v>
      </c>
      <c r="AF276" s="4">
        <v>0</v>
      </c>
      <c r="AG276" s="4">
        <v>2</v>
      </c>
      <c r="AH276" s="4">
        <v>1</v>
      </c>
      <c r="AI276" s="4">
        <v>1</v>
      </c>
      <c r="AJ276" s="4">
        <v>2</v>
      </c>
      <c r="AK276" s="4">
        <v>5</v>
      </c>
      <c r="AL276" s="4">
        <v>0</v>
      </c>
      <c r="AM276" s="4">
        <v>1</v>
      </c>
      <c r="AN276" s="4">
        <v>0</v>
      </c>
      <c r="AO276" s="4">
        <v>0</v>
      </c>
      <c r="AP276" s="3" t="s">
        <v>58</v>
      </c>
      <c r="AQ276" s="3" t="s">
        <v>58</v>
      </c>
      <c r="AS276" s="6" t="str">
        <f>HYPERLINK("https://creighton-primo.hosted.exlibrisgroup.com/primo-explore/search?tab=default_tab&amp;search_scope=EVERYTHING&amp;vid=01CRU&amp;lang=en_US&amp;offset=0&amp;query=any,contains,991001107539702656","Catalog Record")</f>
        <v>Catalog Record</v>
      </c>
      <c r="AT276" s="6" t="str">
        <f>HYPERLINK("http://www.worldcat.org/oclc/16470919","WorldCat Record")</f>
        <v>WorldCat Record</v>
      </c>
    </row>
    <row r="277" spans="1:46" ht="40.5" customHeight="1" x14ac:dyDescent="0.25">
      <c r="A277" s="8" t="s">
        <v>58</v>
      </c>
      <c r="B277" s="2" t="s">
        <v>2613</v>
      </c>
      <c r="C277" s="2" t="s">
        <v>2614</v>
      </c>
      <c r="D277" s="2" t="s">
        <v>2615</v>
      </c>
      <c r="F277" s="3" t="s">
        <v>58</v>
      </c>
      <c r="G277" s="3" t="s">
        <v>59</v>
      </c>
      <c r="H277" s="3" t="s">
        <v>58</v>
      </c>
      <c r="I277" s="3" t="s">
        <v>58</v>
      </c>
      <c r="J277" s="3" t="s">
        <v>60</v>
      </c>
      <c r="K277" s="2" t="s">
        <v>2616</v>
      </c>
      <c r="L277" s="2" t="s">
        <v>2617</v>
      </c>
      <c r="M277" s="3" t="s">
        <v>1356</v>
      </c>
      <c r="O277" s="3" t="s">
        <v>64</v>
      </c>
      <c r="P277" s="3" t="s">
        <v>939</v>
      </c>
      <c r="Q277" s="2" t="s">
        <v>2618</v>
      </c>
      <c r="R277" s="3" t="s">
        <v>1907</v>
      </c>
      <c r="S277" s="4">
        <v>2</v>
      </c>
      <c r="T277" s="4">
        <v>2</v>
      </c>
      <c r="U277" s="5" t="s">
        <v>2619</v>
      </c>
      <c r="V277" s="5" t="s">
        <v>2619</v>
      </c>
      <c r="W277" s="5" t="s">
        <v>2433</v>
      </c>
      <c r="X277" s="5" t="s">
        <v>2433</v>
      </c>
      <c r="Y277" s="4">
        <v>24</v>
      </c>
      <c r="Z277" s="4">
        <v>13</v>
      </c>
      <c r="AA277" s="4">
        <v>256</v>
      </c>
      <c r="AB277" s="4">
        <v>1</v>
      </c>
      <c r="AC277" s="4">
        <v>1</v>
      </c>
      <c r="AD277" s="4">
        <v>0</v>
      </c>
      <c r="AE277" s="4">
        <v>8</v>
      </c>
      <c r="AF277" s="4">
        <v>0</v>
      </c>
      <c r="AG277" s="4">
        <v>1</v>
      </c>
      <c r="AH277" s="4">
        <v>0</v>
      </c>
      <c r="AI277" s="4">
        <v>3</v>
      </c>
      <c r="AJ277" s="4">
        <v>0</v>
      </c>
      <c r="AK277" s="4">
        <v>6</v>
      </c>
      <c r="AL277" s="4">
        <v>0</v>
      </c>
      <c r="AM277" s="4">
        <v>0</v>
      </c>
      <c r="AN277" s="4">
        <v>0</v>
      </c>
      <c r="AO277" s="4">
        <v>0</v>
      </c>
      <c r="AP277" s="3" t="s">
        <v>58</v>
      </c>
      <c r="AQ277" s="3" t="s">
        <v>58</v>
      </c>
      <c r="AS277" s="6" t="str">
        <f>HYPERLINK("https://creighton-primo.hosted.exlibrisgroup.com/primo-explore/search?tab=default_tab&amp;search_scope=EVERYTHING&amp;vid=01CRU&amp;lang=en_US&amp;offset=0&amp;query=any,contains,991000997179702656","Catalog Record")</f>
        <v>Catalog Record</v>
      </c>
      <c r="AT277" s="6" t="str">
        <f>HYPERLINK("http://www.worldcat.org/oclc/14489914","WorldCat Record")</f>
        <v>WorldCat Record</v>
      </c>
    </row>
    <row r="278" spans="1:46" ht="40.5" customHeight="1" x14ac:dyDescent="0.25">
      <c r="A278" s="8" t="s">
        <v>58</v>
      </c>
      <c r="B278" s="2" t="s">
        <v>2620</v>
      </c>
      <c r="C278" s="2" t="s">
        <v>2621</v>
      </c>
      <c r="D278" s="2" t="s">
        <v>2622</v>
      </c>
      <c r="E278" s="3" t="s">
        <v>1947</v>
      </c>
      <c r="F278" s="3" t="s">
        <v>69</v>
      </c>
      <c r="G278" s="3" t="s">
        <v>59</v>
      </c>
      <c r="H278" s="3" t="s">
        <v>58</v>
      </c>
      <c r="I278" s="3" t="s">
        <v>58</v>
      </c>
      <c r="J278" s="3" t="s">
        <v>60</v>
      </c>
      <c r="L278" s="2" t="s">
        <v>2623</v>
      </c>
      <c r="M278" s="3" t="s">
        <v>270</v>
      </c>
      <c r="N278" s="2" t="s">
        <v>1606</v>
      </c>
      <c r="O278" s="3" t="s">
        <v>64</v>
      </c>
      <c r="P278" s="3" t="s">
        <v>97</v>
      </c>
      <c r="R278" s="3" t="s">
        <v>1907</v>
      </c>
      <c r="S278" s="4">
        <v>16</v>
      </c>
      <c r="T278" s="4">
        <v>43</v>
      </c>
      <c r="U278" s="5" t="s">
        <v>2624</v>
      </c>
      <c r="V278" s="5" t="s">
        <v>2625</v>
      </c>
      <c r="W278" s="5" t="s">
        <v>2626</v>
      </c>
      <c r="X278" s="5" t="s">
        <v>2626</v>
      </c>
      <c r="Y278" s="4">
        <v>367</v>
      </c>
      <c r="Z278" s="4">
        <v>247</v>
      </c>
      <c r="AA278" s="4">
        <v>250</v>
      </c>
      <c r="AB278" s="4">
        <v>3</v>
      </c>
      <c r="AC278" s="4">
        <v>3</v>
      </c>
      <c r="AD278" s="4">
        <v>11</v>
      </c>
      <c r="AE278" s="4">
        <v>11</v>
      </c>
      <c r="AF278" s="4">
        <v>4</v>
      </c>
      <c r="AG278" s="4">
        <v>4</v>
      </c>
      <c r="AH278" s="4">
        <v>2</v>
      </c>
      <c r="AI278" s="4">
        <v>2</v>
      </c>
      <c r="AJ278" s="4">
        <v>5</v>
      </c>
      <c r="AK278" s="4">
        <v>5</v>
      </c>
      <c r="AL278" s="4">
        <v>2</v>
      </c>
      <c r="AM278" s="4">
        <v>2</v>
      </c>
      <c r="AN278" s="4">
        <v>0</v>
      </c>
      <c r="AO278" s="4">
        <v>0</v>
      </c>
      <c r="AP278" s="3" t="s">
        <v>58</v>
      </c>
      <c r="AQ278" s="3" t="s">
        <v>69</v>
      </c>
      <c r="AR278" s="6" t="str">
        <f>HYPERLINK("http://catalog.hathitrust.org/Record/004572384","HathiTrust Record")</f>
        <v>HathiTrust Record</v>
      </c>
      <c r="AS278" s="6" t="str">
        <f>HYPERLINK("https://creighton-primo.hosted.exlibrisgroup.com/primo-explore/search?tab=default_tab&amp;search_scope=EVERYTHING&amp;vid=01CRU&amp;lang=en_US&amp;offset=0&amp;query=any,contains,991001261359702656","Catalog Record")</f>
        <v>Catalog Record</v>
      </c>
      <c r="AT278" s="6" t="str">
        <f>HYPERLINK("http://www.worldcat.org/oclc/32512536","WorldCat Record")</f>
        <v>WorldCat Record</v>
      </c>
    </row>
    <row r="279" spans="1:46" ht="40.5" customHeight="1" x14ac:dyDescent="0.25">
      <c r="A279" s="8" t="s">
        <v>58</v>
      </c>
      <c r="B279" s="2" t="s">
        <v>2620</v>
      </c>
      <c r="C279" s="2" t="s">
        <v>2621</v>
      </c>
      <c r="D279" s="2" t="s">
        <v>2622</v>
      </c>
      <c r="E279" s="3" t="s">
        <v>1952</v>
      </c>
      <c r="F279" s="3" t="s">
        <v>69</v>
      </c>
      <c r="G279" s="3" t="s">
        <v>59</v>
      </c>
      <c r="H279" s="3" t="s">
        <v>58</v>
      </c>
      <c r="I279" s="3" t="s">
        <v>58</v>
      </c>
      <c r="J279" s="3" t="s">
        <v>60</v>
      </c>
      <c r="L279" s="2" t="s">
        <v>2623</v>
      </c>
      <c r="M279" s="3" t="s">
        <v>270</v>
      </c>
      <c r="N279" s="2" t="s">
        <v>1606</v>
      </c>
      <c r="O279" s="3" t="s">
        <v>64</v>
      </c>
      <c r="P279" s="3" t="s">
        <v>97</v>
      </c>
      <c r="R279" s="3" t="s">
        <v>1907</v>
      </c>
      <c r="S279" s="4">
        <v>27</v>
      </c>
      <c r="T279" s="4">
        <v>43</v>
      </c>
      <c r="U279" s="5" t="s">
        <v>2625</v>
      </c>
      <c r="V279" s="5" t="s">
        <v>2625</v>
      </c>
      <c r="W279" s="5" t="s">
        <v>2626</v>
      </c>
      <c r="X279" s="5" t="s">
        <v>2626</v>
      </c>
      <c r="Y279" s="4">
        <v>367</v>
      </c>
      <c r="Z279" s="4">
        <v>247</v>
      </c>
      <c r="AA279" s="4">
        <v>250</v>
      </c>
      <c r="AB279" s="4">
        <v>3</v>
      </c>
      <c r="AC279" s="4">
        <v>3</v>
      </c>
      <c r="AD279" s="4">
        <v>11</v>
      </c>
      <c r="AE279" s="4">
        <v>11</v>
      </c>
      <c r="AF279" s="4">
        <v>4</v>
      </c>
      <c r="AG279" s="4">
        <v>4</v>
      </c>
      <c r="AH279" s="4">
        <v>2</v>
      </c>
      <c r="AI279" s="4">
        <v>2</v>
      </c>
      <c r="AJ279" s="4">
        <v>5</v>
      </c>
      <c r="AK279" s="4">
        <v>5</v>
      </c>
      <c r="AL279" s="4">
        <v>2</v>
      </c>
      <c r="AM279" s="4">
        <v>2</v>
      </c>
      <c r="AN279" s="4">
        <v>0</v>
      </c>
      <c r="AO279" s="4">
        <v>0</v>
      </c>
      <c r="AP279" s="3" t="s">
        <v>58</v>
      </c>
      <c r="AQ279" s="3" t="s">
        <v>69</v>
      </c>
      <c r="AR279" s="6" t="str">
        <f>HYPERLINK("http://catalog.hathitrust.org/Record/004572384","HathiTrust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HYPERLINK("https://creighton-primo.hosted.exlibrisgroup.com/primo-explore/search?tab=default_tab&amp;search_scope=EVERYTHING&amp;vid=01CRU&amp;lang=en_US&amp;offset=0&amp;query=any,contains,991001261359702656","Catalog Record")</f>
        <v>Catalog Record</v>
      </c>
      <c r="AT279" s="6" t="str">
        <f>HYPERLINK("http://www.worldcat.org/oclc/32512536","WorldCat Record")</f>
        <v>WorldCat Record</v>
      </c>
    </row>
    <row r="280" spans="1:46" ht="40.5" customHeight="1" x14ac:dyDescent="0.25">
      <c r="A280" s="8" t="s">
        <v>58</v>
      </c>
      <c r="B280" s="2" t="s">
        <v>2627</v>
      </c>
      <c r="C280" s="2" t="s">
        <v>2628</v>
      </c>
      <c r="D280" s="2" t="s">
        <v>2629</v>
      </c>
      <c r="E280" s="3" t="s">
        <v>1119</v>
      </c>
      <c r="F280" s="3" t="s">
        <v>69</v>
      </c>
      <c r="G280" s="3" t="s">
        <v>59</v>
      </c>
      <c r="H280" s="3" t="s">
        <v>58</v>
      </c>
      <c r="I280" s="3" t="s">
        <v>69</v>
      </c>
      <c r="J280" s="3" t="s">
        <v>60</v>
      </c>
      <c r="L280" s="2" t="s">
        <v>2630</v>
      </c>
      <c r="M280" s="3" t="s">
        <v>676</v>
      </c>
      <c r="N280" s="2" t="s">
        <v>1759</v>
      </c>
      <c r="O280" s="3" t="s">
        <v>64</v>
      </c>
      <c r="P280" s="3" t="s">
        <v>97</v>
      </c>
      <c r="R280" s="3" t="s">
        <v>1907</v>
      </c>
      <c r="S280" s="4">
        <v>2</v>
      </c>
      <c r="T280" s="4">
        <v>3</v>
      </c>
      <c r="U280" s="5" t="s">
        <v>2631</v>
      </c>
      <c r="V280" s="5" t="s">
        <v>2631</v>
      </c>
      <c r="W280" s="5" t="s">
        <v>2632</v>
      </c>
      <c r="X280" s="5" t="s">
        <v>2632</v>
      </c>
      <c r="Y280" s="4">
        <v>325</v>
      </c>
      <c r="Z280" s="4">
        <v>241</v>
      </c>
      <c r="AA280" s="4">
        <v>524</v>
      </c>
      <c r="AB280" s="4">
        <v>1</v>
      </c>
      <c r="AC280" s="4">
        <v>4</v>
      </c>
      <c r="AD280" s="4">
        <v>5</v>
      </c>
      <c r="AE280" s="4">
        <v>18</v>
      </c>
      <c r="AF280" s="4">
        <v>0</v>
      </c>
      <c r="AG280" s="4">
        <v>5</v>
      </c>
      <c r="AH280" s="4">
        <v>4</v>
      </c>
      <c r="AI280" s="4">
        <v>7</v>
      </c>
      <c r="AJ280" s="4">
        <v>2</v>
      </c>
      <c r="AK280" s="4">
        <v>10</v>
      </c>
      <c r="AL280" s="4">
        <v>0</v>
      </c>
      <c r="AM280" s="4">
        <v>2</v>
      </c>
      <c r="AN280" s="4">
        <v>0</v>
      </c>
      <c r="AO280" s="4">
        <v>0</v>
      </c>
      <c r="AP280" s="3" t="s">
        <v>58</v>
      </c>
      <c r="AQ280" s="3" t="s">
        <v>58</v>
      </c>
      <c r="AS280" s="6" t="str">
        <f>HYPERLINK("https://creighton-primo.hosted.exlibrisgroup.com/primo-explore/search?tab=default_tab&amp;search_scope=EVERYTHING&amp;vid=01CRU&amp;lang=en_US&amp;offset=0&amp;query=any,contains,991000333339702656","Catalog Record")</f>
        <v>Catalog Record</v>
      </c>
      <c r="AT280" s="6" t="str">
        <f>HYPERLINK("http://www.worldcat.org/oclc/45500371","WorldCat Record")</f>
        <v>WorldCat Record</v>
      </c>
    </row>
    <row r="281" spans="1:46" ht="40.5" customHeight="1" x14ac:dyDescent="0.25">
      <c r="A281" s="8" t="s">
        <v>58</v>
      </c>
      <c r="B281" s="2" t="s">
        <v>2627</v>
      </c>
      <c r="C281" s="2" t="s">
        <v>2628</v>
      </c>
      <c r="D281" s="2" t="s">
        <v>2629</v>
      </c>
      <c r="E281" s="3" t="s">
        <v>793</v>
      </c>
      <c r="F281" s="3" t="s">
        <v>69</v>
      </c>
      <c r="G281" s="3" t="s">
        <v>59</v>
      </c>
      <c r="H281" s="3" t="s">
        <v>58</v>
      </c>
      <c r="I281" s="3" t="s">
        <v>69</v>
      </c>
      <c r="J281" s="3" t="s">
        <v>60</v>
      </c>
      <c r="L281" s="2" t="s">
        <v>2630</v>
      </c>
      <c r="M281" s="3" t="s">
        <v>676</v>
      </c>
      <c r="N281" s="2" t="s">
        <v>1759</v>
      </c>
      <c r="O281" s="3" t="s">
        <v>64</v>
      </c>
      <c r="P281" s="3" t="s">
        <v>97</v>
      </c>
      <c r="R281" s="3" t="s">
        <v>1907</v>
      </c>
      <c r="S281" s="4">
        <v>1</v>
      </c>
      <c r="T281" s="4">
        <v>3</v>
      </c>
      <c r="V281" s="5" t="s">
        <v>2631</v>
      </c>
      <c r="W281" s="5" t="s">
        <v>2632</v>
      </c>
      <c r="X281" s="5" t="s">
        <v>2632</v>
      </c>
      <c r="Y281" s="4">
        <v>325</v>
      </c>
      <c r="Z281" s="4">
        <v>241</v>
      </c>
      <c r="AA281" s="4">
        <v>524</v>
      </c>
      <c r="AB281" s="4">
        <v>1</v>
      </c>
      <c r="AC281" s="4">
        <v>4</v>
      </c>
      <c r="AD281" s="4">
        <v>5</v>
      </c>
      <c r="AE281" s="4">
        <v>18</v>
      </c>
      <c r="AF281" s="4">
        <v>0</v>
      </c>
      <c r="AG281" s="4">
        <v>5</v>
      </c>
      <c r="AH281" s="4">
        <v>4</v>
      </c>
      <c r="AI281" s="4">
        <v>7</v>
      </c>
      <c r="AJ281" s="4">
        <v>2</v>
      </c>
      <c r="AK281" s="4">
        <v>10</v>
      </c>
      <c r="AL281" s="4">
        <v>0</v>
      </c>
      <c r="AM281" s="4">
        <v>2</v>
      </c>
      <c r="AN281" s="4">
        <v>0</v>
      </c>
      <c r="AO281" s="4">
        <v>0</v>
      </c>
      <c r="AP281" s="3" t="s">
        <v>58</v>
      </c>
      <c r="AQ281" s="3" t="s">
        <v>58</v>
      </c>
      <c r="AS281" s="6" t="str">
        <f>HYPERLINK("https://creighton-primo.hosted.exlibrisgroup.com/primo-explore/search?tab=default_tab&amp;search_scope=EVERYTHING&amp;vid=01CRU&amp;lang=en_US&amp;offset=0&amp;query=any,contains,991000333339702656","Catalog Record")</f>
        <v>Catalog Record</v>
      </c>
      <c r="AT281" s="6" t="str">
        <f>HYPERLINK("http://www.worldcat.org/oclc/45500371","WorldCat Record")</f>
        <v>WorldCat Record</v>
      </c>
    </row>
    <row r="282" spans="1:46" ht="40.5" customHeight="1" x14ac:dyDescent="0.25">
      <c r="A282" s="8" t="s">
        <v>58</v>
      </c>
      <c r="B282" s="2" t="s">
        <v>2633</v>
      </c>
      <c r="C282" s="2" t="s">
        <v>2634</v>
      </c>
      <c r="D282" s="2" t="s">
        <v>2635</v>
      </c>
      <c r="F282" s="3" t="s">
        <v>58</v>
      </c>
      <c r="G282" s="3" t="s">
        <v>59</v>
      </c>
      <c r="H282" s="3" t="s">
        <v>58</v>
      </c>
      <c r="I282" s="3" t="s">
        <v>58</v>
      </c>
      <c r="J282" s="3" t="s">
        <v>60</v>
      </c>
      <c r="K282" s="2" t="s">
        <v>868</v>
      </c>
      <c r="L282" s="2" t="s">
        <v>2636</v>
      </c>
      <c r="M282" s="3" t="s">
        <v>1632</v>
      </c>
      <c r="N282" s="2" t="s">
        <v>271</v>
      </c>
      <c r="O282" s="3" t="s">
        <v>64</v>
      </c>
      <c r="P282" s="3" t="s">
        <v>1921</v>
      </c>
      <c r="R282" s="3" t="s">
        <v>1907</v>
      </c>
      <c r="S282" s="4">
        <v>15</v>
      </c>
      <c r="T282" s="4">
        <v>15</v>
      </c>
      <c r="U282" s="5" t="s">
        <v>2637</v>
      </c>
      <c r="V282" s="5" t="s">
        <v>2637</v>
      </c>
      <c r="W282" s="5" t="s">
        <v>2638</v>
      </c>
      <c r="X282" s="5" t="s">
        <v>2638</v>
      </c>
      <c r="Y282" s="4">
        <v>200</v>
      </c>
      <c r="Z282" s="4">
        <v>135</v>
      </c>
      <c r="AA282" s="4">
        <v>385</v>
      </c>
      <c r="AB282" s="4">
        <v>1</v>
      </c>
      <c r="AC282" s="4">
        <v>1</v>
      </c>
      <c r="AD282" s="4">
        <v>1</v>
      </c>
      <c r="AE282" s="4">
        <v>13</v>
      </c>
      <c r="AF282" s="4">
        <v>0</v>
      </c>
      <c r="AG282" s="4">
        <v>4</v>
      </c>
      <c r="AH282" s="4">
        <v>1</v>
      </c>
      <c r="AI282" s="4">
        <v>3</v>
      </c>
      <c r="AJ282" s="4">
        <v>1</v>
      </c>
      <c r="AK282" s="4">
        <v>10</v>
      </c>
      <c r="AL282" s="4">
        <v>0</v>
      </c>
      <c r="AM282" s="4">
        <v>0</v>
      </c>
      <c r="AN282" s="4">
        <v>0</v>
      </c>
      <c r="AO282" s="4">
        <v>0</v>
      </c>
      <c r="AP282" s="3" t="s">
        <v>58</v>
      </c>
      <c r="AQ282" s="3" t="s">
        <v>58</v>
      </c>
      <c r="AS282" s="6" t="str">
        <f>HYPERLINK("https://creighton-primo.hosted.exlibrisgroup.com/primo-explore/search?tab=default_tab&amp;search_scope=EVERYTHING&amp;vid=01CRU&amp;lang=en_US&amp;offset=0&amp;query=any,contains,991001420389702656","Catalog Record")</f>
        <v>Catalog Record</v>
      </c>
      <c r="AT282" s="6" t="str">
        <f>HYPERLINK("http://www.worldcat.org/oclc/17200063","WorldCat Record")</f>
        <v>WorldCat Record</v>
      </c>
    </row>
    <row r="283" spans="1:46" ht="40.5" customHeight="1" x14ac:dyDescent="0.25">
      <c r="A283" s="8" t="s">
        <v>58</v>
      </c>
      <c r="B283" s="2" t="s">
        <v>2639</v>
      </c>
      <c r="C283" s="2" t="s">
        <v>2640</v>
      </c>
      <c r="D283" s="2" t="s">
        <v>2641</v>
      </c>
      <c r="F283" s="3" t="s">
        <v>58</v>
      </c>
      <c r="G283" s="3" t="s">
        <v>59</v>
      </c>
      <c r="H283" s="3" t="s">
        <v>58</v>
      </c>
      <c r="I283" s="3" t="s">
        <v>69</v>
      </c>
      <c r="J283" s="3" t="s">
        <v>60</v>
      </c>
      <c r="L283" s="2" t="s">
        <v>2642</v>
      </c>
      <c r="M283" s="3" t="s">
        <v>112</v>
      </c>
      <c r="N283" s="2" t="s">
        <v>301</v>
      </c>
      <c r="O283" s="3" t="s">
        <v>64</v>
      </c>
      <c r="P283" s="3" t="s">
        <v>83</v>
      </c>
      <c r="R283" s="3" t="s">
        <v>1907</v>
      </c>
      <c r="S283" s="4">
        <v>5</v>
      </c>
      <c r="T283" s="4">
        <v>5</v>
      </c>
      <c r="U283" s="5" t="s">
        <v>2643</v>
      </c>
      <c r="V283" s="5" t="s">
        <v>2643</v>
      </c>
      <c r="W283" s="5" t="s">
        <v>2011</v>
      </c>
      <c r="X283" s="5" t="s">
        <v>2011</v>
      </c>
      <c r="Y283" s="4">
        <v>497</v>
      </c>
      <c r="Z283" s="4">
        <v>321</v>
      </c>
      <c r="AA283" s="4">
        <v>695</v>
      </c>
      <c r="AB283" s="4">
        <v>1</v>
      </c>
      <c r="AC283" s="4">
        <v>4</v>
      </c>
      <c r="AD283" s="4">
        <v>14</v>
      </c>
      <c r="AE283" s="4">
        <v>22</v>
      </c>
      <c r="AF283" s="4">
        <v>5</v>
      </c>
      <c r="AG283" s="4">
        <v>7</v>
      </c>
      <c r="AH283" s="4">
        <v>5</v>
      </c>
      <c r="AI283" s="4">
        <v>5</v>
      </c>
      <c r="AJ283" s="4">
        <v>9</v>
      </c>
      <c r="AK283" s="4">
        <v>13</v>
      </c>
      <c r="AL283" s="4">
        <v>0</v>
      </c>
      <c r="AM283" s="4">
        <v>2</v>
      </c>
      <c r="AN283" s="4">
        <v>0</v>
      </c>
      <c r="AO283" s="4">
        <v>0</v>
      </c>
      <c r="AP283" s="3" t="s">
        <v>58</v>
      </c>
      <c r="AQ283" s="3" t="s">
        <v>69</v>
      </c>
      <c r="AR283" s="6" t="str">
        <f>HYPERLINK("http://catalog.hathitrust.org/Record/000253431","HathiTrust Record")</f>
        <v>HathiTrust Record</v>
      </c>
      <c r="AS283" s="6" t="str">
        <f>HYPERLINK("https://creighton-primo.hosted.exlibrisgroup.com/primo-explore/search?tab=default_tab&amp;search_scope=EVERYTHING&amp;vid=01CRU&amp;lang=en_US&amp;offset=0&amp;query=any,contains,991000748769702656","Catalog Record")</f>
        <v>Catalog Record</v>
      </c>
      <c r="AT283" s="6" t="str">
        <f>HYPERLINK("http://www.worldcat.org/oclc/3071766","WorldCat Record")</f>
        <v>WorldCat Record</v>
      </c>
    </row>
    <row r="284" spans="1:46" ht="40.5" customHeight="1" x14ac:dyDescent="0.25">
      <c r="A284" s="8" t="s">
        <v>58</v>
      </c>
      <c r="B284" s="2" t="s">
        <v>2644</v>
      </c>
      <c r="C284" s="2" t="s">
        <v>2645</v>
      </c>
      <c r="D284" s="2" t="s">
        <v>2646</v>
      </c>
      <c r="F284" s="3" t="s">
        <v>58</v>
      </c>
      <c r="G284" s="3" t="s">
        <v>59</v>
      </c>
      <c r="H284" s="3" t="s">
        <v>58</v>
      </c>
      <c r="I284" s="3" t="s">
        <v>58</v>
      </c>
      <c r="J284" s="3" t="s">
        <v>60</v>
      </c>
      <c r="K284" s="2" t="s">
        <v>2647</v>
      </c>
      <c r="L284" s="2" t="s">
        <v>2648</v>
      </c>
      <c r="M284" s="3" t="s">
        <v>745</v>
      </c>
      <c r="O284" s="3" t="s">
        <v>64</v>
      </c>
      <c r="P284" s="3" t="s">
        <v>83</v>
      </c>
      <c r="Q284" s="2" t="s">
        <v>746</v>
      </c>
      <c r="R284" s="3" t="s">
        <v>1907</v>
      </c>
      <c r="S284" s="4">
        <v>9</v>
      </c>
      <c r="T284" s="4">
        <v>9</v>
      </c>
      <c r="U284" s="5" t="s">
        <v>2649</v>
      </c>
      <c r="V284" s="5" t="s">
        <v>2649</v>
      </c>
      <c r="W284" s="5" t="s">
        <v>2433</v>
      </c>
      <c r="X284" s="5" t="s">
        <v>2433</v>
      </c>
      <c r="Y284" s="4">
        <v>260</v>
      </c>
      <c r="Z284" s="4">
        <v>163</v>
      </c>
      <c r="AA284" s="4">
        <v>213</v>
      </c>
      <c r="AB284" s="4">
        <v>1</v>
      </c>
      <c r="AC284" s="4">
        <v>2</v>
      </c>
      <c r="AD284" s="4">
        <v>2</v>
      </c>
      <c r="AE284" s="4">
        <v>6</v>
      </c>
      <c r="AF284" s="4">
        <v>1</v>
      </c>
      <c r="AG284" s="4">
        <v>3</v>
      </c>
      <c r="AH284" s="4">
        <v>1</v>
      </c>
      <c r="AI284" s="4">
        <v>3</v>
      </c>
      <c r="AJ284" s="4">
        <v>1</v>
      </c>
      <c r="AK284" s="4">
        <v>1</v>
      </c>
      <c r="AL284" s="4">
        <v>0</v>
      </c>
      <c r="AM284" s="4">
        <v>1</v>
      </c>
      <c r="AN284" s="4">
        <v>0</v>
      </c>
      <c r="AO284" s="4">
        <v>0</v>
      </c>
      <c r="AP284" s="3" t="s">
        <v>58</v>
      </c>
      <c r="AQ284" s="3" t="s">
        <v>58</v>
      </c>
      <c r="AS284" s="6" t="str">
        <f>HYPERLINK("https://creighton-primo.hosted.exlibrisgroup.com/primo-explore/search?tab=default_tab&amp;search_scope=EVERYTHING&amp;vid=01CRU&amp;lang=en_US&amp;offset=0&amp;query=any,contains,991000997359702656","Catalog Record")</f>
        <v>Catalog Record</v>
      </c>
      <c r="AT284" s="6" t="str">
        <f>HYPERLINK("http://www.worldcat.org/oclc/815007","WorldCat Record")</f>
        <v>WorldCat Record</v>
      </c>
    </row>
    <row r="285" spans="1:46" ht="40.5" customHeight="1" x14ac:dyDescent="0.25">
      <c r="A285" s="8" t="s">
        <v>58</v>
      </c>
      <c r="B285" s="2" t="s">
        <v>2650</v>
      </c>
      <c r="C285" s="2" t="s">
        <v>2651</v>
      </c>
      <c r="D285" s="2" t="s">
        <v>2652</v>
      </c>
      <c r="F285" s="3" t="s">
        <v>58</v>
      </c>
      <c r="G285" s="3" t="s">
        <v>59</v>
      </c>
      <c r="H285" s="3" t="s">
        <v>58</v>
      </c>
      <c r="I285" s="3" t="s">
        <v>58</v>
      </c>
      <c r="J285" s="3" t="s">
        <v>60</v>
      </c>
      <c r="K285" s="2" t="s">
        <v>2653</v>
      </c>
      <c r="L285" s="2" t="s">
        <v>2654</v>
      </c>
      <c r="M285" s="3" t="s">
        <v>950</v>
      </c>
      <c r="O285" s="3" t="s">
        <v>64</v>
      </c>
      <c r="P285" s="3" t="s">
        <v>1358</v>
      </c>
      <c r="R285" s="3" t="s">
        <v>1907</v>
      </c>
      <c r="S285" s="4">
        <v>1</v>
      </c>
      <c r="T285" s="4">
        <v>1</v>
      </c>
      <c r="U285" s="5" t="s">
        <v>1003</v>
      </c>
      <c r="V285" s="5" t="s">
        <v>1003</v>
      </c>
      <c r="W285" s="5" t="s">
        <v>2433</v>
      </c>
      <c r="X285" s="5" t="s">
        <v>2433</v>
      </c>
      <c r="Y285" s="4">
        <v>165</v>
      </c>
      <c r="Z285" s="4">
        <v>131</v>
      </c>
      <c r="AA285" s="4">
        <v>133</v>
      </c>
      <c r="AB285" s="4">
        <v>2</v>
      </c>
      <c r="AC285" s="4">
        <v>2</v>
      </c>
      <c r="AD285" s="4">
        <v>1</v>
      </c>
      <c r="AE285" s="4">
        <v>1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1</v>
      </c>
      <c r="AM285" s="4">
        <v>1</v>
      </c>
      <c r="AN285" s="4">
        <v>0</v>
      </c>
      <c r="AO285" s="4">
        <v>0</v>
      </c>
      <c r="AP285" s="3" t="s">
        <v>58</v>
      </c>
      <c r="AQ285" s="3" t="s">
        <v>69</v>
      </c>
      <c r="AR285" s="6" t="str">
        <f>HYPERLINK("http://catalog.hathitrust.org/Record/001556740","HathiTrust Record")</f>
        <v>HathiTrust Record</v>
      </c>
      <c r="AS285" s="6" t="str">
        <f>HYPERLINK("https://creighton-primo.hosted.exlibrisgroup.com/primo-explore/search?tab=default_tab&amp;search_scope=EVERYTHING&amp;vid=01CRU&amp;lang=en_US&amp;offset=0&amp;query=any,contains,991000997439702656","Catalog Record")</f>
        <v>Catalog Record</v>
      </c>
      <c r="AT285" s="6" t="str">
        <f>HYPERLINK("http://www.worldcat.org/oclc/137063","WorldCat Record")</f>
        <v>WorldCat Record</v>
      </c>
    </row>
    <row r="286" spans="1:46" ht="40.5" customHeight="1" x14ac:dyDescent="0.25">
      <c r="A286" s="8" t="s">
        <v>58</v>
      </c>
      <c r="B286" s="2" t="s">
        <v>2655</v>
      </c>
      <c r="C286" s="2" t="s">
        <v>2656</v>
      </c>
      <c r="D286" s="2" t="s">
        <v>2657</v>
      </c>
      <c r="F286" s="3" t="s">
        <v>58</v>
      </c>
      <c r="G286" s="3" t="s">
        <v>59</v>
      </c>
      <c r="H286" s="3" t="s">
        <v>58</v>
      </c>
      <c r="I286" s="3" t="s">
        <v>58</v>
      </c>
      <c r="J286" s="3" t="s">
        <v>60</v>
      </c>
      <c r="K286" s="2" t="s">
        <v>2658</v>
      </c>
      <c r="L286" s="2" t="s">
        <v>2659</v>
      </c>
      <c r="M286" s="3" t="s">
        <v>63</v>
      </c>
      <c r="O286" s="3" t="s">
        <v>64</v>
      </c>
      <c r="P286" s="3" t="s">
        <v>83</v>
      </c>
      <c r="R286" s="3" t="s">
        <v>1907</v>
      </c>
      <c r="S286" s="4">
        <v>1</v>
      </c>
      <c r="T286" s="4">
        <v>1</v>
      </c>
      <c r="U286" s="5" t="s">
        <v>2660</v>
      </c>
      <c r="V286" s="5" t="s">
        <v>2660</v>
      </c>
      <c r="W286" s="5" t="s">
        <v>1923</v>
      </c>
      <c r="X286" s="5" t="s">
        <v>1923</v>
      </c>
      <c r="Y286" s="4">
        <v>61</v>
      </c>
      <c r="Z286" s="4">
        <v>43</v>
      </c>
      <c r="AA286" s="4">
        <v>44</v>
      </c>
      <c r="AB286" s="4">
        <v>1</v>
      </c>
      <c r="AC286" s="4">
        <v>1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3" t="s">
        <v>58</v>
      </c>
      <c r="AQ286" s="3" t="s">
        <v>58</v>
      </c>
      <c r="AS286" s="6" t="str">
        <f>HYPERLINK("https://creighton-primo.hosted.exlibrisgroup.com/primo-explore/search?tab=default_tab&amp;search_scope=EVERYTHING&amp;vid=01CRU&amp;lang=en_US&amp;offset=0&amp;query=any,contains,991000997549702656","Catalog Record")</f>
        <v>Catalog Record</v>
      </c>
      <c r="AT286" s="6" t="str">
        <f>HYPERLINK("http://www.worldcat.org/oclc/10753105","WorldCat Record")</f>
        <v>WorldCat Record</v>
      </c>
    </row>
    <row r="287" spans="1:46" ht="40.5" customHeight="1" x14ac:dyDescent="0.25">
      <c r="A287" s="8" t="s">
        <v>58</v>
      </c>
      <c r="B287" s="2" t="s">
        <v>2661</v>
      </c>
      <c r="C287" s="2" t="s">
        <v>2662</v>
      </c>
      <c r="D287" s="2" t="s">
        <v>2663</v>
      </c>
      <c r="F287" s="3" t="s">
        <v>58</v>
      </c>
      <c r="G287" s="3" t="s">
        <v>59</v>
      </c>
      <c r="H287" s="3" t="s">
        <v>58</v>
      </c>
      <c r="I287" s="3" t="s">
        <v>58</v>
      </c>
      <c r="J287" s="3" t="s">
        <v>60</v>
      </c>
      <c r="K287" s="2" t="s">
        <v>2664</v>
      </c>
      <c r="L287" s="2" t="s">
        <v>2665</v>
      </c>
      <c r="M287" s="3" t="s">
        <v>829</v>
      </c>
      <c r="O287" s="3" t="s">
        <v>64</v>
      </c>
      <c r="P287" s="3" t="s">
        <v>1501</v>
      </c>
      <c r="R287" s="3" t="s">
        <v>1907</v>
      </c>
      <c r="S287" s="4">
        <v>2</v>
      </c>
      <c r="T287" s="4">
        <v>2</v>
      </c>
      <c r="U287" s="5" t="s">
        <v>2666</v>
      </c>
      <c r="V287" s="5" t="s">
        <v>2666</v>
      </c>
      <c r="W287" s="5" t="s">
        <v>2667</v>
      </c>
      <c r="X287" s="5" t="s">
        <v>2667</v>
      </c>
      <c r="Y287" s="4">
        <v>35</v>
      </c>
      <c r="Z287" s="4">
        <v>29</v>
      </c>
      <c r="AA287" s="4">
        <v>30</v>
      </c>
      <c r="AB287" s="4">
        <v>1</v>
      </c>
      <c r="AC287" s="4">
        <v>1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3" t="s">
        <v>58</v>
      </c>
      <c r="AQ287" s="3" t="s">
        <v>69</v>
      </c>
      <c r="AR287" s="6" t="str">
        <f>HYPERLINK("http://catalog.hathitrust.org/Record/008856608","HathiTrust Record")</f>
        <v>HathiTrust Record</v>
      </c>
      <c r="AS287" s="6" t="str">
        <f>HYPERLINK("https://creighton-primo.hosted.exlibrisgroup.com/primo-explore/search?tab=default_tab&amp;search_scope=EVERYTHING&amp;vid=01CRU&amp;lang=en_US&amp;offset=0&amp;query=any,contains,991001269699702656","Catalog Record")</f>
        <v>Catalog Record</v>
      </c>
      <c r="AT287" s="6" t="str">
        <f>HYPERLINK("http://www.worldcat.org/oclc/15963159","WorldCat Record")</f>
        <v>WorldCat Record</v>
      </c>
    </row>
    <row r="288" spans="1:46" ht="40.5" customHeight="1" x14ac:dyDescent="0.25">
      <c r="A288" s="8" t="s">
        <v>58</v>
      </c>
      <c r="B288" s="2" t="s">
        <v>2668</v>
      </c>
      <c r="C288" s="2" t="s">
        <v>2669</v>
      </c>
      <c r="D288" s="2" t="s">
        <v>2670</v>
      </c>
      <c r="F288" s="3" t="s">
        <v>58</v>
      </c>
      <c r="G288" s="3" t="s">
        <v>59</v>
      </c>
      <c r="H288" s="3" t="s">
        <v>58</v>
      </c>
      <c r="I288" s="3" t="s">
        <v>58</v>
      </c>
      <c r="J288" s="3" t="s">
        <v>60</v>
      </c>
      <c r="K288" s="2" t="s">
        <v>2671</v>
      </c>
      <c r="L288" s="2" t="s">
        <v>2672</v>
      </c>
      <c r="M288" s="3" t="s">
        <v>243</v>
      </c>
      <c r="O288" s="3" t="s">
        <v>64</v>
      </c>
      <c r="P288" s="3" t="s">
        <v>202</v>
      </c>
      <c r="Q288" s="2" t="s">
        <v>2673</v>
      </c>
      <c r="R288" s="3" t="s">
        <v>1907</v>
      </c>
      <c r="S288" s="4">
        <v>3</v>
      </c>
      <c r="T288" s="4">
        <v>3</v>
      </c>
      <c r="U288" s="5" t="s">
        <v>2674</v>
      </c>
      <c r="V288" s="5" t="s">
        <v>2674</v>
      </c>
      <c r="W288" s="5" t="s">
        <v>2675</v>
      </c>
      <c r="X288" s="5" t="s">
        <v>2675</v>
      </c>
      <c r="Y288" s="4">
        <v>59</v>
      </c>
      <c r="Z288" s="4">
        <v>52</v>
      </c>
      <c r="AA288" s="4">
        <v>54</v>
      </c>
      <c r="AB288" s="4">
        <v>1</v>
      </c>
      <c r="AC288" s="4">
        <v>1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3" t="s">
        <v>58</v>
      </c>
      <c r="AQ288" s="3" t="s">
        <v>58</v>
      </c>
      <c r="AS288" s="6" t="str">
        <f>HYPERLINK("https://creighton-primo.hosted.exlibrisgroup.com/primo-explore/search?tab=default_tab&amp;search_scope=EVERYTHING&amp;vid=01CRU&amp;lang=en_US&amp;offset=0&amp;query=any,contains,991001115829702656","Catalog Record")</f>
        <v>Catalog Record</v>
      </c>
      <c r="AT288" s="6" t="str">
        <f>HYPERLINK("http://www.worldcat.org/oclc/16088113","WorldCat Record")</f>
        <v>WorldCat Record</v>
      </c>
    </row>
    <row r="289" spans="1:46" ht="40.5" customHeight="1" x14ac:dyDescent="0.25">
      <c r="A289" s="8" t="s">
        <v>58</v>
      </c>
      <c r="B289" s="2" t="s">
        <v>2676</v>
      </c>
      <c r="C289" s="2" t="s">
        <v>2677</v>
      </c>
      <c r="D289" s="2" t="s">
        <v>2678</v>
      </c>
      <c r="F289" s="3" t="s">
        <v>58</v>
      </c>
      <c r="G289" s="3" t="s">
        <v>59</v>
      </c>
      <c r="H289" s="3" t="s">
        <v>58</v>
      </c>
      <c r="I289" s="3" t="s">
        <v>58</v>
      </c>
      <c r="J289" s="3" t="s">
        <v>60</v>
      </c>
      <c r="K289" s="2" t="s">
        <v>2679</v>
      </c>
      <c r="L289" s="2" t="s">
        <v>2680</v>
      </c>
      <c r="M289" s="3" t="s">
        <v>1632</v>
      </c>
      <c r="O289" s="3" t="s">
        <v>64</v>
      </c>
      <c r="P289" s="3" t="s">
        <v>202</v>
      </c>
      <c r="R289" s="3" t="s">
        <v>1907</v>
      </c>
      <c r="S289" s="4">
        <v>6</v>
      </c>
      <c r="T289" s="4">
        <v>6</v>
      </c>
      <c r="U289" s="5" t="s">
        <v>2681</v>
      </c>
      <c r="V289" s="5" t="s">
        <v>2681</v>
      </c>
      <c r="W289" s="5" t="s">
        <v>2675</v>
      </c>
      <c r="X289" s="5" t="s">
        <v>2675</v>
      </c>
      <c r="Y289" s="4">
        <v>28</v>
      </c>
      <c r="Z289" s="4">
        <v>19</v>
      </c>
      <c r="AA289" s="4">
        <v>24</v>
      </c>
      <c r="AB289" s="4">
        <v>1</v>
      </c>
      <c r="AC289" s="4">
        <v>1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3" t="s">
        <v>58</v>
      </c>
      <c r="AQ289" s="3" t="s">
        <v>58</v>
      </c>
      <c r="AS289" s="6" t="str">
        <f>HYPERLINK("https://creighton-primo.hosted.exlibrisgroup.com/primo-explore/search?tab=default_tab&amp;search_scope=EVERYTHING&amp;vid=01CRU&amp;lang=en_US&amp;offset=0&amp;query=any,contains,991001115869702656","Catalog Record")</f>
        <v>Catalog Record</v>
      </c>
      <c r="AT289" s="6" t="str">
        <f>HYPERLINK("http://www.worldcat.org/oclc/19391022","WorldCat Record")</f>
        <v>WorldCat Record</v>
      </c>
    </row>
    <row r="290" spans="1:46" ht="40.5" customHeight="1" x14ac:dyDescent="0.25">
      <c r="A290" s="8" t="s">
        <v>58</v>
      </c>
      <c r="B290" s="2" t="s">
        <v>2682</v>
      </c>
      <c r="C290" s="2" t="s">
        <v>2683</v>
      </c>
      <c r="D290" s="2" t="s">
        <v>2684</v>
      </c>
      <c r="F290" s="3" t="s">
        <v>58</v>
      </c>
      <c r="G290" s="3" t="s">
        <v>59</v>
      </c>
      <c r="H290" s="3" t="s">
        <v>58</v>
      </c>
      <c r="I290" s="3" t="s">
        <v>58</v>
      </c>
      <c r="J290" s="3" t="s">
        <v>60</v>
      </c>
      <c r="K290" s="2" t="s">
        <v>2685</v>
      </c>
      <c r="L290" s="2" t="s">
        <v>2686</v>
      </c>
      <c r="M290" s="3" t="s">
        <v>1121</v>
      </c>
      <c r="O290" s="3" t="s">
        <v>64</v>
      </c>
      <c r="P290" s="3" t="s">
        <v>1921</v>
      </c>
      <c r="R290" s="3" t="s">
        <v>1907</v>
      </c>
      <c r="S290" s="4">
        <v>3</v>
      </c>
      <c r="T290" s="4">
        <v>3</v>
      </c>
      <c r="U290" s="5" t="s">
        <v>330</v>
      </c>
      <c r="V290" s="5" t="s">
        <v>330</v>
      </c>
      <c r="W290" s="5" t="s">
        <v>1923</v>
      </c>
      <c r="X290" s="5" t="s">
        <v>1923</v>
      </c>
      <c r="Y290" s="4">
        <v>123</v>
      </c>
      <c r="Z290" s="4">
        <v>80</v>
      </c>
      <c r="AA290" s="4">
        <v>117</v>
      </c>
      <c r="AB290" s="4">
        <v>2</v>
      </c>
      <c r="AC290" s="4">
        <v>2</v>
      </c>
      <c r="AD290" s="4">
        <v>4</v>
      </c>
      <c r="AE290" s="4">
        <v>4</v>
      </c>
      <c r="AF290" s="4">
        <v>0</v>
      </c>
      <c r="AG290" s="4">
        <v>0</v>
      </c>
      <c r="AH290" s="4">
        <v>1</v>
      </c>
      <c r="AI290" s="4">
        <v>1</v>
      </c>
      <c r="AJ290" s="4">
        <v>3</v>
      </c>
      <c r="AK290" s="4">
        <v>3</v>
      </c>
      <c r="AL290" s="4">
        <v>1</v>
      </c>
      <c r="AM290" s="4">
        <v>1</v>
      </c>
      <c r="AN290" s="4">
        <v>0</v>
      </c>
      <c r="AO290" s="4">
        <v>0</v>
      </c>
      <c r="AP290" s="3" t="s">
        <v>58</v>
      </c>
      <c r="AQ290" s="3" t="s">
        <v>69</v>
      </c>
      <c r="AR290" s="6" t="str">
        <f>HYPERLINK("http://catalog.hathitrust.org/Record/000722619","HathiTrust Record")</f>
        <v>HathiTrust Record</v>
      </c>
      <c r="AS290" s="6" t="str">
        <f>HYPERLINK("https://creighton-primo.hosted.exlibrisgroup.com/primo-explore/search?tab=default_tab&amp;search_scope=EVERYTHING&amp;vid=01CRU&amp;lang=en_US&amp;offset=0&amp;query=any,contains,991000997599702656","Catalog Record")</f>
        <v>Catalog Record</v>
      </c>
      <c r="AT290" s="6" t="str">
        <f>HYPERLINK("http://www.worldcat.org/oclc/6043083","WorldCat Record")</f>
        <v>WorldCat Record</v>
      </c>
    </row>
    <row r="291" spans="1:46" ht="40.5" customHeight="1" x14ac:dyDescent="0.25">
      <c r="A291" s="8" t="s">
        <v>58</v>
      </c>
      <c r="B291" s="2" t="s">
        <v>2687</v>
      </c>
      <c r="C291" s="2" t="s">
        <v>2688</v>
      </c>
      <c r="D291" s="2" t="s">
        <v>2689</v>
      </c>
      <c r="E291" s="3" t="s">
        <v>1960</v>
      </c>
      <c r="F291" s="3" t="s">
        <v>69</v>
      </c>
      <c r="G291" s="3" t="s">
        <v>59</v>
      </c>
      <c r="H291" s="3" t="s">
        <v>58</v>
      </c>
      <c r="I291" s="3" t="s">
        <v>58</v>
      </c>
      <c r="J291" s="3" t="s">
        <v>60</v>
      </c>
      <c r="L291" s="2" t="s">
        <v>2690</v>
      </c>
      <c r="M291" s="3" t="s">
        <v>926</v>
      </c>
      <c r="O291" s="3" t="s">
        <v>64</v>
      </c>
      <c r="P291" s="3" t="s">
        <v>83</v>
      </c>
      <c r="R291" s="3" t="s">
        <v>1907</v>
      </c>
      <c r="S291" s="4">
        <v>4</v>
      </c>
      <c r="T291" s="4">
        <v>5</v>
      </c>
      <c r="U291" s="5" t="s">
        <v>2691</v>
      </c>
      <c r="V291" s="5" t="s">
        <v>2691</v>
      </c>
      <c r="W291" s="5" t="s">
        <v>2327</v>
      </c>
      <c r="X291" s="5" t="s">
        <v>2327</v>
      </c>
      <c r="Y291" s="4">
        <v>65</v>
      </c>
      <c r="Z291" s="4">
        <v>18</v>
      </c>
      <c r="AA291" s="4">
        <v>70</v>
      </c>
      <c r="AB291" s="4">
        <v>1</v>
      </c>
      <c r="AC291" s="4">
        <v>2</v>
      </c>
      <c r="AD291" s="4">
        <v>2</v>
      </c>
      <c r="AE291" s="4">
        <v>6</v>
      </c>
      <c r="AF291" s="4">
        <v>1</v>
      </c>
      <c r="AG291" s="4">
        <v>3</v>
      </c>
      <c r="AH291" s="4">
        <v>1</v>
      </c>
      <c r="AI291" s="4">
        <v>3</v>
      </c>
      <c r="AJ291" s="4">
        <v>2</v>
      </c>
      <c r="AK291" s="4">
        <v>2</v>
      </c>
      <c r="AL291" s="4">
        <v>0</v>
      </c>
      <c r="AM291" s="4">
        <v>1</v>
      </c>
      <c r="AN291" s="4">
        <v>0</v>
      </c>
      <c r="AO291" s="4">
        <v>0</v>
      </c>
      <c r="AP291" s="3" t="s">
        <v>58</v>
      </c>
      <c r="AQ291" s="3" t="s">
        <v>58</v>
      </c>
      <c r="AS291" s="6" t="str">
        <f>HYPERLINK("https://creighton-primo.hosted.exlibrisgroup.com/primo-explore/search?tab=default_tab&amp;search_scope=EVERYTHING&amp;vid=01CRU&amp;lang=en_US&amp;offset=0&amp;query=any,contains,991000998179702656","Catalog Record")</f>
        <v>Catalog Record</v>
      </c>
      <c r="AT291" s="6" t="str">
        <f>HYPERLINK("http://www.worldcat.org/oclc/13545556","WorldCat Record")</f>
        <v>WorldCat Record</v>
      </c>
    </row>
    <row r="292" spans="1:46" ht="40.5" customHeight="1" x14ac:dyDescent="0.25">
      <c r="A292" s="8" t="s">
        <v>58</v>
      </c>
      <c r="B292" s="2" t="s">
        <v>2687</v>
      </c>
      <c r="C292" s="2" t="s">
        <v>2688</v>
      </c>
      <c r="D292" s="2" t="s">
        <v>2689</v>
      </c>
      <c r="E292" s="3" t="s">
        <v>1952</v>
      </c>
      <c r="F292" s="3" t="s">
        <v>69</v>
      </c>
      <c r="G292" s="3" t="s">
        <v>59</v>
      </c>
      <c r="H292" s="3" t="s">
        <v>58</v>
      </c>
      <c r="I292" s="3" t="s">
        <v>58</v>
      </c>
      <c r="J292" s="3" t="s">
        <v>60</v>
      </c>
      <c r="L292" s="2" t="s">
        <v>2690</v>
      </c>
      <c r="M292" s="3" t="s">
        <v>926</v>
      </c>
      <c r="O292" s="3" t="s">
        <v>64</v>
      </c>
      <c r="P292" s="3" t="s">
        <v>83</v>
      </c>
      <c r="R292" s="3" t="s">
        <v>1907</v>
      </c>
      <c r="S292" s="4">
        <v>1</v>
      </c>
      <c r="T292" s="4">
        <v>5</v>
      </c>
      <c r="V292" s="5" t="s">
        <v>2691</v>
      </c>
      <c r="W292" s="5" t="s">
        <v>2327</v>
      </c>
      <c r="X292" s="5" t="s">
        <v>2327</v>
      </c>
      <c r="Y292" s="4">
        <v>65</v>
      </c>
      <c r="Z292" s="4">
        <v>18</v>
      </c>
      <c r="AA292" s="4">
        <v>70</v>
      </c>
      <c r="AB292" s="4">
        <v>1</v>
      </c>
      <c r="AC292" s="4">
        <v>2</v>
      </c>
      <c r="AD292" s="4">
        <v>2</v>
      </c>
      <c r="AE292" s="4">
        <v>6</v>
      </c>
      <c r="AF292" s="4">
        <v>1</v>
      </c>
      <c r="AG292" s="4">
        <v>3</v>
      </c>
      <c r="AH292" s="4">
        <v>1</v>
      </c>
      <c r="AI292" s="4">
        <v>3</v>
      </c>
      <c r="AJ292" s="4">
        <v>2</v>
      </c>
      <c r="AK292" s="4">
        <v>2</v>
      </c>
      <c r="AL292" s="4">
        <v>0</v>
      </c>
      <c r="AM292" s="4">
        <v>1</v>
      </c>
      <c r="AN292" s="4">
        <v>0</v>
      </c>
      <c r="AO292" s="4">
        <v>0</v>
      </c>
      <c r="AP292" s="3" t="s">
        <v>58</v>
      </c>
      <c r="AQ292" s="3" t="s">
        <v>58</v>
      </c>
      <c r="AS292" s="6" t="str">
        <f>HYPERLINK("https://creighton-primo.hosted.exlibrisgroup.com/primo-explore/search?tab=default_tab&amp;search_scope=EVERYTHING&amp;vid=01CRU&amp;lang=en_US&amp;offset=0&amp;query=any,contains,991000998179702656","Catalog Record")</f>
        <v>Catalog Record</v>
      </c>
      <c r="AT292" s="6" t="str">
        <f>HYPERLINK("http://www.worldcat.org/oclc/13545556","WorldCat Record")</f>
        <v>WorldCat Record</v>
      </c>
    </row>
    <row r="293" spans="1:46" ht="40.5" customHeight="1" x14ac:dyDescent="0.25">
      <c r="A293" s="8" t="s">
        <v>58</v>
      </c>
      <c r="B293" s="2" t="s">
        <v>2687</v>
      </c>
      <c r="C293" s="2" t="s">
        <v>2688</v>
      </c>
      <c r="D293" s="2" t="s">
        <v>2689</v>
      </c>
      <c r="E293" s="3" t="s">
        <v>1947</v>
      </c>
      <c r="F293" s="3" t="s">
        <v>69</v>
      </c>
      <c r="G293" s="3" t="s">
        <v>59</v>
      </c>
      <c r="H293" s="3" t="s">
        <v>58</v>
      </c>
      <c r="I293" s="3" t="s">
        <v>58</v>
      </c>
      <c r="J293" s="3" t="s">
        <v>60</v>
      </c>
      <c r="L293" s="2" t="s">
        <v>2690</v>
      </c>
      <c r="M293" s="3" t="s">
        <v>926</v>
      </c>
      <c r="O293" s="3" t="s">
        <v>64</v>
      </c>
      <c r="P293" s="3" t="s">
        <v>83</v>
      </c>
      <c r="R293" s="3" t="s">
        <v>1907</v>
      </c>
      <c r="S293" s="4">
        <v>0</v>
      </c>
      <c r="T293" s="4">
        <v>5</v>
      </c>
      <c r="V293" s="5" t="s">
        <v>2691</v>
      </c>
      <c r="W293" s="5" t="s">
        <v>2327</v>
      </c>
      <c r="X293" s="5" t="s">
        <v>2327</v>
      </c>
      <c r="Y293" s="4">
        <v>65</v>
      </c>
      <c r="Z293" s="4">
        <v>18</v>
      </c>
      <c r="AA293" s="4">
        <v>70</v>
      </c>
      <c r="AB293" s="4">
        <v>1</v>
      </c>
      <c r="AC293" s="4">
        <v>2</v>
      </c>
      <c r="AD293" s="4">
        <v>2</v>
      </c>
      <c r="AE293" s="4">
        <v>6</v>
      </c>
      <c r="AF293" s="4">
        <v>1</v>
      </c>
      <c r="AG293" s="4">
        <v>3</v>
      </c>
      <c r="AH293" s="4">
        <v>1</v>
      </c>
      <c r="AI293" s="4">
        <v>3</v>
      </c>
      <c r="AJ293" s="4">
        <v>2</v>
      </c>
      <c r="AK293" s="4">
        <v>2</v>
      </c>
      <c r="AL293" s="4">
        <v>0</v>
      </c>
      <c r="AM293" s="4">
        <v>1</v>
      </c>
      <c r="AN293" s="4">
        <v>0</v>
      </c>
      <c r="AO293" s="4">
        <v>0</v>
      </c>
      <c r="AP293" s="3" t="s">
        <v>58</v>
      </c>
      <c r="AQ293" s="3" t="s">
        <v>58</v>
      </c>
      <c r="AS293" s="6" t="str">
        <f>HYPERLINK("https://creighton-primo.hosted.exlibrisgroup.com/primo-explore/search?tab=default_tab&amp;search_scope=EVERYTHING&amp;vid=01CRU&amp;lang=en_US&amp;offset=0&amp;query=any,contains,991000998179702656","Catalog Record")</f>
        <v>Catalog Record</v>
      </c>
      <c r="AT293" s="6" t="str">
        <f>HYPERLINK("http://www.worldcat.org/oclc/13545556","WorldCat Record")</f>
        <v>WorldCat Record</v>
      </c>
    </row>
    <row r="294" spans="1:46" ht="40.5" customHeight="1" x14ac:dyDescent="0.25">
      <c r="A294" s="8" t="s">
        <v>58</v>
      </c>
      <c r="B294" s="2" t="s">
        <v>2687</v>
      </c>
      <c r="C294" s="2" t="s">
        <v>2688</v>
      </c>
      <c r="D294" s="2" t="s">
        <v>2689</v>
      </c>
      <c r="E294" s="3" t="s">
        <v>1956</v>
      </c>
      <c r="F294" s="3" t="s">
        <v>69</v>
      </c>
      <c r="G294" s="3" t="s">
        <v>59</v>
      </c>
      <c r="H294" s="3" t="s">
        <v>58</v>
      </c>
      <c r="I294" s="3" t="s">
        <v>58</v>
      </c>
      <c r="J294" s="3" t="s">
        <v>60</v>
      </c>
      <c r="L294" s="2" t="s">
        <v>2690</v>
      </c>
      <c r="M294" s="3" t="s">
        <v>926</v>
      </c>
      <c r="O294" s="3" t="s">
        <v>64</v>
      </c>
      <c r="P294" s="3" t="s">
        <v>83</v>
      </c>
      <c r="R294" s="3" t="s">
        <v>1907</v>
      </c>
      <c r="S294" s="4">
        <v>0</v>
      </c>
      <c r="T294" s="4">
        <v>5</v>
      </c>
      <c r="V294" s="5" t="s">
        <v>2691</v>
      </c>
      <c r="W294" s="5" t="s">
        <v>2327</v>
      </c>
      <c r="X294" s="5" t="s">
        <v>2327</v>
      </c>
      <c r="Y294" s="4">
        <v>65</v>
      </c>
      <c r="Z294" s="4">
        <v>18</v>
      </c>
      <c r="AA294" s="4">
        <v>70</v>
      </c>
      <c r="AB294" s="4">
        <v>1</v>
      </c>
      <c r="AC294" s="4">
        <v>2</v>
      </c>
      <c r="AD294" s="4">
        <v>2</v>
      </c>
      <c r="AE294" s="4">
        <v>6</v>
      </c>
      <c r="AF294" s="4">
        <v>1</v>
      </c>
      <c r="AG294" s="4">
        <v>3</v>
      </c>
      <c r="AH294" s="4">
        <v>1</v>
      </c>
      <c r="AI294" s="4">
        <v>3</v>
      </c>
      <c r="AJ294" s="4">
        <v>2</v>
      </c>
      <c r="AK294" s="4">
        <v>2</v>
      </c>
      <c r="AL294" s="4">
        <v>0</v>
      </c>
      <c r="AM294" s="4">
        <v>1</v>
      </c>
      <c r="AN294" s="4">
        <v>0</v>
      </c>
      <c r="AO294" s="4">
        <v>0</v>
      </c>
      <c r="AP294" s="3" t="s">
        <v>58</v>
      </c>
      <c r="AQ294" s="3" t="s">
        <v>58</v>
      </c>
      <c r="AS294" s="6" t="str">
        <f>HYPERLINK("https://creighton-primo.hosted.exlibrisgroup.com/primo-explore/search?tab=default_tab&amp;search_scope=EVERYTHING&amp;vid=01CRU&amp;lang=en_US&amp;offset=0&amp;query=any,contains,991000998179702656","Catalog Record")</f>
        <v>Catalog Record</v>
      </c>
      <c r="AT294" s="6" t="str">
        <f>HYPERLINK("http://www.worldcat.org/oclc/13545556","WorldCat Record")</f>
        <v>WorldCat Record</v>
      </c>
    </row>
    <row r="295" spans="1:46" ht="40.5" customHeight="1" x14ac:dyDescent="0.25">
      <c r="A295" s="8" t="s">
        <v>58</v>
      </c>
      <c r="B295" s="2" t="s">
        <v>2692</v>
      </c>
      <c r="C295" s="2" t="s">
        <v>2693</v>
      </c>
      <c r="D295" s="2" t="s">
        <v>2694</v>
      </c>
      <c r="F295" s="3" t="s">
        <v>58</v>
      </c>
      <c r="G295" s="3" t="s">
        <v>59</v>
      </c>
      <c r="H295" s="3" t="s">
        <v>58</v>
      </c>
      <c r="I295" s="3" t="s">
        <v>58</v>
      </c>
      <c r="J295" s="3" t="s">
        <v>60</v>
      </c>
      <c r="K295" s="2" t="s">
        <v>2695</v>
      </c>
      <c r="L295" s="2" t="s">
        <v>2696</v>
      </c>
      <c r="M295" s="3" t="s">
        <v>385</v>
      </c>
      <c r="O295" s="3" t="s">
        <v>64</v>
      </c>
      <c r="P295" s="3" t="s">
        <v>186</v>
      </c>
      <c r="Q295" s="2" t="s">
        <v>2697</v>
      </c>
      <c r="R295" s="3" t="s">
        <v>1907</v>
      </c>
      <c r="S295" s="4">
        <v>1</v>
      </c>
      <c r="T295" s="4">
        <v>1</v>
      </c>
      <c r="U295" s="5" t="s">
        <v>2698</v>
      </c>
      <c r="V295" s="5" t="s">
        <v>2698</v>
      </c>
      <c r="W295" s="5" t="s">
        <v>2327</v>
      </c>
      <c r="X295" s="5" t="s">
        <v>2327</v>
      </c>
      <c r="Y295" s="4">
        <v>140</v>
      </c>
      <c r="Z295" s="4">
        <v>130</v>
      </c>
      <c r="AA295" s="4">
        <v>183</v>
      </c>
      <c r="AB295" s="4">
        <v>1</v>
      </c>
      <c r="AC295" s="4">
        <v>1</v>
      </c>
      <c r="AD295" s="4">
        <v>7</v>
      </c>
      <c r="AE295" s="4">
        <v>8</v>
      </c>
      <c r="AF295" s="4">
        <v>2</v>
      </c>
      <c r="AG295" s="4">
        <v>2</v>
      </c>
      <c r="AH295" s="4">
        <v>1</v>
      </c>
      <c r="AI295" s="4">
        <v>2</v>
      </c>
      <c r="AJ295" s="4">
        <v>5</v>
      </c>
      <c r="AK295" s="4">
        <v>5</v>
      </c>
      <c r="AL295" s="4">
        <v>0</v>
      </c>
      <c r="AM295" s="4">
        <v>0</v>
      </c>
      <c r="AN295" s="4">
        <v>0</v>
      </c>
      <c r="AO295" s="4">
        <v>0</v>
      </c>
      <c r="AP295" s="3" t="s">
        <v>58</v>
      </c>
      <c r="AQ295" s="3" t="s">
        <v>69</v>
      </c>
      <c r="AR295" s="6" t="str">
        <f>HYPERLINK("http://catalog.hathitrust.org/Record/001556760","HathiTrust Record")</f>
        <v>HathiTrust Record</v>
      </c>
      <c r="AS295" s="6" t="str">
        <f>HYPERLINK("https://creighton-primo.hosted.exlibrisgroup.com/primo-explore/search?tab=default_tab&amp;search_scope=EVERYTHING&amp;vid=01CRU&amp;lang=en_US&amp;offset=0&amp;query=any,contains,991000998009702656","Catalog Record")</f>
        <v>Catalog Record</v>
      </c>
      <c r="AT295" s="6" t="str">
        <f>HYPERLINK("http://www.worldcat.org/oclc/30921371","WorldCat Record")</f>
        <v>WorldCat Record</v>
      </c>
    </row>
    <row r="296" spans="1:46" ht="40.5" customHeight="1" x14ac:dyDescent="0.25">
      <c r="A296" s="8" t="s">
        <v>58</v>
      </c>
      <c r="B296" s="2" t="s">
        <v>2699</v>
      </c>
      <c r="C296" s="2" t="s">
        <v>2700</v>
      </c>
      <c r="D296" s="2" t="s">
        <v>2701</v>
      </c>
      <c r="F296" s="3" t="s">
        <v>58</v>
      </c>
      <c r="G296" s="3" t="s">
        <v>59</v>
      </c>
      <c r="H296" s="3" t="s">
        <v>58</v>
      </c>
      <c r="I296" s="3" t="s">
        <v>58</v>
      </c>
      <c r="J296" s="3" t="s">
        <v>60</v>
      </c>
      <c r="L296" s="2" t="s">
        <v>2702</v>
      </c>
      <c r="M296" s="3" t="s">
        <v>829</v>
      </c>
      <c r="O296" s="3" t="s">
        <v>64</v>
      </c>
      <c r="P296" s="3" t="s">
        <v>2703</v>
      </c>
      <c r="Q296" s="2" t="s">
        <v>2704</v>
      </c>
      <c r="R296" s="3" t="s">
        <v>1907</v>
      </c>
      <c r="S296" s="4">
        <v>4</v>
      </c>
      <c r="T296" s="4">
        <v>4</v>
      </c>
      <c r="U296" s="5" t="s">
        <v>2619</v>
      </c>
      <c r="V296" s="5" t="s">
        <v>2619</v>
      </c>
      <c r="W296" s="5" t="s">
        <v>2560</v>
      </c>
      <c r="X296" s="5" t="s">
        <v>2560</v>
      </c>
      <c r="Y296" s="4">
        <v>49</v>
      </c>
      <c r="Z296" s="4">
        <v>46</v>
      </c>
      <c r="AA296" s="4">
        <v>135</v>
      </c>
      <c r="AB296" s="4">
        <v>1</v>
      </c>
      <c r="AC296" s="4">
        <v>1</v>
      </c>
      <c r="AD296" s="4">
        <v>1</v>
      </c>
      <c r="AE296" s="4">
        <v>3</v>
      </c>
      <c r="AF296" s="4">
        <v>1</v>
      </c>
      <c r="AG296" s="4">
        <v>1</v>
      </c>
      <c r="AH296" s="4">
        <v>0</v>
      </c>
      <c r="AI296" s="4">
        <v>1</v>
      </c>
      <c r="AJ296" s="4">
        <v>1</v>
      </c>
      <c r="AK296" s="4">
        <v>2</v>
      </c>
      <c r="AL296" s="4">
        <v>0</v>
      </c>
      <c r="AM296" s="4">
        <v>0</v>
      </c>
      <c r="AN296" s="4">
        <v>0</v>
      </c>
      <c r="AO296" s="4">
        <v>0</v>
      </c>
      <c r="AP296" s="3" t="s">
        <v>58</v>
      </c>
      <c r="AQ296" s="3" t="s">
        <v>58</v>
      </c>
      <c r="AS296" s="6" t="str">
        <f>HYPERLINK("https://creighton-primo.hosted.exlibrisgroup.com/primo-explore/search?tab=default_tab&amp;search_scope=EVERYTHING&amp;vid=01CRU&amp;lang=en_US&amp;offset=0&amp;query=any,contains,991001103129702656","Catalog Record")</f>
        <v>Catalog Record</v>
      </c>
      <c r="AT296" s="6" t="str">
        <f>HYPERLINK("http://www.worldcat.org/oclc/16854452","WorldCat Record")</f>
        <v>WorldCat Record</v>
      </c>
    </row>
    <row r="297" spans="1:46" ht="40.5" customHeight="1" x14ac:dyDescent="0.25">
      <c r="A297" s="8" t="s">
        <v>58</v>
      </c>
      <c r="B297" s="2" t="s">
        <v>2705</v>
      </c>
      <c r="C297" s="2" t="s">
        <v>2706</v>
      </c>
      <c r="D297" s="2" t="s">
        <v>2707</v>
      </c>
      <c r="E297" s="3" t="s">
        <v>1952</v>
      </c>
      <c r="F297" s="3" t="s">
        <v>69</v>
      </c>
      <c r="G297" s="3" t="s">
        <v>59</v>
      </c>
      <c r="H297" s="3" t="s">
        <v>58</v>
      </c>
      <c r="I297" s="3" t="s">
        <v>58</v>
      </c>
      <c r="J297" s="3" t="s">
        <v>60</v>
      </c>
      <c r="K297" s="2" t="s">
        <v>2708</v>
      </c>
      <c r="L297" s="2" t="s">
        <v>2709</v>
      </c>
      <c r="M297" s="3" t="s">
        <v>480</v>
      </c>
      <c r="N297" s="2" t="s">
        <v>271</v>
      </c>
      <c r="O297" s="3" t="s">
        <v>64</v>
      </c>
      <c r="P297" s="3" t="s">
        <v>83</v>
      </c>
      <c r="R297" s="3" t="s">
        <v>1907</v>
      </c>
      <c r="S297" s="4">
        <v>13</v>
      </c>
      <c r="T297" s="4">
        <v>29</v>
      </c>
      <c r="U297" s="5" t="s">
        <v>2041</v>
      </c>
      <c r="V297" s="5" t="s">
        <v>2041</v>
      </c>
      <c r="W297" s="5" t="s">
        <v>2710</v>
      </c>
      <c r="X297" s="5" t="s">
        <v>2710</v>
      </c>
      <c r="Y297" s="4">
        <v>334</v>
      </c>
      <c r="Z297" s="4">
        <v>239</v>
      </c>
      <c r="AA297" s="4">
        <v>243</v>
      </c>
      <c r="AB297" s="4">
        <v>1</v>
      </c>
      <c r="AC297" s="4">
        <v>1</v>
      </c>
      <c r="AD297" s="4">
        <v>3</v>
      </c>
      <c r="AE297" s="4">
        <v>5</v>
      </c>
      <c r="AF297" s="4">
        <v>1</v>
      </c>
      <c r="AG297" s="4">
        <v>2</v>
      </c>
      <c r="AH297" s="4">
        <v>0</v>
      </c>
      <c r="AI297" s="4">
        <v>1</v>
      </c>
      <c r="AJ297" s="4">
        <v>2</v>
      </c>
      <c r="AK297" s="4">
        <v>4</v>
      </c>
      <c r="AL297" s="4">
        <v>0</v>
      </c>
      <c r="AM297" s="4">
        <v>0</v>
      </c>
      <c r="AN297" s="4">
        <v>0</v>
      </c>
      <c r="AO297" s="4">
        <v>0</v>
      </c>
      <c r="AP297" s="3" t="s">
        <v>58</v>
      </c>
      <c r="AQ297" s="3" t="s">
        <v>69</v>
      </c>
      <c r="AR297" s="6" t="str">
        <f>HYPERLINK("http://catalog.hathitrust.org/Record/001831846","HathiTrust Record")</f>
        <v>HathiTrust Record</v>
      </c>
      <c r="AS297" s="6" t="str">
        <f>HYPERLINK("https://creighton-primo.hosted.exlibrisgroup.com/primo-explore/search?tab=default_tab&amp;search_scope=EVERYTHING&amp;vid=01CRU&amp;lang=en_US&amp;offset=0&amp;query=any,contains,991001431829702656","Catalog Record")</f>
        <v>Catalog Record</v>
      </c>
      <c r="AT297" s="6" t="str">
        <f>HYPERLINK("http://www.worldcat.org/oclc/20318672","WorldCat Record")</f>
        <v>WorldCat Record</v>
      </c>
    </row>
    <row r="298" spans="1:46" ht="40.5" customHeight="1" x14ac:dyDescent="0.25">
      <c r="A298" s="8" t="s">
        <v>58</v>
      </c>
      <c r="B298" s="2" t="s">
        <v>2705</v>
      </c>
      <c r="C298" s="2" t="s">
        <v>2706</v>
      </c>
      <c r="D298" s="2" t="s">
        <v>2707</v>
      </c>
      <c r="E298" s="3" t="s">
        <v>1947</v>
      </c>
      <c r="F298" s="3" t="s">
        <v>69</v>
      </c>
      <c r="G298" s="3" t="s">
        <v>59</v>
      </c>
      <c r="H298" s="3" t="s">
        <v>58</v>
      </c>
      <c r="I298" s="3" t="s">
        <v>58</v>
      </c>
      <c r="J298" s="3" t="s">
        <v>60</v>
      </c>
      <c r="K298" s="2" t="s">
        <v>2708</v>
      </c>
      <c r="L298" s="2" t="s">
        <v>2709</v>
      </c>
      <c r="M298" s="3" t="s">
        <v>480</v>
      </c>
      <c r="N298" s="2" t="s">
        <v>271</v>
      </c>
      <c r="O298" s="3" t="s">
        <v>64</v>
      </c>
      <c r="P298" s="3" t="s">
        <v>83</v>
      </c>
      <c r="R298" s="3" t="s">
        <v>1907</v>
      </c>
      <c r="S298" s="4">
        <v>16</v>
      </c>
      <c r="T298" s="4">
        <v>29</v>
      </c>
      <c r="U298" s="5" t="s">
        <v>2711</v>
      </c>
      <c r="V298" s="5" t="s">
        <v>2041</v>
      </c>
      <c r="W298" s="5" t="s">
        <v>2710</v>
      </c>
      <c r="X298" s="5" t="s">
        <v>2710</v>
      </c>
      <c r="Y298" s="4">
        <v>334</v>
      </c>
      <c r="Z298" s="4">
        <v>239</v>
      </c>
      <c r="AA298" s="4">
        <v>243</v>
      </c>
      <c r="AB298" s="4">
        <v>1</v>
      </c>
      <c r="AC298" s="4">
        <v>1</v>
      </c>
      <c r="AD298" s="4">
        <v>3</v>
      </c>
      <c r="AE298" s="4">
        <v>5</v>
      </c>
      <c r="AF298" s="4">
        <v>1</v>
      </c>
      <c r="AG298" s="4">
        <v>2</v>
      </c>
      <c r="AH298" s="4">
        <v>0</v>
      </c>
      <c r="AI298" s="4">
        <v>1</v>
      </c>
      <c r="AJ298" s="4">
        <v>2</v>
      </c>
      <c r="AK298" s="4">
        <v>4</v>
      </c>
      <c r="AL298" s="4">
        <v>0</v>
      </c>
      <c r="AM298" s="4">
        <v>0</v>
      </c>
      <c r="AN298" s="4">
        <v>0</v>
      </c>
      <c r="AO298" s="4">
        <v>0</v>
      </c>
      <c r="AP298" s="3" t="s">
        <v>58</v>
      </c>
      <c r="AQ298" s="3" t="s">
        <v>69</v>
      </c>
      <c r="AR298" s="6" t="str">
        <f>HYPERLINK("http://catalog.hathitrust.org/Record/001831846","HathiTrust Record")</f>
        <v>HathiTrust Record</v>
      </c>
      <c r="AS298" s="6" t="str">
        <f>HYPERLINK("https://creighton-primo.hosted.exlibrisgroup.com/primo-explore/search?tab=default_tab&amp;search_scope=EVERYTHING&amp;vid=01CRU&amp;lang=en_US&amp;offset=0&amp;query=any,contains,991001431829702656","Catalog Record")</f>
        <v>Catalog Record</v>
      </c>
      <c r="AT298" s="6" t="str">
        <f>HYPERLINK("http://www.worldcat.org/oclc/20318672","WorldCat Record")</f>
        <v>WorldCat Record</v>
      </c>
    </row>
    <row r="299" spans="1:46" ht="40.5" customHeight="1" x14ac:dyDescent="0.25">
      <c r="A299" s="8" t="s">
        <v>58</v>
      </c>
      <c r="B299" s="2" t="s">
        <v>2712</v>
      </c>
      <c r="C299" s="2" t="s">
        <v>2713</v>
      </c>
      <c r="D299" s="2" t="s">
        <v>2714</v>
      </c>
      <c r="F299" s="3" t="s">
        <v>58</v>
      </c>
      <c r="G299" s="3" t="s">
        <v>59</v>
      </c>
      <c r="H299" s="3" t="s">
        <v>58</v>
      </c>
      <c r="I299" s="3" t="s">
        <v>58</v>
      </c>
      <c r="J299" s="3" t="s">
        <v>60</v>
      </c>
      <c r="L299" s="2" t="s">
        <v>2715</v>
      </c>
      <c r="M299" s="3" t="s">
        <v>884</v>
      </c>
      <c r="O299" s="3" t="s">
        <v>64</v>
      </c>
      <c r="P299" s="3" t="s">
        <v>113</v>
      </c>
      <c r="Q299" s="2" t="s">
        <v>2716</v>
      </c>
      <c r="R299" s="3" t="s">
        <v>1907</v>
      </c>
      <c r="S299" s="4">
        <v>4</v>
      </c>
      <c r="T299" s="4">
        <v>4</v>
      </c>
      <c r="U299" s="5" t="s">
        <v>2717</v>
      </c>
      <c r="V299" s="5" t="s">
        <v>2717</v>
      </c>
      <c r="W299" s="5" t="s">
        <v>1923</v>
      </c>
      <c r="X299" s="5" t="s">
        <v>1923</v>
      </c>
      <c r="Y299" s="4">
        <v>329</v>
      </c>
      <c r="Z299" s="4">
        <v>189</v>
      </c>
      <c r="AA299" s="4">
        <v>196</v>
      </c>
      <c r="AB299" s="4">
        <v>1</v>
      </c>
      <c r="AC299" s="4">
        <v>1</v>
      </c>
      <c r="AD299" s="4">
        <v>7</v>
      </c>
      <c r="AE299" s="4">
        <v>7</v>
      </c>
      <c r="AF299" s="4">
        <v>3</v>
      </c>
      <c r="AG299" s="4">
        <v>3</v>
      </c>
      <c r="AH299" s="4">
        <v>3</v>
      </c>
      <c r="AI299" s="4">
        <v>3</v>
      </c>
      <c r="AJ299" s="4">
        <v>5</v>
      </c>
      <c r="AK299" s="4">
        <v>5</v>
      </c>
      <c r="AL299" s="4">
        <v>0</v>
      </c>
      <c r="AM299" s="4">
        <v>0</v>
      </c>
      <c r="AN299" s="4">
        <v>0</v>
      </c>
      <c r="AO299" s="4">
        <v>0</v>
      </c>
      <c r="AP299" s="3" t="s">
        <v>58</v>
      </c>
      <c r="AQ299" s="3" t="s">
        <v>69</v>
      </c>
      <c r="AR299" s="6" t="str">
        <f>HYPERLINK("http://catalog.hathitrust.org/Record/006253417","HathiTrust Record")</f>
        <v>HathiTrust Record</v>
      </c>
      <c r="AS299" s="6" t="str">
        <f>HYPERLINK("https://creighton-primo.hosted.exlibrisgroup.com/primo-explore/search?tab=default_tab&amp;search_scope=EVERYTHING&amp;vid=01CRU&amp;lang=en_US&amp;offset=0&amp;query=any,contains,991000997819702656","Catalog Record")</f>
        <v>Catalog Record</v>
      </c>
      <c r="AT299" s="6" t="str">
        <f>HYPERLINK("http://www.worldcat.org/oclc/12751642","WorldCat Record")</f>
        <v>WorldCat Record</v>
      </c>
    </row>
    <row r="300" spans="1:46" ht="40.5" customHeight="1" x14ac:dyDescent="0.25">
      <c r="A300" s="8" t="s">
        <v>58</v>
      </c>
      <c r="B300" s="2" t="s">
        <v>2718</v>
      </c>
      <c r="C300" s="2" t="s">
        <v>2719</v>
      </c>
      <c r="D300" s="2" t="s">
        <v>2720</v>
      </c>
      <c r="F300" s="3" t="s">
        <v>58</v>
      </c>
      <c r="G300" s="3" t="s">
        <v>59</v>
      </c>
      <c r="H300" s="3" t="s">
        <v>58</v>
      </c>
      <c r="I300" s="3" t="s">
        <v>58</v>
      </c>
      <c r="J300" s="3" t="s">
        <v>60</v>
      </c>
      <c r="L300" s="2" t="s">
        <v>2721</v>
      </c>
      <c r="M300" s="3" t="s">
        <v>185</v>
      </c>
      <c r="O300" s="3" t="s">
        <v>64</v>
      </c>
      <c r="P300" s="3" t="s">
        <v>2722</v>
      </c>
      <c r="R300" s="3" t="s">
        <v>1907</v>
      </c>
      <c r="S300" s="4">
        <v>5</v>
      </c>
      <c r="T300" s="4">
        <v>5</v>
      </c>
      <c r="U300" s="5" t="s">
        <v>2723</v>
      </c>
      <c r="V300" s="5" t="s">
        <v>2723</v>
      </c>
      <c r="W300" s="5" t="s">
        <v>2724</v>
      </c>
      <c r="X300" s="5" t="s">
        <v>2724</v>
      </c>
      <c r="Y300" s="4">
        <v>31</v>
      </c>
      <c r="Z300" s="4">
        <v>15</v>
      </c>
      <c r="AA300" s="4">
        <v>15</v>
      </c>
      <c r="AB300" s="4">
        <v>1</v>
      </c>
      <c r="AC300" s="4">
        <v>1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3" t="s">
        <v>58</v>
      </c>
      <c r="AQ300" s="3" t="s">
        <v>58</v>
      </c>
      <c r="AS300" s="6" t="str">
        <f>HYPERLINK("https://creighton-primo.hosted.exlibrisgroup.com/primo-explore/search?tab=default_tab&amp;search_scope=EVERYTHING&amp;vid=01CRU&amp;lang=en_US&amp;offset=0&amp;query=any,contains,991000674039702656","Catalog Record")</f>
        <v>Catalog Record</v>
      </c>
      <c r="AT300" s="6" t="str">
        <f>HYPERLINK("http://www.worldcat.org/oclc/28346251","WorldCat Record")</f>
        <v>WorldCat Record</v>
      </c>
    </row>
    <row r="301" spans="1:46" ht="40.5" customHeight="1" x14ac:dyDescent="0.25">
      <c r="A301" s="8" t="s">
        <v>58</v>
      </c>
      <c r="B301" s="2" t="s">
        <v>2725</v>
      </c>
      <c r="C301" s="2" t="s">
        <v>2726</v>
      </c>
      <c r="D301" s="2" t="s">
        <v>2727</v>
      </c>
      <c r="E301" s="3" t="s">
        <v>1952</v>
      </c>
      <c r="F301" s="3" t="s">
        <v>58</v>
      </c>
      <c r="G301" s="3" t="s">
        <v>59</v>
      </c>
      <c r="H301" s="3" t="s">
        <v>58</v>
      </c>
      <c r="I301" s="3" t="s">
        <v>58</v>
      </c>
      <c r="J301" s="3" t="s">
        <v>59</v>
      </c>
      <c r="L301" s="2" t="s">
        <v>2728</v>
      </c>
      <c r="M301" s="3" t="s">
        <v>1632</v>
      </c>
      <c r="O301" s="3" t="s">
        <v>64</v>
      </c>
      <c r="P301" s="3" t="s">
        <v>1921</v>
      </c>
      <c r="Q301" s="2" t="s">
        <v>2729</v>
      </c>
      <c r="R301" s="3" t="s">
        <v>1907</v>
      </c>
      <c r="S301" s="4">
        <v>1</v>
      </c>
      <c r="T301" s="4">
        <v>1</v>
      </c>
      <c r="U301" s="5" t="s">
        <v>2391</v>
      </c>
      <c r="V301" s="5" t="s">
        <v>2391</v>
      </c>
      <c r="W301" s="5" t="s">
        <v>2496</v>
      </c>
      <c r="X301" s="5" t="s">
        <v>2496</v>
      </c>
      <c r="Y301" s="4">
        <v>284</v>
      </c>
      <c r="Z301" s="4">
        <v>216</v>
      </c>
      <c r="AA301" s="4">
        <v>1303</v>
      </c>
      <c r="AB301" s="4">
        <v>1</v>
      </c>
      <c r="AC301" s="4">
        <v>24</v>
      </c>
      <c r="AD301" s="4">
        <v>7</v>
      </c>
      <c r="AE301" s="4">
        <v>55</v>
      </c>
      <c r="AF301" s="4">
        <v>1</v>
      </c>
      <c r="AG301" s="4">
        <v>18</v>
      </c>
      <c r="AH301" s="4">
        <v>2</v>
      </c>
      <c r="AI301" s="4">
        <v>12</v>
      </c>
      <c r="AJ301" s="4">
        <v>5</v>
      </c>
      <c r="AK301" s="4">
        <v>18</v>
      </c>
      <c r="AL301" s="4">
        <v>0</v>
      </c>
      <c r="AM301" s="4">
        <v>15</v>
      </c>
      <c r="AN301" s="4">
        <v>0</v>
      </c>
      <c r="AO301" s="4">
        <v>2</v>
      </c>
      <c r="AP301" s="3" t="s">
        <v>58</v>
      </c>
      <c r="AQ301" s="3" t="s">
        <v>69</v>
      </c>
      <c r="AR301" s="6" t="str">
        <f>HYPERLINK("http://catalog.hathitrust.org/Record/000944573","HathiTrust Record")</f>
        <v>HathiTrust Record</v>
      </c>
      <c r="AS301" s="6" t="str">
        <f>HYPERLINK("https://creighton-primo.hosted.exlibrisgroup.com/primo-explore/search?tab=default_tab&amp;search_scope=EVERYTHING&amp;vid=01CRU&amp;lang=en_US&amp;offset=0&amp;query=any,contains,991001122719702656","Catalog Record")</f>
        <v>Catalog Record</v>
      </c>
      <c r="AT301" s="6" t="str">
        <f>HYPERLINK("http://www.worldcat.org/oclc/17675040","WorldCat Record")</f>
        <v>WorldCat Record</v>
      </c>
    </row>
    <row r="302" spans="1:46" ht="40.5" customHeight="1" x14ac:dyDescent="0.25">
      <c r="A302" s="8" t="s">
        <v>58</v>
      </c>
      <c r="B302" s="2" t="s">
        <v>2730</v>
      </c>
      <c r="C302" s="2" t="s">
        <v>2731</v>
      </c>
      <c r="D302" s="2" t="s">
        <v>2732</v>
      </c>
      <c r="F302" s="3" t="s">
        <v>58</v>
      </c>
      <c r="G302" s="3" t="s">
        <v>59</v>
      </c>
      <c r="H302" s="3" t="s">
        <v>58</v>
      </c>
      <c r="I302" s="3" t="s">
        <v>58</v>
      </c>
      <c r="J302" s="3" t="s">
        <v>60</v>
      </c>
      <c r="K302" s="2" t="s">
        <v>827</v>
      </c>
      <c r="L302" s="2" t="s">
        <v>2733</v>
      </c>
      <c r="M302" s="3" t="s">
        <v>540</v>
      </c>
      <c r="N302" s="2" t="s">
        <v>271</v>
      </c>
      <c r="O302" s="3" t="s">
        <v>64</v>
      </c>
      <c r="P302" s="3" t="s">
        <v>186</v>
      </c>
      <c r="R302" s="3" t="s">
        <v>1907</v>
      </c>
      <c r="S302" s="4">
        <v>6</v>
      </c>
      <c r="T302" s="4">
        <v>6</v>
      </c>
      <c r="U302" s="5" t="s">
        <v>1003</v>
      </c>
      <c r="V302" s="5" t="s">
        <v>1003</v>
      </c>
      <c r="W302" s="5" t="s">
        <v>2734</v>
      </c>
      <c r="X302" s="5" t="s">
        <v>2734</v>
      </c>
      <c r="Y302" s="4">
        <v>399</v>
      </c>
      <c r="Z302" s="4">
        <v>272</v>
      </c>
      <c r="AA302" s="4">
        <v>281</v>
      </c>
      <c r="AB302" s="4">
        <v>4</v>
      </c>
      <c r="AC302" s="4">
        <v>4</v>
      </c>
      <c r="AD302" s="4">
        <v>11</v>
      </c>
      <c r="AE302" s="4">
        <v>11</v>
      </c>
      <c r="AF302" s="4">
        <v>3</v>
      </c>
      <c r="AG302" s="4">
        <v>3</v>
      </c>
      <c r="AH302" s="4">
        <v>5</v>
      </c>
      <c r="AI302" s="4">
        <v>5</v>
      </c>
      <c r="AJ302" s="4">
        <v>4</v>
      </c>
      <c r="AK302" s="4">
        <v>4</v>
      </c>
      <c r="AL302" s="4">
        <v>3</v>
      </c>
      <c r="AM302" s="4">
        <v>3</v>
      </c>
      <c r="AN302" s="4">
        <v>0</v>
      </c>
      <c r="AO302" s="4">
        <v>0</v>
      </c>
      <c r="AP302" s="3" t="s">
        <v>58</v>
      </c>
      <c r="AQ302" s="3" t="s">
        <v>58</v>
      </c>
      <c r="AS302" s="6" t="str">
        <f>HYPERLINK("https://creighton-primo.hosted.exlibrisgroup.com/primo-explore/search?tab=default_tab&amp;search_scope=EVERYTHING&amp;vid=01CRU&amp;lang=en_US&amp;offset=0&amp;query=any,contains,991001139679702656","Catalog Record")</f>
        <v>Catalog Record</v>
      </c>
      <c r="AT302" s="6" t="str">
        <f>HYPERLINK("http://www.worldcat.org/oclc/25713934","WorldCat Record")</f>
        <v>WorldCat Record</v>
      </c>
    </row>
    <row r="303" spans="1:46" ht="40.5" customHeight="1" x14ac:dyDescent="0.25">
      <c r="A303" s="8" t="s">
        <v>58</v>
      </c>
      <c r="B303" s="2" t="s">
        <v>2735</v>
      </c>
      <c r="C303" s="2" t="s">
        <v>2736</v>
      </c>
      <c r="D303" s="2" t="s">
        <v>2737</v>
      </c>
      <c r="E303" s="3" t="s">
        <v>1947</v>
      </c>
      <c r="F303" s="3" t="s">
        <v>69</v>
      </c>
      <c r="G303" s="3" t="s">
        <v>59</v>
      </c>
      <c r="H303" s="3" t="s">
        <v>58</v>
      </c>
      <c r="I303" s="3" t="s">
        <v>58</v>
      </c>
      <c r="J303" s="3" t="s">
        <v>60</v>
      </c>
      <c r="L303" s="2" t="s">
        <v>2738</v>
      </c>
      <c r="M303" s="3" t="s">
        <v>1864</v>
      </c>
      <c r="O303" s="3" t="s">
        <v>64</v>
      </c>
      <c r="P303" s="3" t="s">
        <v>83</v>
      </c>
      <c r="R303" s="3" t="s">
        <v>1907</v>
      </c>
      <c r="S303" s="4">
        <v>1</v>
      </c>
      <c r="T303" s="4">
        <v>3</v>
      </c>
      <c r="U303" s="5" t="s">
        <v>2698</v>
      </c>
      <c r="V303" s="5" t="s">
        <v>2698</v>
      </c>
      <c r="W303" s="5" t="s">
        <v>2352</v>
      </c>
      <c r="X303" s="5" t="s">
        <v>2352</v>
      </c>
      <c r="Y303" s="4">
        <v>256</v>
      </c>
      <c r="Z303" s="4">
        <v>194</v>
      </c>
      <c r="AA303" s="4">
        <v>196</v>
      </c>
      <c r="AB303" s="4">
        <v>1</v>
      </c>
      <c r="AC303" s="4">
        <v>1</v>
      </c>
      <c r="AD303" s="4">
        <v>4</v>
      </c>
      <c r="AE303" s="4">
        <v>4</v>
      </c>
      <c r="AF303" s="4">
        <v>1</v>
      </c>
      <c r="AG303" s="4">
        <v>1</v>
      </c>
      <c r="AH303" s="4">
        <v>2</v>
      </c>
      <c r="AI303" s="4">
        <v>2</v>
      </c>
      <c r="AJ303" s="4">
        <v>3</v>
      </c>
      <c r="AK303" s="4">
        <v>3</v>
      </c>
      <c r="AL303" s="4">
        <v>0</v>
      </c>
      <c r="AM303" s="4">
        <v>0</v>
      </c>
      <c r="AN303" s="4">
        <v>0</v>
      </c>
      <c r="AO303" s="4">
        <v>0</v>
      </c>
      <c r="AP303" s="3" t="s">
        <v>58</v>
      </c>
      <c r="AQ303" s="3" t="s">
        <v>69</v>
      </c>
      <c r="AR303" s="6" t="str">
        <f>HYPERLINK("http://catalog.hathitrust.org/Record/000250705","HathiTrust Record")</f>
        <v>HathiTrust Record</v>
      </c>
      <c r="AS303" s="6" t="str">
        <f>HYPERLINK("https://creighton-primo.hosted.exlibrisgroup.com/primo-explore/search?tab=default_tab&amp;search_scope=EVERYTHING&amp;vid=01CRU&amp;lang=en_US&amp;offset=0&amp;query=any,contains,991000997899702656","Catalog Record")</f>
        <v>Catalog Record</v>
      </c>
      <c r="AT303" s="6" t="str">
        <f>HYPERLINK("http://www.worldcat.org/oclc/2986117","WorldCat Record")</f>
        <v>WorldCat Record</v>
      </c>
    </row>
    <row r="304" spans="1:46" ht="40.5" customHeight="1" x14ac:dyDescent="0.25">
      <c r="A304" s="8" t="s">
        <v>58</v>
      </c>
      <c r="B304" s="2" t="s">
        <v>2735</v>
      </c>
      <c r="C304" s="2" t="s">
        <v>2736</v>
      </c>
      <c r="D304" s="2" t="s">
        <v>2737</v>
      </c>
      <c r="E304" s="3" t="s">
        <v>1952</v>
      </c>
      <c r="F304" s="3" t="s">
        <v>69</v>
      </c>
      <c r="G304" s="3" t="s">
        <v>59</v>
      </c>
      <c r="H304" s="3" t="s">
        <v>58</v>
      </c>
      <c r="I304" s="3" t="s">
        <v>58</v>
      </c>
      <c r="J304" s="3" t="s">
        <v>60</v>
      </c>
      <c r="L304" s="2" t="s">
        <v>2738</v>
      </c>
      <c r="M304" s="3" t="s">
        <v>1864</v>
      </c>
      <c r="O304" s="3" t="s">
        <v>64</v>
      </c>
      <c r="P304" s="3" t="s">
        <v>83</v>
      </c>
      <c r="R304" s="3" t="s">
        <v>1907</v>
      </c>
      <c r="S304" s="4">
        <v>2</v>
      </c>
      <c r="T304" s="4">
        <v>3</v>
      </c>
      <c r="U304" s="5" t="s">
        <v>2698</v>
      </c>
      <c r="V304" s="5" t="s">
        <v>2698</v>
      </c>
      <c r="W304" s="5" t="s">
        <v>2352</v>
      </c>
      <c r="X304" s="5" t="s">
        <v>2352</v>
      </c>
      <c r="Y304" s="4">
        <v>256</v>
      </c>
      <c r="Z304" s="4">
        <v>194</v>
      </c>
      <c r="AA304" s="4">
        <v>196</v>
      </c>
      <c r="AB304" s="4">
        <v>1</v>
      </c>
      <c r="AC304" s="4">
        <v>1</v>
      </c>
      <c r="AD304" s="4">
        <v>4</v>
      </c>
      <c r="AE304" s="4">
        <v>4</v>
      </c>
      <c r="AF304" s="4">
        <v>1</v>
      </c>
      <c r="AG304" s="4">
        <v>1</v>
      </c>
      <c r="AH304" s="4">
        <v>2</v>
      </c>
      <c r="AI304" s="4">
        <v>2</v>
      </c>
      <c r="AJ304" s="4">
        <v>3</v>
      </c>
      <c r="AK304" s="4">
        <v>3</v>
      </c>
      <c r="AL304" s="4">
        <v>0</v>
      </c>
      <c r="AM304" s="4">
        <v>0</v>
      </c>
      <c r="AN304" s="4">
        <v>0</v>
      </c>
      <c r="AO304" s="4">
        <v>0</v>
      </c>
      <c r="AP304" s="3" t="s">
        <v>58</v>
      </c>
      <c r="AQ304" s="3" t="s">
        <v>69</v>
      </c>
      <c r="AR304" s="6" t="str">
        <f>HYPERLINK("http://catalog.hathitrust.org/Record/000250705","HathiTrust Record")</f>
        <v>HathiTrust Record</v>
      </c>
      <c r="AS304" s="6" t="str">
        <f>HYPERLINK("https://creighton-primo.hosted.exlibrisgroup.com/primo-explore/search?tab=default_tab&amp;search_scope=EVERYTHING&amp;vid=01CRU&amp;lang=en_US&amp;offset=0&amp;query=any,contains,991000997899702656","Catalog Record")</f>
        <v>Catalog Record</v>
      </c>
      <c r="AT304" s="6" t="str">
        <f>HYPERLINK("http://www.worldcat.org/oclc/2986117","WorldCat Record")</f>
        <v>WorldCat Record</v>
      </c>
    </row>
    <row r="305" spans="1:46" ht="40.5" customHeight="1" x14ac:dyDescent="0.25">
      <c r="A305" s="8" t="s">
        <v>58</v>
      </c>
      <c r="B305" s="2" t="s">
        <v>2739</v>
      </c>
      <c r="C305" s="2" t="s">
        <v>2740</v>
      </c>
      <c r="D305" s="2" t="s">
        <v>2741</v>
      </c>
      <c r="F305" s="3" t="s">
        <v>58</v>
      </c>
      <c r="G305" s="3" t="s">
        <v>59</v>
      </c>
      <c r="H305" s="3" t="s">
        <v>58</v>
      </c>
      <c r="I305" s="3" t="s">
        <v>58</v>
      </c>
      <c r="J305" s="3" t="s">
        <v>60</v>
      </c>
      <c r="L305" s="2" t="s">
        <v>2742</v>
      </c>
      <c r="M305" s="3" t="s">
        <v>1094</v>
      </c>
      <c r="O305" s="3" t="s">
        <v>64</v>
      </c>
      <c r="P305" s="3" t="s">
        <v>1921</v>
      </c>
      <c r="R305" s="3" t="s">
        <v>1907</v>
      </c>
      <c r="S305" s="4">
        <v>3</v>
      </c>
      <c r="T305" s="4">
        <v>3</v>
      </c>
      <c r="U305" s="5" t="s">
        <v>2743</v>
      </c>
      <c r="V305" s="5" t="s">
        <v>2743</v>
      </c>
      <c r="W305" s="5" t="s">
        <v>1923</v>
      </c>
      <c r="X305" s="5" t="s">
        <v>1923</v>
      </c>
      <c r="Y305" s="4">
        <v>176</v>
      </c>
      <c r="Z305" s="4">
        <v>135</v>
      </c>
      <c r="AA305" s="4">
        <v>136</v>
      </c>
      <c r="AB305" s="4">
        <v>2</v>
      </c>
      <c r="AC305" s="4">
        <v>2</v>
      </c>
      <c r="AD305" s="4">
        <v>2</v>
      </c>
      <c r="AE305" s="4">
        <v>2</v>
      </c>
      <c r="AF305" s="4">
        <v>0</v>
      </c>
      <c r="AG305" s="4">
        <v>0</v>
      </c>
      <c r="AH305" s="4">
        <v>0</v>
      </c>
      <c r="AI305" s="4">
        <v>0</v>
      </c>
      <c r="AJ305" s="4">
        <v>1</v>
      </c>
      <c r="AK305" s="4">
        <v>1</v>
      </c>
      <c r="AL305" s="4">
        <v>1</v>
      </c>
      <c r="AM305" s="4">
        <v>1</v>
      </c>
      <c r="AN305" s="4">
        <v>0</v>
      </c>
      <c r="AO305" s="4">
        <v>0</v>
      </c>
      <c r="AP305" s="3" t="s">
        <v>58</v>
      </c>
      <c r="AQ305" s="3" t="s">
        <v>69</v>
      </c>
      <c r="AR305" s="6" t="str">
        <f>HYPERLINK("http://catalog.hathitrust.org/Record/000477988","HathiTrust Record")</f>
        <v>HathiTrust Record</v>
      </c>
      <c r="AS305" s="6" t="str">
        <f>HYPERLINK("https://creighton-primo.hosted.exlibrisgroup.com/primo-explore/search?tab=default_tab&amp;search_scope=EVERYTHING&amp;vid=01CRU&amp;lang=en_US&amp;offset=0&amp;query=any,contains,991000997689702656","Catalog Record")</f>
        <v>Catalog Record</v>
      </c>
      <c r="AT305" s="6" t="str">
        <f>HYPERLINK("http://www.worldcat.org/oclc/8132113","WorldCat Record")</f>
        <v>WorldCat Record</v>
      </c>
    </row>
    <row r="306" spans="1:46" ht="40.5" customHeight="1" x14ac:dyDescent="0.25">
      <c r="A306" s="8" t="s">
        <v>58</v>
      </c>
      <c r="B306" s="2" t="s">
        <v>2744</v>
      </c>
      <c r="C306" s="2" t="s">
        <v>2745</v>
      </c>
      <c r="D306" s="2" t="s">
        <v>2746</v>
      </c>
      <c r="F306" s="3" t="s">
        <v>58</v>
      </c>
      <c r="G306" s="3" t="s">
        <v>59</v>
      </c>
      <c r="H306" s="3" t="s">
        <v>58</v>
      </c>
      <c r="I306" s="3" t="s">
        <v>58</v>
      </c>
      <c r="J306" s="3" t="s">
        <v>60</v>
      </c>
      <c r="L306" s="2" t="s">
        <v>2747</v>
      </c>
      <c r="M306" s="3" t="s">
        <v>1121</v>
      </c>
      <c r="O306" s="3" t="s">
        <v>64</v>
      </c>
      <c r="P306" s="3" t="s">
        <v>1921</v>
      </c>
      <c r="R306" s="3" t="s">
        <v>1907</v>
      </c>
      <c r="S306" s="4">
        <v>1</v>
      </c>
      <c r="T306" s="4">
        <v>1</v>
      </c>
      <c r="U306" s="5" t="s">
        <v>2101</v>
      </c>
      <c r="V306" s="5" t="s">
        <v>2101</v>
      </c>
      <c r="W306" s="5" t="s">
        <v>1923</v>
      </c>
      <c r="X306" s="5" t="s">
        <v>1923</v>
      </c>
      <c r="Y306" s="4">
        <v>195</v>
      </c>
      <c r="Z306" s="4">
        <v>150</v>
      </c>
      <c r="AA306" s="4">
        <v>155</v>
      </c>
      <c r="AB306" s="4">
        <v>1</v>
      </c>
      <c r="AC306" s="4">
        <v>1</v>
      </c>
      <c r="AD306" s="4">
        <v>3</v>
      </c>
      <c r="AE306" s="4">
        <v>3</v>
      </c>
      <c r="AF306" s="4">
        <v>1</v>
      </c>
      <c r="AG306" s="4">
        <v>1</v>
      </c>
      <c r="AH306" s="4">
        <v>0</v>
      </c>
      <c r="AI306" s="4">
        <v>0</v>
      </c>
      <c r="AJ306" s="4">
        <v>3</v>
      </c>
      <c r="AK306" s="4">
        <v>3</v>
      </c>
      <c r="AL306" s="4">
        <v>0</v>
      </c>
      <c r="AM306" s="4">
        <v>0</v>
      </c>
      <c r="AN306" s="4">
        <v>0</v>
      </c>
      <c r="AO306" s="4">
        <v>0</v>
      </c>
      <c r="AP306" s="3" t="s">
        <v>58</v>
      </c>
      <c r="AQ306" s="3" t="s">
        <v>58</v>
      </c>
      <c r="AS306" s="6" t="str">
        <f>HYPERLINK("https://creighton-primo.hosted.exlibrisgroup.com/primo-explore/search?tab=default_tab&amp;search_scope=EVERYTHING&amp;vid=01CRU&amp;lang=en_US&amp;offset=0&amp;query=any,contains,991000997859702656","Catalog Record")</f>
        <v>Catalog Record</v>
      </c>
      <c r="AT306" s="6" t="str">
        <f>HYPERLINK("http://www.worldcat.org/oclc/6423055","WorldCat Record")</f>
        <v>WorldCat Record</v>
      </c>
    </row>
    <row r="307" spans="1:46" ht="40.5" customHeight="1" x14ac:dyDescent="0.25">
      <c r="A307" s="8" t="s">
        <v>58</v>
      </c>
      <c r="B307" s="2" t="s">
        <v>2748</v>
      </c>
      <c r="C307" s="2" t="s">
        <v>2749</v>
      </c>
      <c r="D307" s="2" t="s">
        <v>2750</v>
      </c>
      <c r="F307" s="3" t="s">
        <v>58</v>
      </c>
      <c r="G307" s="3" t="s">
        <v>59</v>
      </c>
      <c r="H307" s="3" t="s">
        <v>58</v>
      </c>
      <c r="I307" s="3" t="s">
        <v>58</v>
      </c>
      <c r="J307" s="3" t="s">
        <v>60</v>
      </c>
      <c r="K307" s="2" t="s">
        <v>2751</v>
      </c>
      <c r="L307" s="2" t="s">
        <v>2752</v>
      </c>
      <c r="M307" s="3" t="s">
        <v>2753</v>
      </c>
      <c r="O307" s="3" t="s">
        <v>64</v>
      </c>
      <c r="P307" s="3" t="s">
        <v>202</v>
      </c>
      <c r="R307" s="3" t="s">
        <v>1907</v>
      </c>
      <c r="S307" s="4">
        <v>0</v>
      </c>
      <c r="T307" s="4">
        <v>0</v>
      </c>
      <c r="U307" s="5" t="s">
        <v>2754</v>
      </c>
      <c r="V307" s="5" t="s">
        <v>2754</v>
      </c>
      <c r="W307" s="5" t="s">
        <v>2755</v>
      </c>
      <c r="X307" s="5" t="s">
        <v>2755</v>
      </c>
      <c r="Y307" s="4">
        <v>5</v>
      </c>
      <c r="Z307" s="4">
        <v>1</v>
      </c>
      <c r="AA307" s="4">
        <v>1</v>
      </c>
      <c r="AB307" s="4">
        <v>1</v>
      </c>
      <c r="AC307" s="4">
        <v>1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3" t="s">
        <v>58</v>
      </c>
      <c r="AQ307" s="3" t="s">
        <v>58</v>
      </c>
      <c r="AS307" s="6" t="str">
        <f>HYPERLINK("https://creighton-primo.hosted.exlibrisgroup.com/primo-explore/search?tab=default_tab&amp;search_scope=EVERYTHING&amp;vid=01CRU&amp;lang=en_US&amp;offset=0&amp;query=any,contains,991000582619702656","Catalog Record")</f>
        <v>Catalog Record</v>
      </c>
      <c r="AT307" s="6" t="str">
        <f>HYPERLINK("http://www.worldcat.org/oclc/66441981","WorldCat Record")</f>
        <v>WorldCat Record</v>
      </c>
    </row>
    <row r="308" spans="1:46" ht="40.5" customHeight="1" x14ac:dyDescent="0.25">
      <c r="A308" s="8" t="s">
        <v>58</v>
      </c>
      <c r="B308" s="2" t="s">
        <v>2756</v>
      </c>
      <c r="C308" s="2" t="s">
        <v>2757</v>
      </c>
      <c r="D308" s="2" t="s">
        <v>2758</v>
      </c>
      <c r="E308" s="3" t="s">
        <v>2085</v>
      </c>
      <c r="F308" s="3" t="s">
        <v>69</v>
      </c>
      <c r="G308" s="3" t="s">
        <v>59</v>
      </c>
      <c r="H308" s="3" t="s">
        <v>58</v>
      </c>
      <c r="I308" s="3" t="s">
        <v>58</v>
      </c>
      <c r="J308" s="3" t="s">
        <v>60</v>
      </c>
      <c r="L308" s="2" t="s">
        <v>883</v>
      </c>
      <c r="M308" s="3" t="s">
        <v>884</v>
      </c>
      <c r="O308" s="3" t="s">
        <v>64</v>
      </c>
      <c r="P308" s="3" t="s">
        <v>1921</v>
      </c>
      <c r="Q308" s="2" t="s">
        <v>2729</v>
      </c>
      <c r="R308" s="3" t="s">
        <v>1907</v>
      </c>
      <c r="S308" s="4">
        <v>5</v>
      </c>
      <c r="T308" s="4">
        <v>5</v>
      </c>
      <c r="U308" s="5" t="s">
        <v>2759</v>
      </c>
      <c r="V308" s="5" t="s">
        <v>2759</v>
      </c>
      <c r="W308" s="5" t="s">
        <v>1923</v>
      </c>
      <c r="X308" s="5" t="s">
        <v>1923</v>
      </c>
      <c r="Y308" s="4">
        <v>300</v>
      </c>
      <c r="Z308" s="4">
        <v>245</v>
      </c>
      <c r="AA308" s="4">
        <v>266</v>
      </c>
      <c r="AB308" s="4">
        <v>3</v>
      </c>
      <c r="AC308" s="4">
        <v>3</v>
      </c>
      <c r="AD308" s="4">
        <v>7</v>
      </c>
      <c r="AE308" s="4">
        <v>7</v>
      </c>
      <c r="AF308" s="4">
        <v>2</v>
      </c>
      <c r="AG308" s="4">
        <v>2</v>
      </c>
      <c r="AH308" s="4">
        <v>1</v>
      </c>
      <c r="AI308" s="4">
        <v>1</v>
      </c>
      <c r="AJ308" s="4">
        <v>5</v>
      </c>
      <c r="AK308" s="4">
        <v>5</v>
      </c>
      <c r="AL308" s="4">
        <v>1</v>
      </c>
      <c r="AM308" s="4">
        <v>1</v>
      </c>
      <c r="AN308" s="4">
        <v>0</v>
      </c>
      <c r="AO308" s="4">
        <v>0</v>
      </c>
      <c r="AP308" s="3" t="s">
        <v>58</v>
      </c>
      <c r="AQ308" s="3" t="s">
        <v>69</v>
      </c>
      <c r="AR308" s="6" t="str">
        <f>HYPERLINK("http://catalog.hathitrust.org/Record/000269044","HathiTrust Record")</f>
        <v>HathiTrust Record</v>
      </c>
      <c r="AS308" s="6" t="str">
        <f>HYPERLINK("https://creighton-primo.hosted.exlibrisgroup.com/primo-explore/search?tab=default_tab&amp;search_scope=EVERYTHING&amp;vid=01CRU&amp;lang=en_US&amp;offset=0&amp;query=any,contains,991000997779702656","Catalog Record")</f>
        <v>Catalog Record</v>
      </c>
      <c r="AT308" s="6" t="str">
        <f>HYPERLINK("http://www.worldcat.org/oclc/8689752","WorldCat Record")</f>
        <v>WorldCat Record</v>
      </c>
    </row>
    <row r="309" spans="1:46" ht="40.5" customHeight="1" x14ac:dyDescent="0.25">
      <c r="A309" s="8" t="s">
        <v>58</v>
      </c>
      <c r="B309" s="2" t="s">
        <v>2760</v>
      </c>
      <c r="C309" s="2" t="s">
        <v>2761</v>
      </c>
      <c r="D309" s="2" t="s">
        <v>2762</v>
      </c>
      <c r="F309" s="3" t="s">
        <v>58</v>
      </c>
      <c r="G309" s="3" t="s">
        <v>59</v>
      </c>
      <c r="H309" s="3" t="s">
        <v>58</v>
      </c>
      <c r="I309" s="3" t="s">
        <v>58</v>
      </c>
      <c r="J309" s="3" t="s">
        <v>60</v>
      </c>
      <c r="L309" s="2" t="s">
        <v>2522</v>
      </c>
      <c r="M309" s="3" t="s">
        <v>171</v>
      </c>
      <c r="O309" s="3" t="s">
        <v>64</v>
      </c>
      <c r="P309" s="3" t="s">
        <v>83</v>
      </c>
      <c r="Q309" s="2" t="s">
        <v>2763</v>
      </c>
      <c r="R309" s="3" t="s">
        <v>1907</v>
      </c>
      <c r="S309" s="4">
        <v>3</v>
      </c>
      <c r="T309" s="4">
        <v>3</v>
      </c>
      <c r="U309" s="5" t="s">
        <v>2764</v>
      </c>
      <c r="V309" s="5" t="s">
        <v>2764</v>
      </c>
      <c r="W309" s="5" t="s">
        <v>2525</v>
      </c>
      <c r="X309" s="5" t="s">
        <v>2525</v>
      </c>
      <c r="Y309" s="4">
        <v>169</v>
      </c>
      <c r="Z309" s="4">
        <v>132</v>
      </c>
      <c r="AA309" s="4">
        <v>599</v>
      </c>
      <c r="AB309" s="4">
        <v>2</v>
      </c>
      <c r="AC309" s="4">
        <v>28</v>
      </c>
      <c r="AD309" s="4">
        <v>3</v>
      </c>
      <c r="AE309" s="4">
        <v>24</v>
      </c>
      <c r="AF309" s="4">
        <v>0</v>
      </c>
      <c r="AG309" s="4">
        <v>4</v>
      </c>
      <c r="AH309" s="4">
        <v>2</v>
      </c>
      <c r="AI309" s="4">
        <v>4</v>
      </c>
      <c r="AJ309" s="4">
        <v>1</v>
      </c>
      <c r="AK309" s="4">
        <v>6</v>
      </c>
      <c r="AL309" s="4">
        <v>1</v>
      </c>
      <c r="AM309" s="4">
        <v>13</v>
      </c>
      <c r="AN309" s="4">
        <v>0</v>
      </c>
      <c r="AO309" s="4">
        <v>0</v>
      </c>
      <c r="AP309" s="3" t="s">
        <v>58</v>
      </c>
      <c r="AQ309" s="3" t="s">
        <v>58</v>
      </c>
      <c r="AS309" s="6" t="str">
        <f>HYPERLINK("https://creighton-primo.hosted.exlibrisgroup.com/primo-explore/search?tab=default_tab&amp;search_scope=EVERYTHING&amp;vid=01CRU&amp;lang=en_US&amp;offset=0&amp;query=any,contains,991000795549702656","Catalog Record")</f>
        <v>Catalog Record</v>
      </c>
      <c r="AT309" s="6" t="str">
        <f>HYPERLINK("http://www.worldcat.org/oclc/39764145","WorldCat Record")</f>
        <v>WorldCat Record</v>
      </c>
    </row>
    <row r="310" spans="1:46" ht="40.5" customHeight="1" x14ac:dyDescent="0.25">
      <c r="A310" s="8" t="s">
        <v>58</v>
      </c>
      <c r="B310" s="2" t="s">
        <v>2765</v>
      </c>
      <c r="C310" s="2" t="s">
        <v>2766</v>
      </c>
      <c r="D310" s="2" t="s">
        <v>2767</v>
      </c>
      <c r="F310" s="3" t="s">
        <v>58</v>
      </c>
      <c r="G310" s="3" t="s">
        <v>59</v>
      </c>
      <c r="H310" s="3" t="s">
        <v>58</v>
      </c>
      <c r="I310" s="3" t="s">
        <v>58</v>
      </c>
      <c r="J310" s="3" t="s">
        <v>60</v>
      </c>
      <c r="K310" s="2" t="s">
        <v>2768</v>
      </c>
      <c r="L310" s="2" t="s">
        <v>2769</v>
      </c>
      <c r="M310" s="3" t="s">
        <v>1094</v>
      </c>
      <c r="O310" s="3" t="s">
        <v>64</v>
      </c>
      <c r="P310" s="3" t="s">
        <v>1921</v>
      </c>
      <c r="Q310" s="2" t="s">
        <v>2770</v>
      </c>
      <c r="R310" s="3" t="s">
        <v>1907</v>
      </c>
      <c r="S310" s="4">
        <v>6</v>
      </c>
      <c r="T310" s="4">
        <v>6</v>
      </c>
      <c r="U310" s="5" t="s">
        <v>2771</v>
      </c>
      <c r="V310" s="5" t="s">
        <v>2771</v>
      </c>
      <c r="W310" s="5" t="s">
        <v>2772</v>
      </c>
      <c r="X310" s="5" t="s">
        <v>2772</v>
      </c>
      <c r="Y310" s="4">
        <v>160</v>
      </c>
      <c r="Z310" s="4">
        <v>117</v>
      </c>
      <c r="AA310" s="4">
        <v>201</v>
      </c>
      <c r="AB310" s="4">
        <v>1</v>
      </c>
      <c r="AC310" s="4">
        <v>2</v>
      </c>
      <c r="AD310" s="4">
        <v>1</v>
      </c>
      <c r="AE310" s="4">
        <v>4</v>
      </c>
      <c r="AF310" s="4">
        <v>1</v>
      </c>
      <c r="AG310" s="4">
        <v>2</v>
      </c>
      <c r="AH310" s="4">
        <v>0</v>
      </c>
      <c r="AI310" s="4">
        <v>0</v>
      </c>
      <c r="AJ310" s="4">
        <v>1</v>
      </c>
      <c r="AK310" s="4">
        <v>2</v>
      </c>
      <c r="AL310" s="4">
        <v>0</v>
      </c>
      <c r="AM310" s="4">
        <v>1</v>
      </c>
      <c r="AN310" s="4">
        <v>0</v>
      </c>
      <c r="AO310" s="4">
        <v>0</v>
      </c>
      <c r="AP310" s="3" t="s">
        <v>58</v>
      </c>
      <c r="AQ310" s="3" t="s">
        <v>58</v>
      </c>
      <c r="AS310" s="6" t="str">
        <f>HYPERLINK("https://creighton-primo.hosted.exlibrisgroup.com/primo-explore/search?tab=default_tab&amp;search_scope=EVERYTHING&amp;vid=01CRU&amp;lang=en_US&amp;offset=0&amp;query=any,contains,991000997729702656","Catalog Record")</f>
        <v>Catalog Record</v>
      </c>
      <c r="AT310" s="6" t="str">
        <f>HYPERLINK("http://www.worldcat.org/oclc/8281941","WorldCat Record")</f>
        <v>WorldCat Record</v>
      </c>
    </row>
    <row r="311" spans="1:46" ht="40.5" customHeight="1" x14ac:dyDescent="0.25">
      <c r="A311" s="8" t="s">
        <v>58</v>
      </c>
      <c r="B311" s="2" t="s">
        <v>2773</v>
      </c>
      <c r="C311" s="2" t="s">
        <v>2774</v>
      </c>
      <c r="D311" s="2" t="s">
        <v>2775</v>
      </c>
      <c r="F311" s="3" t="s">
        <v>58</v>
      </c>
      <c r="G311" s="3" t="s">
        <v>59</v>
      </c>
      <c r="H311" s="3" t="s">
        <v>58</v>
      </c>
      <c r="I311" s="3" t="s">
        <v>58</v>
      </c>
      <c r="J311" s="3" t="s">
        <v>60</v>
      </c>
      <c r="L311" s="2" t="s">
        <v>2776</v>
      </c>
      <c r="M311" s="3" t="s">
        <v>258</v>
      </c>
      <c r="O311" s="3" t="s">
        <v>64</v>
      </c>
      <c r="P311" s="3" t="s">
        <v>83</v>
      </c>
      <c r="Q311" s="2" t="s">
        <v>2777</v>
      </c>
      <c r="R311" s="3" t="s">
        <v>1907</v>
      </c>
      <c r="S311" s="4">
        <v>14</v>
      </c>
      <c r="T311" s="4">
        <v>14</v>
      </c>
      <c r="U311" s="5" t="s">
        <v>2778</v>
      </c>
      <c r="V311" s="5" t="s">
        <v>2778</v>
      </c>
      <c r="W311" s="5" t="s">
        <v>2779</v>
      </c>
      <c r="X311" s="5" t="s">
        <v>2779</v>
      </c>
      <c r="Y311" s="4">
        <v>31</v>
      </c>
      <c r="Z311" s="4">
        <v>15</v>
      </c>
      <c r="AA311" s="4">
        <v>15</v>
      </c>
      <c r="AB311" s="4">
        <v>1</v>
      </c>
      <c r="AC311" s="4">
        <v>1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3" t="s">
        <v>58</v>
      </c>
      <c r="AQ311" s="3" t="s">
        <v>58</v>
      </c>
      <c r="AS311" s="6" t="str">
        <f>HYPERLINK("https://creighton-primo.hosted.exlibrisgroup.com/primo-explore/search?tab=default_tab&amp;search_scope=EVERYTHING&amp;vid=01CRU&amp;lang=en_US&amp;offset=0&amp;query=any,contains,991000761239702656","Catalog Record")</f>
        <v>Catalog Record</v>
      </c>
      <c r="AT311" s="6" t="str">
        <f>HYPERLINK("http://www.worldcat.org/oclc/21465221","WorldCat Record")</f>
        <v>WorldCat Record</v>
      </c>
    </row>
    <row r="312" spans="1:46" ht="40.5" customHeight="1" x14ac:dyDescent="0.25">
      <c r="A312" s="8" t="s">
        <v>58</v>
      </c>
      <c r="B312" s="2" t="s">
        <v>2780</v>
      </c>
      <c r="C312" s="2" t="s">
        <v>2781</v>
      </c>
      <c r="D312" s="2" t="s">
        <v>2782</v>
      </c>
      <c r="F312" s="3" t="s">
        <v>58</v>
      </c>
      <c r="G312" s="3" t="s">
        <v>59</v>
      </c>
      <c r="H312" s="3" t="s">
        <v>58</v>
      </c>
      <c r="I312" s="3" t="s">
        <v>58</v>
      </c>
      <c r="J312" s="3" t="s">
        <v>60</v>
      </c>
      <c r="L312" s="2" t="s">
        <v>2783</v>
      </c>
      <c r="M312" s="3" t="s">
        <v>676</v>
      </c>
      <c r="O312" s="3" t="s">
        <v>64</v>
      </c>
      <c r="P312" s="3" t="s">
        <v>113</v>
      </c>
      <c r="R312" s="3" t="s">
        <v>1907</v>
      </c>
      <c r="S312" s="4">
        <v>3</v>
      </c>
      <c r="T312" s="4">
        <v>3</v>
      </c>
      <c r="U312" s="5" t="s">
        <v>2784</v>
      </c>
      <c r="V312" s="5" t="s">
        <v>2784</v>
      </c>
      <c r="W312" s="5" t="s">
        <v>2785</v>
      </c>
      <c r="X312" s="5" t="s">
        <v>2785</v>
      </c>
      <c r="Y312" s="4">
        <v>116</v>
      </c>
      <c r="Z312" s="4">
        <v>79</v>
      </c>
      <c r="AA312" s="4">
        <v>84</v>
      </c>
      <c r="AB312" s="4">
        <v>1</v>
      </c>
      <c r="AC312" s="4">
        <v>1</v>
      </c>
      <c r="AD312" s="4">
        <v>3</v>
      </c>
      <c r="AE312" s="4">
        <v>3</v>
      </c>
      <c r="AF312" s="4">
        <v>1</v>
      </c>
      <c r="AG312" s="4">
        <v>1</v>
      </c>
      <c r="AH312" s="4">
        <v>1</v>
      </c>
      <c r="AI312" s="4">
        <v>1</v>
      </c>
      <c r="AJ312" s="4">
        <v>1</v>
      </c>
      <c r="AK312" s="4">
        <v>1</v>
      </c>
      <c r="AL312" s="4">
        <v>0</v>
      </c>
      <c r="AM312" s="4">
        <v>0</v>
      </c>
      <c r="AN312" s="4">
        <v>0</v>
      </c>
      <c r="AO312" s="4">
        <v>0</v>
      </c>
      <c r="AP312" s="3" t="s">
        <v>58</v>
      </c>
      <c r="AQ312" s="3" t="s">
        <v>58</v>
      </c>
      <c r="AS312" s="6" t="str">
        <f>HYPERLINK("https://creighton-primo.hosted.exlibrisgroup.com/primo-explore/search?tab=default_tab&amp;search_scope=EVERYTHING&amp;vid=01CRU&amp;lang=en_US&amp;offset=0&amp;query=any,contains,991000321329702656","Catalog Record")</f>
        <v>Catalog Record</v>
      </c>
      <c r="AT312" s="6" t="str">
        <f>HYPERLINK("http://www.worldcat.org/oclc/43969142","WorldCat Record")</f>
        <v>WorldCat Record</v>
      </c>
    </row>
    <row r="313" spans="1:46" ht="40.5" customHeight="1" x14ac:dyDescent="0.25">
      <c r="A313" s="8" t="s">
        <v>58</v>
      </c>
      <c r="B313" s="2" t="s">
        <v>2786</v>
      </c>
      <c r="C313" s="2" t="s">
        <v>2787</v>
      </c>
      <c r="D313" s="2" t="s">
        <v>2788</v>
      </c>
      <c r="F313" s="3" t="s">
        <v>58</v>
      </c>
      <c r="G313" s="3" t="s">
        <v>59</v>
      </c>
      <c r="H313" s="3" t="s">
        <v>58</v>
      </c>
      <c r="I313" s="3" t="s">
        <v>58</v>
      </c>
      <c r="J313" s="3" t="s">
        <v>60</v>
      </c>
      <c r="L313" s="2" t="s">
        <v>2789</v>
      </c>
      <c r="M313" s="3" t="s">
        <v>884</v>
      </c>
      <c r="O313" s="3" t="s">
        <v>64</v>
      </c>
      <c r="P313" s="3" t="s">
        <v>1921</v>
      </c>
      <c r="Q313" s="2" t="s">
        <v>2790</v>
      </c>
      <c r="R313" s="3" t="s">
        <v>1907</v>
      </c>
      <c r="S313" s="4">
        <v>14</v>
      </c>
      <c r="T313" s="4">
        <v>14</v>
      </c>
      <c r="U313" s="5" t="s">
        <v>2791</v>
      </c>
      <c r="V313" s="5" t="s">
        <v>2791</v>
      </c>
      <c r="W313" s="5" t="s">
        <v>1923</v>
      </c>
      <c r="X313" s="5" t="s">
        <v>1923</v>
      </c>
      <c r="Y313" s="4">
        <v>150</v>
      </c>
      <c r="Z313" s="4">
        <v>123</v>
      </c>
      <c r="AA313" s="4">
        <v>125</v>
      </c>
      <c r="AB313" s="4">
        <v>1</v>
      </c>
      <c r="AC313" s="4">
        <v>1</v>
      </c>
      <c r="AD313" s="4">
        <v>3</v>
      </c>
      <c r="AE313" s="4">
        <v>3</v>
      </c>
      <c r="AF313" s="4">
        <v>0</v>
      </c>
      <c r="AG313" s="4">
        <v>0</v>
      </c>
      <c r="AH313" s="4">
        <v>1</v>
      </c>
      <c r="AI313" s="4">
        <v>1</v>
      </c>
      <c r="AJ313" s="4">
        <v>3</v>
      </c>
      <c r="AK313" s="4">
        <v>3</v>
      </c>
      <c r="AL313" s="4">
        <v>0</v>
      </c>
      <c r="AM313" s="4">
        <v>0</v>
      </c>
      <c r="AN313" s="4">
        <v>0</v>
      </c>
      <c r="AO313" s="4">
        <v>0</v>
      </c>
      <c r="AP313" s="3" t="s">
        <v>58</v>
      </c>
      <c r="AQ313" s="3" t="s">
        <v>69</v>
      </c>
      <c r="AR313" s="6" t="str">
        <f>HYPERLINK("http://catalog.hathitrust.org/Record/000361001","HathiTrust Record")</f>
        <v>HathiTrust Record</v>
      </c>
      <c r="AS313" s="6" t="str">
        <f>HYPERLINK("https://creighton-primo.hosted.exlibrisgroup.com/primo-explore/search?tab=default_tab&amp;search_scope=EVERYTHING&amp;vid=01CRU&amp;lang=en_US&amp;offset=0&amp;query=any,contains,991000997659702656","Catalog Record")</f>
        <v>Catalog Record</v>
      </c>
      <c r="AT313" s="6" t="str">
        <f>HYPERLINK("http://www.worldcat.org/oclc/12751152","WorldCat Record")</f>
        <v>WorldCat Record</v>
      </c>
    </row>
    <row r="314" spans="1:46" ht="40.5" customHeight="1" x14ac:dyDescent="0.25">
      <c r="A314" s="8" t="s">
        <v>58</v>
      </c>
      <c r="B314" s="2" t="s">
        <v>2792</v>
      </c>
      <c r="C314" s="2" t="s">
        <v>2793</v>
      </c>
      <c r="D314" s="2" t="s">
        <v>2794</v>
      </c>
      <c r="E314" s="3" t="s">
        <v>1119</v>
      </c>
      <c r="F314" s="3" t="s">
        <v>58</v>
      </c>
      <c r="G314" s="3" t="s">
        <v>59</v>
      </c>
      <c r="H314" s="3" t="s">
        <v>58</v>
      </c>
      <c r="I314" s="3" t="s">
        <v>58</v>
      </c>
      <c r="J314" s="3" t="s">
        <v>60</v>
      </c>
      <c r="L314" s="2" t="s">
        <v>1384</v>
      </c>
      <c r="M314" s="3" t="s">
        <v>243</v>
      </c>
      <c r="O314" s="3" t="s">
        <v>64</v>
      </c>
      <c r="P314" s="3" t="s">
        <v>1921</v>
      </c>
      <c r="Q314" s="2" t="s">
        <v>2729</v>
      </c>
      <c r="R314" s="3" t="s">
        <v>1907</v>
      </c>
      <c r="S314" s="4">
        <v>13</v>
      </c>
      <c r="T314" s="4">
        <v>13</v>
      </c>
      <c r="U314" s="5" t="s">
        <v>2795</v>
      </c>
      <c r="V314" s="5" t="s">
        <v>2795</v>
      </c>
      <c r="W314" s="5" t="s">
        <v>2796</v>
      </c>
      <c r="X314" s="5" t="s">
        <v>2796</v>
      </c>
      <c r="Y314" s="4">
        <v>192</v>
      </c>
      <c r="Z314" s="4">
        <v>154</v>
      </c>
      <c r="AA314" s="4">
        <v>156</v>
      </c>
      <c r="AB314" s="4">
        <v>1</v>
      </c>
      <c r="AC314" s="4">
        <v>1</v>
      </c>
      <c r="AD314" s="4">
        <v>4</v>
      </c>
      <c r="AE314" s="4">
        <v>4</v>
      </c>
      <c r="AF314" s="4">
        <v>0</v>
      </c>
      <c r="AG314" s="4">
        <v>0</v>
      </c>
      <c r="AH314" s="4">
        <v>2</v>
      </c>
      <c r="AI314" s="4">
        <v>2</v>
      </c>
      <c r="AJ314" s="4">
        <v>3</v>
      </c>
      <c r="AK314" s="4">
        <v>3</v>
      </c>
      <c r="AL314" s="4">
        <v>0</v>
      </c>
      <c r="AM314" s="4">
        <v>0</v>
      </c>
      <c r="AN314" s="4">
        <v>0</v>
      </c>
      <c r="AO314" s="4">
        <v>0</v>
      </c>
      <c r="AP314" s="3" t="s">
        <v>58</v>
      </c>
      <c r="AQ314" s="3" t="s">
        <v>69</v>
      </c>
      <c r="AR314" s="6" t="str">
        <f>HYPERLINK("http://catalog.hathitrust.org/Record/000596773","HathiTrust Record")</f>
        <v>HathiTrust Record</v>
      </c>
      <c r="AS314" s="6" t="str">
        <f>HYPERLINK("https://creighton-primo.hosted.exlibrisgroup.com/primo-explore/search?tab=default_tab&amp;search_scope=EVERYTHING&amp;vid=01CRU&amp;lang=en_US&amp;offset=0&amp;query=any,contains,991001527489702656","Catalog Record")</f>
        <v>Catalog Record</v>
      </c>
      <c r="AT314" s="6" t="str">
        <f>HYPERLINK("http://www.worldcat.org/oclc/13792783","WorldCat Record")</f>
        <v>WorldCat Record</v>
      </c>
    </row>
    <row r="315" spans="1:46" ht="40.5" customHeight="1" x14ac:dyDescent="0.25">
      <c r="A315" s="8" t="s">
        <v>58</v>
      </c>
      <c r="B315" s="2" t="s">
        <v>2797</v>
      </c>
      <c r="C315" s="2" t="s">
        <v>2798</v>
      </c>
      <c r="D315" s="2" t="s">
        <v>2799</v>
      </c>
      <c r="F315" s="3" t="s">
        <v>58</v>
      </c>
      <c r="G315" s="3" t="s">
        <v>59</v>
      </c>
      <c r="H315" s="3" t="s">
        <v>58</v>
      </c>
      <c r="I315" s="3" t="s">
        <v>58</v>
      </c>
      <c r="J315" s="3" t="s">
        <v>59</v>
      </c>
      <c r="K315" s="2" t="s">
        <v>2800</v>
      </c>
      <c r="L315" s="2" t="s">
        <v>2801</v>
      </c>
      <c r="M315" s="3" t="s">
        <v>270</v>
      </c>
      <c r="O315" s="3" t="s">
        <v>64</v>
      </c>
      <c r="P315" s="3" t="s">
        <v>2802</v>
      </c>
      <c r="Q315" s="2" t="s">
        <v>556</v>
      </c>
      <c r="R315" s="3" t="s">
        <v>1907</v>
      </c>
      <c r="S315" s="4">
        <v>1</v>
      </c>
      <c r="T315" s="4">
        <v>1</v>
      </c>
      <c r="U315" s="5" t="s">
        <v>2803</v>
      </c>
      <c r="V315" s="5" t="s">
        <v>2803</v>
      </c>
      <c r="W315" s="5" t="s">
        <v>2804</v>
      </c>
      <c r="X315" s="5" t="s">
        <v>2804</v>
      </c>
      <c r="Y315" s="4">
        <v>80</v>
      </c>
      <c r="Z315" s="4">
        <v>67</v>
      </c>
      <c r="AA315" s="4">
        <v>795</v>
      </c>
      <c r="AB315" s="4">
        <v>1</v>
      </c>
      <c r="AC315" s="4">
        <v>14</v>
      </c>
      <c r="AD315" s="4">
        <v>2</v>
      </c>
      <c r="AE315" s="4">
        <v>30</v>
      </c>
      <c r="AF315" s="4">
        <v>0</v>
      </c>
      <c r="AG315" s="4">
        <v>7</v>
      </c>
      <c r="AH315" s="4">
        <v>1</v>
      </c>
      <c r="AI315" s="4">
        <v>6</v>
      </c>
      <c r="AJ315" s="4">
        <v>2</v>
      </c>
      <c r="AK315" s="4">
        <v>9</v>
      </c>
      <c r="AL315" s="4">
        <v>0</v>
      </c>
      <c r="AM315" s="4">
        <v>12</v>
      </c>
      <c r="AN315" s="4">
        <v>0</v>
      </c>
      <c r="AO315" s="4">
        <v>1</v>
      </c>
      <c r="AP315" s="3" t="s">
        <v>58</v>
      </c>
      <c r="AQ315" s="3" t="s">
        <v>58</v>
      </c>
      <c r="AS315" s="6" t="str">
        <f>HYPERLINK("https://creighton-primo.hosted.exlibrisgroup.com/primo-explore/search?tab=default_tab&amp;search_scope=EVERYTHING&amp;vid=01CRU&amp;lang=en_US&amp;offset=0&amp;query=any,contains,991001557969702656","Catalog Record")</f>
        <v>Catalog Record</v>
      </c>
      <c r="AT315" s="6" t="str">
        <f>HYPERLINK("http://www.worldcat.org/oclc/34121051","WorldCat Record")</f>
        <v>WorldCat Record</v>
      </c>
    </row>
    <row r="316" spans="1:46" ht="40.5" customHeight="1" x14ac:dyDescent="0.25">
      <c r="A316" s="8" t="s">
        <v>58</v>
      </c>
      <c r="B316" s="2" t="s">
        <v>2805</v>
      </c>
      <c r="C316" s="2" t="s">
        <v>2806</v>
      </c>
      <c r="D316" s="2" t="s">
        <v>2807</v>
      </c>
      <c r="F316" s="3" t="s">
        <v>58</v>
      </c>
      <c r="G316" s="3" t="s">
        <v>59</v>
      </c>
      <c r="H316" s="3" t="s">
        <v>58</v>
      </c>
      <c r="I316" s="3" t="s">
        <v>58</v>
      </c>
      <c r="J316" s="3" t="s">
        <v>59</v>
      </c>
      <c r="L316" s="2" t="s">
        <v>2808</v>
      </c>
      <c r="M316" s="3" t="s">
        <v>1676</v>
      </c>
      <c r="O316" s="3" t="s">
        <v>64</v>
      </c>
      <c r="P316" s="3" t="s">
        <v>83</v>
      </c>
      <c r="Q316" s="2" t="s">
        <v>2809</v>
      </c>
      <c r="R316" s="3" t="s">
        <v>1907</v>
      </c>
      <c r="S316" s="4">
        <v>2</v>
      </c>
      <c r="T316" s="4">
        <v>2</v>
      </c>
      <c r="U316" s="5" t="s">
        <v>2810</v>
      </c>
      <c r="V316" s="5" t="s">
        <v>2810</v>
      </c>
      <c r="W316" s="5" t="s">
        <v>2811</v>
      </c>
      <c r="X316" s="5" t="s">
        <v>2811</v>
      </c>
      <c r="Y316" s="4">
        <v>71</v>
      </c>
      <c r="Z316" s="4">
        <v>55</v>
      </c>
      <c r="AA316" s="4">
        <v>302</v>
      </c>
      <c r="AB316" s="4">
        <v>1</v>
      </c>
      <c r="AC316" s="4">
        <v>2</v>
      </c>
      <c r="AD316" s="4">
        <v>0</v>
      </c>
      <c r="AE316" s="4">
        <v>5</v>
      </c>
      <c r="AF316" s="4">
        <v>0</v>
      </c>
      <c r="AG316" s="4">
        <v>3</v>
      </c>
      <c r="AH316" s="4">
        <v>0</v>
      </c>
      <c r="AI316" s="4">
        <v>1</v>
      </c>
      <c r="AJ316" s="4">
        <v>0</v>
      </c>
      <c r="AK316" s="4">
        <v>4</v>
      </c>
      <c r="AL316" s="4">
        <v>0</v>
      </c>
      <c r="AM316" s="4">
        <v>0</v>
      </c>
      <c r="AN316" s="4">
        <v>0</v>
      </c>
      <c r="AO316" s="4">
        <v>0</v>
      </c>
      <c r="AP316" s="3" t="s">
        <v>58</v>
      </c>
      <c r="AQ316" s="3" t="s">
        <v>69</v>
      </c>
      <c r="AR316" s="6" t="str">
        <f>HYPERLINK("http://catalog.hathitrust.org/Record/005636800","HathiTrust Record")</f>
        <v>HathiTrust Record</v>
      </c>
      <c r="AS316" s="6" t="str">
        <f>HYPERLINK("https://creighton-primo.hosted.exlibrisgroup.com/primo-explore/search?tab=default_tab&amp;search_scope=EVERYTHING&amp;vid=01CRU&amp;lang=en_US&amp;offset=0&amp;query=any,contains,991000631499702656","Catalog Record")</f>
        <v>Catalog Record</v>
      </c>
      <c r="AT316" s="6" t="str">
        <f>HYPERLINK("http://www.worldcat.org/oclc/76935743","WorldCat Record")</f>
        <v>WorldCat Record</v>
      </c>
    </row>
    <row r="317" spans="1:46" ht="40.5" customHeight="1" x14ac:dyDescent="0.25">
      <c r="A317" s="8" t="s">
        <v>58</v>
      </c>
      <c r="B317" s="2" t="s">
        <v>2812</v>
      </c>
      <c r="C317" s="2" t="s">
        <v>2813</v>
      </c>
      <c r="D317" s="2" t="s">
        <v>2814</v>
      </c>
      <c r="E317" s="3" t="s">
        <v>1119</v>
      </c>
      <c r="F317" s="3" t="s">
        <v>58</v>
      </c>
      <c r="G317" s="3" t="s">
        <v>59</v>
      </c>
      <c r="H317" s="3" t="s">
        <v>58</v>
      </c>
      <c r="I317" s="3" t="s">
        <v>58</v>
      </c>
      <c r="J317" s="3" t="s">
        <v>60</v>
      </c>
      <c r="L317" s="2" t="s">
        <v>2815</v>
      </c>
      <c r="M317" s="3" t="s">
        <v>1094</v>
      </c>
      <c r="O317" s="3" t="s">
        <v>64</v>
      </c>
      <c r="P317" s="3" t="s">
        <v>1921</v>
      </c>
      <c r="Q317" s="2" t="s">
        <v>2816</v>
      </c>
      <c r="R317" s="3" t="s">
        <v>1907</v>
      </c>
      <c r="S317" s="4">
        <v>4</v>
      </c>
      <c r="T317" s="4">
        <v>4</v>
      </c>
      <c r="U317" s="5" t="s">
        <v>2817</v>
      </c>
      <c r="V317" s="5" t="s">
        <v>2817</v>
      </c>
      <c r="W317" s="5" t="s">
        <v>2818</v>
      </c>
      <c r="X317" s="5" t="s">
        <v>2818</v>
      </c>
      <c r="Y317" s="4">
        <v>121</v>
      </c>
      <c r="Z317" s="4">
        <v>97</v>
      </c>
      <c r="AA317" s="4">
        <v>97</v>
      </c>
      <c r="AB317" s="4">
        <v>1</v>
      </c>
      <c r="AC317" s="4">
        <v>1</v>
      </c>
      <c r="AD317" s="4">
        <v>4</v>
      </c>
      <c r="AE317" s="4">
        <v>4</v>
      </c>
      <c r="AF317" s="4">
        <v>1</v>
      </c>
      <c r="AG317" s="4">
        <v>1</v>
      </c>
      <c r="AH317" s="4">
        <v>2</v>
      </c>
      <c r="AI317" s="4">
        <v>2</v>
      </c>
      <c r="AJ317" s="4">
        <v>2</v>
      </c>
      <c r="AK317" s="4">
        <v>2</v>
      </c>
      <c r="AL317" s="4">
        <v>0</v>
      </c>
      <c r="AM317" s="4">
        <v>0</v>
      </c>
      <c r="AN317" s="4">
        <v>0</v>
      </c>
      <c r="AO317" s="4">
        <v>0</v>
      </c>
      <c r="AP317" s="3" t="s">
        <v>58</v>
      </c>
      <c r="AQ317" s="3" t="s">
        <v>58</v>
      </c>
      <c r="AS317" s="6" t="str">
        <f>HYPERLINK("https://creighton-primo.hosted.exlibrisgroup.com/primo-explore/search?tab=default_tab&amp;search_scope=EVERYTHING&amp;vid=01CRU&amp;lang=en_US&amp;offset=0&amp;query=any,contains,991001108309702656","Catalog Record")</f>
        <v>Catalog Record</v>
      </c>
      <c r="AT317" s="6" t="str">
        <f>HYPERLINK("http://www.worldcat.org/oclc/8553102","WorldCat Record")</f>
        <v>WorldCat Record</v>
      </c>
    </row>
    <row r="318" spans="1:46" ht="40.5" customHeight="1" x14ac:dyDescent="0.25">
      <c r="A318" s="8" t="s">
        <v>58</v>
      </c>
      <c r="B318" s="2" t="s">
        <v>2819</v>
      </c>
      <c r="C318" s="2" t="s">
        <v>2820</v>
      </c>
      <c r="D318" s="2" t="s">
        <v>2821</v>
      </c>
      <c r="F318" s="3" t="s">
        <v>58</v>
      </c>
      <c r="G318" s="3" t="s">
        <v>59</v>
      </c>
      <c r="H318" s="3" t="s">
        <v>58</v>
      </c>
      <c r="I318" s="3" t="s">
        <v>58</v>
      </c>
      <c r="J318" s="3" t="s">
        <v>60</v>
      </c>
      <c r="L318" s="2" t="s">
        <v>2822</v>
      </c>
      <c r="M318" s="3" t="s">
        <v>1632</v>
      </c>
      <c r="O318" s="3" t="s">
        <v>64</v>
      </c>
      <c r="P318" s="3" t="s">
        <v>1921</v>
      </c>
      <c r="R318" s="3" t="s">
        <v>1907</v>
      </c>
      <c r="S318" s="4">
        <v>7</v>
      </c>
      <c r="T318" s="4">
        <v>7</v>
      </c>
      <c r="U318" s="5" t="s">
        <v>2823</v>
      </c>
      <c r="V318" s="5" t="s">
        <v>2823</v>
      </c>
      <c r="W318" s="5" t="s">
        <v>2824</v>
      </c>
      <c r="X318" s="5" t="s">
        <v>2824</v>
      </c>
      <c r="Y318" s="4">
        <v>191</v>
      </c>
      <c r="Z318" s="4">
        <v>145</v>
      </c>
      <c r="AA318" s="4">
        <v>147</v>
      </c>
      <c r="AB318" s="4">
        <v>1</v>
      </c>
      <c r="AC318" s="4">
        <v>1</v>
      </c>
      <c r="AD318" s="4">
        <v>2</v>
      </c>
      <c r="AE318" s="4">
        <v>2</v>
      </c>
      <c r="AF318" s="4">
        <v>0</v>
      </c>
      <c r="AG318" s="4">
        <v>0</v>
      </c>
      <c r="AH318" s="4">
        <v>1</v>
      </c>
      <c r="AI318" s="4">
        <v>1</v>
      </c>
      <c r="AJ318" s="4">
        <v>1</v>
      </c>
      <c r="AK318" s="4">
        <v>1</v>
      </c>
      <c r="AL318" s="4">
        <v>0</v>
      </c>
      <c r="AM318" s="4">
        <v>0</v>
      </c>
      <c r="AN318" s="4">
        <v>0</v>
      </c>
      <c r="AO318" s="4">
        <v>0</v>
      </c>
      <c r="AP318" s="3" t="s">
        <v>58</v>
      </c>
      <c r="AQ318" s="3" t="s">
        <v>69</v>
      </c>
      <c r="AR318" s="6" t="str">
        <f>HYPERLINK("http://catalog.hathitrust.org/Record/001093833","HathiTrust Record")</f>
        <v>HathiTrust Record</v>
      </c>
      <c r="AS318" s="6" t="str">
        <f>HYPERLINK("https://creighton-primo.hosted.exlibrisgroup.com/primo-explore/search?tab=default_tab&amp;search_scope=EVERYTHING&amp;vid=01CRU&amp;lang=en_US&amp;offset=0&amp;query=any,contains,991001243679702656","Catalog Record")</f>
        <v>Catalog Record</v>
      </c>
      <c r="AT318" s="6" t="str">
        <f>HYPERLINK("http://www.worldcat.org/oclc/17841482","WorldCat Record")</f>
        <v>WorldCat Record</v>
      </c>
    </row>
    <row r="319" spans="1:46" ht="40.5" customHeight="1" x14ac:dyDescent="0.25">
      <c r="A319" s="8" t="s">
        <v>58</v>
      </c>
      <c r="B319" s="2" t="s">
        <v>2825</v>
      </c>
      <c r="C319" s="2" t="s">
        <v>2826</v>
      </c>
      <c r="D319" s="2" t="s">
        <v>2827</v>
      </c>
      <c r="F319" s="3" t="s">
        <v>58</v>
      </c>
      <c r="G319" s="3" t="s">
        <v>59</v>
      </c>
      <c r="H319" s="3" t="s">
        <v>58</v>
      </c>
      <c r="I319" s="3" t="s">
        <v>58</v>
      </c>
      <c r="J319" s="3" t="s">
        <v>60</v>
      </c>
      <c r="L319" s="2" t="s">
        <v>2828</v>
      </c>
      <c r="M319" s="3" t="s">
        <v>1121</v>
      </c>
      <c r="O319" s="3" t="s">
        <v>64</v>
      </c>
      <c r="P319" s="3" t="s">
        <v>939</v>
      </c>
      <c r="R319" s="3" t="s">
        <v>1907</v>
      </c>
      <c r="S319" s="4">
        <v>2</v>
      </c>
      <c r="T319" s="4">
        <v>2</v>
      </c>
      <c r="U319" s="5" t="s">
        <v>1096</v>
      </c>
      <c r="V319" s="5" t="s">
        <v>1096</v>
      </c>
      <c r="W319" s="5" t="s">
        <v>2818</v>
      </c>
      <c r="X319" s="5" t="s">
        <v>2818</v>
      </c>
      <c r="Y319" s="4">
        <v>233</v>
      </c>
      <c r="Z319" s="4">
        <v>162</v>
      </c>
      <c r="AA319" s="4">
        <v>204</v>
      </c>
      <c r="AB319" s="4">
        <v>1</v>
      </c>
      <c r="AC319" s="4">
        <v>2</v>
      </c>
      <c r="AD319" s="4">
        <v>5</v>
      </c>
      <c r="AE319" s="4">
        <v>9</v>
      </c>
      <c r="AF319" s="4">
        <v>1</v>
      </c>
      <c r="AG319" s="4">
        <v>3</v>
      </c>
      <c r="AH319" s="4">
        <v>3</v>
      </c>
      <c r="AI319" s="4">
        <v>5</v>
      </c>
      <c r="AJ319" s="4">
        <v>3</v>
      </c>
      <c r="AK319" s="4">
        <v>3</v>
      </c>
      <c r="AL319" s="4">
        <v>0</v>
      </c>
      <c r="AM319" s="4">
        <v>1</v>
      </c>
      <c r="AN319" s="4">
        <v>0</v>
      </c>
      <c r="AO319" s="4">
        <v>0</v>
      </c>
      <c r="AP319" s="3" t="s">
        <v>58</v>
      </c>
      <c r="AQ319" s="3" t="s">
        <v>69</v>
      </c>
      <c r="AR319" s="6" t="str">
        <f>HYPERLINK("http://catalog.hathitrust.org/Record/000036777","HathiTrust Record")</f>
        <v>HathiTrust Record</v>
      </c>
      <c r="AS319" s="6" t="str">
        <f>HYPERLINK("https://creighton-primo.hosted.exlibrisgroup.com/primo-explore/search?tab=default_tab&amp;search_scope=EVERYTHING&amp;vid=01CRU&amp;lang=en_US&amp;offset=0&amp;query=any,contains,991001108389702656","Catalog Record")</f>
        <v>Catalog Record</v>
      </c>
      <c r="AT319" s="6" t="str">
        <f>HYPERLINK("http://www.worldcat.org/oclc/5889322","WorldCat Record")</f>
        <v>WorldCat Record</v>
      </c>
    </row>
    <row r="320" spans="1:46" ht="40.5" customHeight="1" x14ac:dyDescent="0.25">
      <c r="A320" s="8" t="s">
        <v>58</v>
      </c>
      <c r="B320" s="2" t="s">
        <v>2829</v>
      </c>
      <c r="C320" s="2" t="s">
        <v>2830</v>
      </c>
      <c r="D320" s="2" t="s">
        <v>2831</v>
      </c>
      <c r="F320" s="3" t="s">
        <v>58</v>
      </c>
      <c r="G320" s="3" t="s">
        <v>59</v>
      </c>
      <c r="H320" s="3" t="s">
        <v>58</v>
      </c>
      <c r="I320" s="3" t="s">
        <v>58</v>
      </c>
      <c r="J320" s="3" t="s">
        <v>60</v>
      </c>
      <c r="K320" s="2" t="s">
        <v>2832</v>
      </c>
      <c r="L320" s="2" t="s">
        <v>2833</v>
      </c>
      <c r="M320" s="3" t="s">
        <v>82</v>
      </c>
      <c r="O320" s="3" t="s">
        <v>64</v>
      </c>
      <c r="P320" s="3" t="s">
        <v>83</v>
      </c>
      <c r="R320" s="3" t="s">
        <v>1907</v>
      </c>
      <c r="S320" s="4">
        <v>2</v>
      </c>
      <c r="T320" s="4">
        <v>2</v>
      </c>
      <c r="U320" s="5" t="s">
        <v>1096</v>
      </c>
      <c r="V320" s="5" t="s">
        <v>1096</v>
      </c>
      <c r="W320" s="5" t="s">
        <v>2818</v>
      </c>
      <c r="X320" s="5" t="s">
        <v>2818</v>
      </c>
      <c r="Y320" s="4">
        <v>137</v>
      </c>
      <c r="Z320" s="4">
        <v>97</v>
      </c>
      <c r="AA320" s="4">
        <v>98</v>
      </c>
      <c r="AB320" s="4">
        <v>2</v>
      </c>
      <c r="AC320" s="4">
        <v>2</v>
      </c>
      <c r="AD320" s="4">
        <v>2</v>
      </c>
      <c r="AE320" s="4">
        <v>2</v>
      </c>
      <c r="AF320" s="4">
        <v>1</v>
      </c>
      <c r="AG320" s="4">
        <v>1</v>
      </c>
      <c r="AH320" s="4">
        <v>0</v>
      </c>
      <c r="AI320" s="4">
        <v>0</v>
      </c>
      <c r="AJ320" s="4">
        <v>1</v>
      </c>
      <c r="AK320" s="4">
        <v>1</v>
      </c>
      <c r="AL320" s="4">
        <v>1</v>
      </c>
      <c r="AM320" s="4">
        <v>1</v>
      </c>
      <c r="AN320" s="4">
        <v>0</v>
      </c>
      <c r="AO320" s="4">
        <v>0</v>
      </c>
      <c r="AP320" s="3" t="s">
        <v>58</v>
      </c>
      <c r="AQ320" s="3" t="s">
        <v>69</v>
      </c>
      <c r="AR320" s="6" t="str">
        <f>HYPERLINK("http://catalog.hathitrust.org/Record/000258275","HathiTrust Record")</f>
        <v>HathiTrust Record</v>
      </c>
      <c r="AS320" s="6" t="str">
        <f>HYPERLINK("https://creighton-primo.hosted.exlibrisgroup.com/primo-explore/search?tab=default_tab&amp;search_scope=EVERYTHING&amp;vid=01CRU&amp;lang=en_US&amp;offset=0&amp;query=any,contains,991001108569702656","Catalog Record")</f>
        <v>Catalog Record</v>
      </c>
      <c r="AT320" s="6" t="str">
        <f>HYPERLINK("http://www.worldcat.org/oclc/4549570","WorldCat Record")</f>
        <v>WorldCat Record</v>
      </c>
    </row>
    <row r="321" spans="1:46" ht="40.5" customHeight="1" x14ac:dyDescent="0.25">
      <c r="A321" s="8" t="s">
        <v>58</v>
      </c>
      <c r="B321" s="2" t="s">
        <v>2834</v>
      </c>
      <c r="C321" s="2" t="s">
        <v>2835</v>
      </c>
      <c r="D321" s="2" t="s">
        <v>2836</v>
      </c>
      <c r="E321" s="3" t="s">
        <v>1119</v>
      </c>
      <c r="F321" s="3" t="s">
        <v>58</v>
      </c>
      <c r="G321" s="3" t="s">
        <v>59</v>
      </c>
      <c r="H321" s="3" t="s">
        <v>58</v>
      </c>
      <c r="I321" s="3" t="s">
        <v>58</v>
      </c>
      <c r="J321" s="3" t="s">
        <v>60</v>
      </c>
      <c r="L321" s="2" t="s">
        <v>2837</v>
      </c>
      <c r="M321" s="3" t="s">
        <v>884</v>
      </c>
      <c r="N321" s="2" t="s">
        <v>2838</v>
      </c>
      <c r="O321" s="3" t="s">
        <v>64</v>
      </c>
      <c r="P321" s="3" t="s">
        <v>83</v>
      </c>
      <c r="Q321" s="2" t="s">
        <v>1095</v>
      </c>
      <c r="R321" s="3" t="s">
        <v>1907</v>
      </c>
      <c r="S321" s="4">
        <v>5</v>
      </c>
      <c r="T321" s="4">
        <v>5</v>
      </c>
      <c r="U321" s="5" t="s">
        <v>1096</v>
      </c>
      <c r="V321" s="5" t="s">
        <v>1096</v>
      </c>
      <c r="W321" s="5" t="s">
        <v>2818</v>
      </c>
      <c r="X321" s="5" t="s">
        <v>2818</v>
      </c>
      <c r="Y321" s="4">
        <v>199</v>
      </c>
      <c r="Z321" s="4">
        <v>164</v>
      </c>
      <c r="AA321" s="4">
        <v>168</v>
      </c>
      <c r="AB321" s="4">
        <v>1</v>
      </c>
      <c r="AC321" s="4">
        <v>1</v>
      </c>
      <c r="AD321" s="4">
        <v>7</v>
      </c>
      <c r="AE321" s="4">
        <v>7</v>
      </c>
      <c r="AF321" s="4">
        <v>1</v>
      </c>
      <c r="AG321" s="4">
        <v>1</v>
      </c>
      <c r="AH321" s="4">
        <v>2</v>
      </c>
      <c r="AI321" s="4">
        <v>2</v>
      </c>
      <c r="AJ321" s="4">
        <v>7</v>
      </c>
      <c r="AK321" s="4">
        <v>7</v>
      </c>
      <c r="AL321" s="4">
        <v>0</v>
      </c>
      <c r="AM321" s="4">
        <v>0</v>
      </c>
      <c r="AN321" s="4">
        <v>0</v>
      </c>
      <c r="AO321" s="4">
        <v>0</v>
      </c>
      <c r="AP321" s="3" t="s">
        <v>58</v>
      </c>
      <c r="AQ321" s="3" t="s">
        <v>69</v>
      </c>
      <c r="AR321" s="6" t="str">
        <f>HYPERLINK("http://catalog.hathitrust.org/Record/000573150","HathiTrust Record")</f>
        <v>HathiTrust Record</v>
      </c>
      <c r="AS321" s="6" t="str">
        <f>HYPERLINK("https://creighton-primo.hosted.exlibrisgroup.com/primo-explore/search?tab=default_tab&amp;search_scope=EVERYTHING&amp;vid=01CRU&amp;lang=en_US&amp;offset=0&amp;query=any,contains,991001108609702656","Catalog Record")</f>
        <v>Catalog Record</v>
      </c>
      <c r="AT321" s="6" t="str">
        <f>HYPERLINK("http://www.worldcat.org/oclc/10277501","WorldCat Record")</f>
        <v>WorldCat Record</v>
      </c>
    </row>
    <row r="322" spans="1:46" ht="40.5" customHeight="1" x14ac:dyDescent="0.25">
      <c r="A322" s="8" t="s">
        <v>58</v>
      </c>
      <c r="B322" s="2" t="s">
        <v>2839</v>
      </c>
      <c r="C322" s="2" t="s">
        <v>2840</v>
      </c>
      <c r="D322" s="2" t="s">
        <v>2841</v>
      </c>
      <c r="F322" s="3" t="s">
        <v>58</v>
      </c>
      <c r="G322" s="3" t="s">
        <v>59</v>
      </c>
      <c r="H322" s="3" t="s">
        <v>58</v>
      </c>
      <c r="I322" s="3" t="s">
        <v>58</v>
      </c>
      <c r="J322" s="3" t="s">
        <v>60</v>
      </c>
      <c r="L322" s="2" t="s">
        <v>2842</v>
      </c>
      <c r="M322" s="3" t="s">
        <v>1121</v>
      </c>
      <c r="O322" s="3" t="s">
        <v>64</v>
      </c>
      <c r="P322" s="3" t="s">
        <v>83</v>
      </c>
      <c r="R322" s="3" t="s">
        <v>1907</v>
      </c>
      <c r="S322" s="4">
        <v>2</v>
      </c>
      <c r="T322" s="4">
        <v>2</v>
      </c>
      <c r="U322" s="5" t="s">
        <v>2843</v>
      </c>
      <c r="V322" s="5" t="s">
        <v>2843</v>
      </c>
      <c r="W322" s="5" t="s">
        <v>2818</v>
      </c>
      <c r="X322" s="5" t="s">
        <v>2818</v>
      </c>
      <c r="Y322" s="4">
        <v>227</v>
      </c>
      <c r="Z322" s="4">
        <v>151</v>
      </c>
      <c r="AA322" s="4">
        <v>158</v>
      </c>
      <c r="AB322" s="4">
        <v>1</v>
      </c>
      <c r="AC322" s="4">
        <v>1</v>
      </c>
      <c r="AD322" s="4">
        <v>4</v>
      </c>
      <c r="AE322" s="4">
        <v>4</v>
      </c>
      <c r="AF322" s="4">
        <v>0</v>
      </c>
      <c r="AG322" s="4">
        <v>0</v>
      </c>
      <c r="AH322" s="4">
        <v>2</v>
      </c>
      <c r="AI322" s="4">
        <v>2</v>
      </c>
      <c r="AJ322" s="4">
        <v>4</v>
      </c>
      <c r="AK322" s="4">
        <v>4</v>
      </c>
      <c r="AL322" s="4">
        <v>0</v>
      </c>
      <c r="AM322" s="4">
        <v>0</v>
      </c>
      <c r="AN322" s="4">
        <v>0</v>
      </c>
      <c r="AO322" s="4">
        <v>0</v>
      </c>
      <c r="AP322" s="3" t="s">
        <v>58</v>
      </c>
      <c r="AQ322" s="3" t="s">
        <v>69</v>
      </c>
      <c r="AR322" s="6" t="str">
        <f>HYPERLINK("http://catalog.hathitrust.org/Record/000711976","HathiTrust Record")</f>
        <v>HathiTrust Record</v>
      </c>
      <c r="AS322" s="6" t="str">
        <f>HYPERLINK("https://creighton-primo.hosted.exlibrisgroup.com/primo-explore/search?tab=default_tab&amp;search_scope=EVERYTHING&amp;vid=01CRU&amp;lang=en_US&amp;offset=0&amp;query=any,contains,991001108659702656","Catalog Record")</f>
        <v>Catalog Record</v>
      </c>
      <c r="AT322" s="6" t="str">
        <f>HYPERLINK("http://www.worldcat.org/oclc/5750323","WorldCat Record")</f>
        <v>WorldCat Record</v>
      </c>
    </row>
    <row r="323" spans="1:46" ht="40.5" customHeight="1" x14ac:dyDescent="0.25">
      <c r="A323" s="8" t="s">
        <v>58</v>
      </c>
      <c r="B323" s="2" t="s">
        <v>2844</v>
      </c>
      <c r="C323" s="2" t="s">
        <v>2845</v>
      </c>
      <c r="D323" s="2" t="s">
        <v>2846</v>
      </c>
      <c r="F323" s="3" t="s">
        <v>58</v>
      </c>
      <c r="G323" s="3" t="s">
        <v>59</v>
      </c>
      <c r="H323" s="3" t="s">
        <v>58</v>
      </c>
      <c r="I323" s="3" t="s">
        <v>58</v>
      </c>
      <c r="J323" s="3" t="s">
        <v>60</v>
      </c>
      <c r="L323" s="2" t="s">
        <v>2847</v>
      </c>
      <c r="M323" s="3" t="s">
        <v>185</v>
      </c>
      <c r="O323" s="3" t="s">
        <v>64</v>
      </c>
      <c r="P323" s="3" t="s">
        <v>83</v>
      </c>
      <c r="Q323" s="2" t="s">
        <v>972</v>
      </c>
      <c r="R323" s="3" t="s">
        <v>1907</v>
      </c>
      <c r="S323" s="4">
        <v>5</v>
      </c>
      <c r="T323" s="4">
        <v>5</v>
      </c>
      <c r="U323" s="5" t="s">
        <v>2848</v>
      </c>
      <c r="V323" s="5" t="s">
        <v>2848</v>
      </c>
      <c r="W323" s="5" t="s">
        <v>2849</v>
      </c>
      <c r="X323" s="5" t="s">
        <v>2849</v>
      </c>
      <c r="Y323" s="4">
        <v>158</v>
      </c>
      <c r="Z323" s="4">
        <v>124</v>
      </c>
      <c r="AA323" s="4">
        <v>143</v>
      </c>
      <c r="AB323" s="4">
        <v>1</v>
      </c>
      <c r="AC323" s="4">
        <v>1</v>
      </c>
      <c r="AD323" s="4">
        <v>4</v>
      </c>
      <c r="AE323" s="4">
        <v>5</v>
      </c>
      <c r="AF323" s="4">
        <v>0</v>
      </c>
      <c r="AG323" s="4">
        <v>1</v>
      </c>
      <c r="AH323" s="4">
        <v>3</v>
      </c>
      <c r="AI323" s="4">
        <v>3</v>
      </c>
      <c r="AJ323" s="4">
        <v>2</v>
      </c>
      <c r="AK323" s="4">
        <v>3</v>
      </c>
      <c r="AL323" s="4">
        <v>0</v>
      </c>
      <c r="AM323" s="4">
        <v>0</v>
      </c>
      <c r="AN323" s="4">
        <v>0</v>
      </c>
      <c r="AO323" s="4">
        <v>0</v>
      </c>
      <c r="AP323" s="3" t="s">
        <v>58</v>
      </c>
      <c r="AQ323" s="3" t="s">
        <v>69</v>
      </c>
      <c r="AR323" s="6" t="str">
        <f>HYPERLINK("http://catalog.hathitrust.org/Record/002704768","HathiTrust Record")</f>
        <v>HathiTrust Record</v>
      </c>
      <c r="AS323" s="6" t="str">
        <f>HYPERLINK("https://creighton-primo.hosted.exlibrisgroup.com/primo-explore/search?tab=default_tab&amp;search_scope=EVERYTHING&amp;vid=01CRU&amp;lang=en_US&amp;offset=0&amp;query=any,contains,991000668649702656","Catalog Record")</f>
        <v>Catalog Record</v>
      </c>
      <c r="AT323" s="6" t="str">
        <f>HYPERLINK("http://www.worldcat.org/oclc/27151508","WorldCat Record")</f>
        <v>WorldCat Record</v>
      </c>
    </row>
    <row r="324" spans="1:46" ht="40.5" customHeight="1" x14ac:dyDescent="0.25">
      <c r="A324" s="8" t="s">
        <v>58</v>
      </c>
      <c r="B324" s="2" t="s">
        <v>2850</v>
      </c>
      <c r="C324" s="2" t="s">
        <v>2851</v>
      </c>
      <c r="D324" s="2" t="s">
        <v>2852</v>
      </c>
      <c r="F324" s="3" t="s">
        <v>58</v>
      </c>
      <c r="G324" s="3" t="s">
        <v>59</v>
      </c>
      <c r="H324" s="3" t="s">
        <v>58</v>
      </c>
      <c r="I324" s="3" t="s">
        <v>58</v>
      </c>
      <c r="J324" s="3" t="s">
        <v>60</v>
      </c>
      <c r="L324" s="2" t="s">
        <v>2853</v>
      </c>
      <c r="M324" s="3" t="s">
        <v>258</v>
      </c>
      <c r="O324" s="3" t="s">
        <v>64</v>
      </c>
      <c r="P324" s="3" t="s">
        <v>1921</v>
      </c>
      <c r="Q324" s="2" t="s">
        <v>2729</v>
      </c>
      <c r="R324" s="3" t="s">
        <v>1907</v>
      </c>
      <c r="S324" s="4">
        <v>5</v>
      </c>
      <c r="T324" s="4">
        <v>5</v>
      </c>
      <c r="U324" s="5" t="s">
        <v>2698</v>
      </c>
      <c r="V324" s="5" t="s">
        <v>2698</v>
      </c>
      <c r="W324" s="5" t="s">
        <v>2854</v>
      </c>
      <c r="X324" s="5" t="s">
        <v>2854</v>
      </c>
      <c r="Y324" s="4">
        <v>239</v>
      </c>
      <c r="Z324" s="4">
        <v>176</v>
      </c>
      <c r="AA324" s="4">
        <v>182</v>
      </c>
      <c r="AB324" s="4">
        <v>1</v>
      </c>
      <c r="AC324" s="4">
        <v>1</v>
      </c>
      <c r="AD324" s="4">
        <v>3</v>
      </c>
      <c r="AE324" s="4">
        <v>3</v>
      </c>
      <c r="AF324" s="4">
        <v>0</v>
      </c>
      <c r="AG324" s="4">
        <v>0</v>
      </c>
      <c r="AH324" s="4">
        <v>2</v>
      </c>
      <c r="AI324" s="4">
        <v>2</v>
      </c>
      <c r="AJ324" s="4">
        <v>2</v>
      </c>
      <c r="AK324" s="4">
        <v>2</v>
      </c>
      <c r="AL324" s="4">
        <v>0</v>
      </c>
      <c r="AM324" s="4">
        <v>0</v>
      </c>
      <c r="AN324" s="4">
        <v>0</v>
      </c>
      <c r="AO324" s="4">
        <v>0</v>
      </c>
      <c r="AP324" s="3" t="s">
        <v>58</v>
      </c>
      <c r="AQ324" s="3" t="s">
        <v>58</v>
      </c>
      <c r="AS324" s="6" t="str">
        <f>HYPERLINK("https://creighton-primo.hosted.exlibrisgroup.com/primo-explore/search?tab=default_tab&amp;search_scope=EVERYTHING&amp;vid=01CRU&amp;lang=en_US&amp;offset=0&amp;query=any,contains,991000823619702656","Catalog Record")</f>
        <v>Catalog Record</v>
      </c>
      <c r="AT324" s="6" t="str">
        <f>HYPERLINK("http://www.worldcat.org/oclc/19850363","WorldCat Record")</f>
        <v>WorldCat Record</v>
      </c>
    </row>
    <row r="325" spans="1:46" ht="40.5" customHeight="1" x14ac:dyDescent="0.25">
      <c r="A325" s="8" t="s">
        <v>58</v>
      </c>
      <c r="B325" s="2" t="s">
        <v>2855</v>
      </c>
      <c r="C325" s="2" t="s">
        <v>2856</v>
      </c>
      <c r="D325" s="2" t="s">
        <v>2857</v>
      </c>
      <c r="F325" s="3" t="s">
        <v>58</v>
      </c>
      <c r="G325" s="3" t="s">
        <v>59</v>
      </c>
      <c r="H325" s="3" t="s">
        <v>58</v>
      </c>
      <c r="I325" s="3" t="s">
        <v>58</v>
      </c>
      <c r="J325" s="3" t="s">
        <v>60</v>
      </c>
      <c r="K325" s="2" t="s">
        <v>2858</v>
      </c>
      <c r="L325" s="2" t="s">
        <v>2859</v>
      </c>
      <c r="M325" s="3" t="s">
        <v>314</v>
      </c>
      <c r="O325" s="3" t="s">
        <v>64</v>
      </c>
      <c r="P325" s="3" t="s">
        <v>83</v>
      </c>
      <c r="Q325" s="2" t="s">
        <v>2860</v>
      </c>
      <c r="R325" s="3" t="s">
        <v>1907</v>
      </c>
      <c r="S325" s="4">
        <v>2</v>
      </c>
      <c r="T325" s="4">
        <v>2</v>
      </c>
      <c r="U325" s="5" t="s">
        <v>2861</v>
      </c>
      <c r="V325" s="5" t="s">
        <v>2861</v>
      </c>
      <c r="W325" s="5" t="s">
        <v>2327</v>
      </c>
      <c r="X325" s="5" t="s">
        <v>2327</v>
      </c>
      <c r="Y325" s="4">
        <v>363</v>
      </c>
      <c r="Z325" s="4">
        <v>246</v>
      </c>
      <c r="AA325" s="4">
        <v>288</v>
      </c>
      <c r="AB325" s="4">
        <v>2</v>
      </c>
      <c r="AC325" s="4">
        <v>2</v>
      </c>
      <c r="AD325" s="4">
        <v>8</v>
      </c>
      <c r="AE325" s="4">
        <v>11</v>
      </c>
      <c r="AF325" s="4">
        <v>3</v>
      </c>
      <c r="AG325" s="4">
        <v>5</v>
      </c>
      <c r="AH325" s="4">
        <v>2</v>
      </c>
      <c r="AI325" s="4">
        <v>4</v>
      </c>
      <c r="AJ325" s="4">
        <v>6</v>
      </c>
      <c r="AK325" s="4">
        <v>6</v>
      </c>
      <c r="AL325" s="4">
        <v>1</v>
      </c>
      <c r="AM325" s="4">
        <v>1</v>
      </c>
      <c r="AN325" s="4">
        <v>0</v>
      </c>
      <c r="AO325" s="4">
        <v>0</v>
      </c>
      <c r="AP325" s="3" t="s">
        <v>58</v>
      </c>
      <c r="AQ325" s="3" t="s">
        <v>69</v>
      </c>
      <c r="AR325" s="6" t="str">
        <f>HYPERLINK("http://catalog.hathitrust.org/Record/002077276","HathiTrust Record")</f>
        <v>HathiTrust Record</v>
      </c>
      <c r="AS325" s="6" t="str">
        <f>HYPERLINK("https://creighton-primo.hosted.exlibrisgroup.com/primo-explore/search?tab=default_tab&amp;search_scope=EVERYTHING&amp;vid=01CRU&amp;lang=en_US&amp;offset=0&amp;query=any,contains,991001108809702656","Catalog Record")</f>
        <v>Catalog Record</v>
      </c>
      <c r="AT325" s="6" t="str">
        <f>HYPERLINK("http://www.worldcat.org/oclc/44461","WorldCat Record")</f>
        <v>WorldCat Record</v>
      </c>
    </row>
    <row r="326" spans="1:46" ht="40.5" customHeight="1" x14ac:dyDescent="0.25">
      <c r="A326" s="8" t="s">
        <v>58</v>
      </c>
      <c r="B326" s="2" t="s">
        <v>2862</v>
      </c>
      <c r="C326" s="2" t="s">
        <v>2863</v>
      </c>
      <c r="D326" s="2" t="s">
        <v>2864</v>
      </c>
      <c r="F326" s="3" t="s">
        <v>58</v>
      </c>
      <c r="G326" s="3" t="s">
        <v>59</v>
      </c>
      <c r="H326" s="3" t="s">
        <v>58</v>
      </c>
      <c r="I326" s="3" t="s">
        <v>58</v>
      </c>
      <c r="J326" s="3" t="s">
        <v>60</v>
      </c>
      <c r="K326" s="2" t="s">
        <v>2865</v>
      </c>
      <c r="L326" s="2" t="s">
        <v>2866</v>
      </c>
      <c r="M326" s="3" t="s">
        <v>1785</v>
      </c>
      <c r="O326" s="3" t="s">
        <v>64</v>
      </c>
      <c r="P326" s="3" t="s">
        <v>202</v>
      </c>
      <c r="R326" s="3" t="s">
        <v>1907</v>
      </c>
      <c r="S326" s="4">
        <v>1</v>
      </c>
      <c r="T326" s="4">
        <v>1</v>
      </c>
      <c r="U326" s="5" t="s">
        <v>2867</v>
      </c>
      <c r="V326" s="5" t="s">
        <v>2867</v>
      </c>
      <c r="W326" s="5" t="s">
        <v>2327</v>
      </c>
      <c r="X326" s="5" t="s">
        <v>2327</v>
      </c>
      <c r="Y326" s="4">
        <v>273</v>
      </c>
      <c r="Z326" s="4">
        <v>176</v>
      </c>
      <c r="AA326" s="4">
        <v>183</v>
      </c>
      <c r="AB326" s="4">
        <v>2</v>
      </c>
      <c r="AC326" s="4">
        <v>2</v>
      </c>
      <c r="AD326" s="4">
        <v>5</v>
      </c>
      <c r="AE326" s="4">
        <v>5</v>
      </c>
      <c r="AF326" s="4">
        <v>2</v>
      </c>
      <c r="AG326" s="4">
        <v>2</v>
      </c>
      <c r="AH326" s="4">
        <v>1</v>
      </c>
      <c r="AI326" s="4">
        <v>1</v>
      </c>
      <c r="AJ326" s="4">
        <v>3</v>
      </c>
      <c r="AK326" s="4">
        <v>3</v>
      </c>
      <c r="AL326" s="4">
        <v>1</v>
      </c>
      <c r="AM326" s="4">
        <v>1</v>
      </c>
      <c r="AN326" s="4">
        <v>0</v>
      </c>
      <c r="AO326" s="4">
        <v>0</v>
      </c>
      <c r="AP326" s="3" t="s">
        <v>58</v>
      </c>
      <c r="AQ326" s="3" t="s">
        <v>69</v>
      </c>
      <c r="AR326" s="6" t="str">
        <f>HYPERLINK("http://catalog.hathitrust.org/Record/001497453","HathiTrust Record")</f>
        <v>HathiTrust Record</v>
      </c>
      <c r="AS326" s="6" t="str">
        <f>HYPERLINK("https://creighton-primo.hosted.exlibrisgroup.com/primo-explore/search?tab=default_tab&amp;search_scope=EVERYTHING&amp;vid=01CRU&amp;lang=en_US&amp;offset=0&amp;query=any,contains,991001109029702656","Catalog Record")</f>
        <v>Catalog Record</v>
      </c>
      <c r="AT326" s="6" t="str">
        <f>HYPERLINK("http://www.worldcat.org/oclc/709934","WorldCat Record")</f>
        <v>WorldCat Record</v>
      </c>
    </row>
    <row r="327" spans="1:46" ht="40.5" customHeight="1" x14ac:dyDescent="0.25">
      <c r="A327" s="8" t="s">
        <v>58</v>
      </c>
      <c r="B327" s="2" t="s">
        <v>2868</v>
      </c>
      <c r="C327" s="2" t="s">
        <v>2869</v>
      </c>
      <c r="D327" s="2" t="s">
        <v>2870</v>
      </c>
      <c r="F327" s="3" t="s">
        <v>58</v>
      </c>
      <c r="G327" s="3" t="s">
        <v>59</v>
      </c>
      <c r="H327" s="3" t="s">
        <v>58</v>
      </c>
      <c r="I327" s="3" t="s">
        <v>58</v>
      </c>
      <c r="J327" s="3" t="s">
        <v>60</v>
      </c>
      <c r="K327" s="2" t="s">
        <v>2871</v>
      </c>
      <c r="L327" s="2" t="s">
        <v>2872</v>
      </c>
      <c r="M327" s="3" t="s">
        <v>2027</v>
      </c>
      <c r="O327" s="3" t="s">
        <v>64</v>
      </c>
      <c r="P327" s="3" t="s">
        <v>83</v>
      </c>
      <c r="R327" s="3" t="s">
        <v>1907</v>
      </c>
      <c r="S327" s="4">
        <v>2</v>
      </c>
      <c r="T327" s="4">
        <v>2</v>
      </c>
      <c r="U327" s="5" t="s">
        <v>2873</v>
      </c>
      <c r="V327" s="5" t="s">
        <v>2873</v>
      </c>
      <c r="W327" s="5" t="s">
        <v>2327</v>
      </c>
      <c r="X327" s="5" t="s">
        <v>2327</v>
      </c>
      <c r="Y327" s="4">
        <v>245</v>
      </c>
      <c r="Z327" s="4">
        <v>198</v>
      </c>
      <c r="AA327" s="4">
        <v>212</v>
      </c>
      <c r="AB327" s="4">
        <v>2</v>
      </c>
      <c r="AC327" s="4">
        <v>2</v>
      </c>
      <c r="AD327" s="4">
        <v>7</v>
      </c>
      <c r="AE327" s="4">
        <v>8</v>
      </c>
      <c r="AF327" s="4">
        <v>1</v>
      </c>
      <c r="AG327" s="4">
        <v>1</v>
      </c>
      <c r="AH327" s="4">
        <v>1</v>
      </c>
      <c r="AI327" s="4">
        <v>1</v>
      </c>
      <c r="AJ327" s="4">
        <v>4</v>
      </c>
      <c r="AK327" s="4">
        <v>5</v>
      </c>
      <c r="AL327" s="4">
        <v>1</v>
      </c>
      <c r="AM327" s="4">
        <v>1</v>
      </c>
      <c r="AN327" s="4">
        <v>0</v>
      </c>
      <c r="AO327" s="4">
        <v>0</v>
      </c>
      <c r="AP327" s="3" t="s">
        <v>58</v>
      </c>
      <c r="AQ327" s="3" t="s">
        <v>58</v>
      </c>
      <c r="AR327" s="6" t="str">
        <f>HYPERLINK("http://catalog.hathitrust.org/Record/002083088","HathiTrust Record")</f>
        <v>HathiTrust Record</v>
      </c>
      <c r="AS327" s="6" t="str">
        <f>HYPERLINK("https://creighton-primo.hosted.exlibrisgroup.com/primo-explore/search?tab=default_tab&amp;search_scope=EVERYTHING&amp;vid=01CRU&amp;lang=en_US&amp;offset=0&amp;query=any,contains,991001109249702656","Catalog Record")</f>
        <v>Catalog Record</v>
      </c>
      <c r="AT327" s="6" t="str">
        <f>HYPERLINK("http://www.worldcat.org/oclc/726997","WorldCat Record")</f>
        <v>WorldCat Record</v>
      </c>
    </row>
    <row r="328" spans="1:46" ht="40.5" customHeight="1" x14ac:dyDescent="0.25">
      <c r="A328" s="8" t="s">
        <v>58</v>
      </c>
      <c r="B328" s="2" t="s">
        <v>2874</v>
      </c>
      <c r="C328" s="2" t="s">
        <v>2875</v>
      </c>
      <c r="D328" s="2" t="s">
        <v>2876</v>
      </c>
      <c r="F328" s="3" t="s">
        <v>58</v>
      </c>
      <c r="G328" s="3" t="s">
        <v>59</v>
      </c>
      <c r="H328" s="3" t="s">
        <v>58</v>
      </c>
      <c r="I328" s="3" t="s">
        <v>58</v>
      </c>
      <c r="J328" s="3" t="s">
        <v>60</v>
      </c>
      <c r="K328" s="2" t="s">
        <v>2877</v>
      </c>
      <c r="L328" s="2" t="s">
        <v>2878</v>
      </c>
      <c r="M328" s="3" t="s">
        <v>2879</v>
      </c>
      <c r="O328" s="3" t="s">
        <v>64</v>
      </c>
      <c r="P328" s="3" t="s">
        <v>400</v>
      </c>
      <c r="R328" s="3" t="s">
        <v>1907</v>
      </c>
      <c r="S328" s="4">
        <v>1</v>
      </c>
      <c r="T328" s="4">
        <v>1</v>
      </c>
      <c r="U328" s="5" t="s">
        <v>2867</v>
      </c>
      <c r="V328" s="5" t="s">
        <v>2867</v>
      </c>
      <c r="W328" s="5" t="s">
        <v>2327</v>
      </c>
      <c r="X328" s="5" t="s">
        <v>2327</v>
      </c>
      <c r="Y328" s="4">
        <v>297</v>
      </c>
      <c r="Z328" s="4">
        <v>232</v>
      </c>
      <c r="AA328" s="4">
        <v>397</v>
      </c>
      <c r="AB328" s="4">
        <v>1</v>
      </c>
      <c r="AC328" s="4">
        <v>4</v>
      </c>
      <c r="AD328" s="4">
        <v>9</v>
      </c>
      <c r="AE328" s="4">
        <v>15</v>
      </c>
      <c r="AF328" s="4">
        <v>3</v>
      </c>
      <c r="AG328" s="4">
        <v>3</v>
      </c>
      <c r="AH328" s="4">
        <v>2</v>
      </c>
      <c r="AI328" s="4">
        <v>3</v>
      </c>
      <c r="AJ328" s="4">
        <v>6</v>
      </c>
      <c r="AK328" s="4">
        <v>9</v>
      </c>
      <c r="AL328" s="4">
        <v>0</v>
      </c>
      <c r="AM328" s="4">
        <v>3</v>
      </c>
      <c r="AN328" s="4">
        <v>0</v>
      </c>
      <c r="AO328" s="4">
        <v>0</v>
      </c>
      <c r="AP328" s="3" t="s">
        <v>69</v>
      </c>
      <c r="AQ328" s="3" t="s">
        <v>58</v>
      </c>
      <c r="AR328" s="6" t="str">
        <f>HYPERLINK("http://catalog.hathitrust.org/Record/001497596","HathiTrust Record")</f>
        <v>HathiTrust Record</v>
      </c>
      <c r="AS328" s="6" t="str">
        <f>HYPERLINK("https://creighton-primo.hosted.exlibrisgroup.com/primo-explore/search?tab=default_tab&amp;search_scope=EVERYTHING&amp;vid=01CRU&amp;lang=en_US&amp;offset=0&amp;query=any,contains,991001109299702656","Catalog Record")</f>
        <v>Catalog Record</v>
      </c>
      <c r="AT328" s="6" t="str">
        <f>HYPERLINK("http://www.worldcat.org/oclc/1522344","WorldCat Record")</f>
        <v>WorldCat Record</v>
      </c>
    </row>
    <row r="329" spans="1:46" ht="40.5" customHeight="1" x14ac:dyDescent="0.25">
      <c r="A329" s="8" t="s">
        <v>58</v>
      </c>
      <c r="B329" s="2" t="s">
        <v>2880</v>
      </c>
      <c r="C329" s="2" t="s">
        <v>2881</v>
      </c>
      <c r="D329" s="2" t="s">
        <v>2882</v>
      </c>
      <c r="F329" s="3" t="s">
        <v>58</v>
      </c>
      <c r="G329" s="3" t="s">
        <v>59</v>
      </c>
      <c r="H329" s="3" t="s">
        <v>58</v>
      </c>
      <c r="I329" s="3" t="s">
        <v>58</v>
      </c>
      <c r="J329" s="3" t="s">
        <v>60</v>
      </c>
      <c r="L329" s="2" t="s">
        <v>2883</v>
      </c>
      <c r="M329" s="3" t="s">
        <v>126</v>
      </c>
      <c r="O329" s="3" t="s">
        <v>64</v>
      </c>
      <c r="P329" s="3" t="s">
        <v>607</v>
      </c>
      <c r="R329" s="3" t="s">
        <v>1907</v>
      </c>
      <c r="S329" s="4">
        <v>5</v>
      </c>
      <c r="T329" s="4">
        <v>5</v>
      </c>
      <c r="U329" s="5" t="s">
        <v>2884</v>
      </c>
      <c r="V329" s="5" t="s">
        <v>2884</v>
      </c>
      <c r="W329" s="5" t="s">
        <v>2885</v>
      </c>
      <c r="X329" s="5" t="s">
        <v>2885</v>
      </c>
      <c r="Y329" s="4">
        <v>97</v>
      </c>
      <c r="Z329" s="4">
        <v>73</v>
      </c>
      <c r="AA329" s="4">
        <v>73</v>
      </c>
      <c r="AB329" s="4">
        <v>1</v>
      </c>
      <c r="AC329" s="4">
        <v>1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3" t="s">
        <v>58</v>
      </c>
      <c r="AQ329" s="3" t="s">
        <v>58</v>
      </c>
      <c r="AS329" s="6" t="str">
        <f>HYPERLINK("https://creighton-primo.hosted.exlibrisgroup.com/primo-explore/search?tab=default_tab&amp;search_scope=EVERYTHING&amp;vid=01CRU&amp;lang=en_US&amp;offset=0&amp;query=any,contains,991000677659702656","Catalog Record")</f>
        <v>Catalog Record</v>
      </c>
      <c r="AT329" s="6" t="str">
        <f>HYPERLINK("http://www.worldcat.org/oclc/28844174","WorldCat Record")</f>
        <v>WorldCat Record</v>
      </c>
    </row>
    <row r="330" spans="1:46" ht="40.5" customHeight="1" x14ac:dyDescent="0.25">
      <c r="A330" s="8" t="s">
        <v>58</v>
      </c>
      <c r="B330" s="2" t="s">
        <v>2886</v>
      </c>
      <c r="C330" s="2" t="s">
        <v>2887</v>
      </c>
      <c r="D330" s="2" t="s">
        <v>2888</v>
      </c>
      <c r="F330" s="3" t="s">
        <v>58</v>
      </c>
      <c r="G330" s="3" t="s">
        <v>59</v>
      </c>
      <c r="H330" s="3" t="s">
        <v>58</v>
      </c>
      <c r="I330" s="3" t="s">
        <v>58</v>
      </c>
      <c r="J330" s="3" t="s">
        <v>60</v>
      </c>
      <c r="K330" s="2" t="s">
        <v>2889</v>
      </c>
      <c r="L330" s="2" t="s">
        <v>2890</v>
      </c>
      <c r="M330" s="3" t="s">
        <v>2046</v>
      </c>
      <c r="O330" s="3" t="s">
        <v>64</v>
      </c>
      <c r="P330" s="3" t="s">
        <v>202</v>
      </c>
      <c r="Q330" s="2" t="s">
        <v>2891</v>
      </c>
      <c r="R330" s="3" t="s">
        <v>1907</v>
      </c>
      <c r="S330" s="4">
        <v>0</v>
      </c>
      <c r="T330" s="4">
        <v>0</v>
      </c>
      <c r="U330" s="5" t="s">
        <v>2892</v>
      </c>
      <c r="V330" s="5" t="s">
        <v>2892</v>
      </c>
      <c r="W330" s="5" t="s">
        <v>2893</v>
      </c>
      <c r="X330" s="5" t="s">
        <v>2893</v>
      </c>
      <c r="Y330" s="4">
        <v>93</v>
      </c>
      <c r="Z330" s="4">
        <v>72</v>
      </c>
      <c r="AA330" s="4">
        <v>73</v>
      </c>
      <c r="AB330" s="4">
        <v>1</v>
      </c>
      <c r="AC330" s="4">
        <v>1</v>
      </c>
      <c r="AD330" s="4">
        <v>2</v>
      </c>
      <c r="AE330" s="4">
        <v>2</v>
      </c>
      <c r="AF330" s="4">
        <v>1</v>
      </c>
      <c r="AG330" s="4">
        <v>1</v>
      </c>
      <c r="AH330" s="4">
        <v>0</v>
      </c>
      <c r="AI330" s="4">
        <v>0</v>
      </c>
      <c r="AJ330" s="4">
        <v>2</v>
      </c>
      <c r="AK330" s="4">
        <v>2</v>
      </c>
      <c r="AL330" s="4">
        <v>0</v>
      </c>
      <c r="AM330" s="4">
        <v>0</v>
      </c>
      <c r="AN330" s="4">
        <v>0</v>
      </c>
      <c r="AO330" s="4">
        <v>0</v>
      </c>
      <c r="AP330" s="3" t="s">
        <v>58</v>
      </c>
      <c r="AQ330" s="3" t="s">
        <v>69</v>
      </c>
      <c r="AR330" s="6" t="str">
        <f>HYPERLINK("http://catalog.hathitrust.org/Record/004733140","HathiTrust Record")</f>
        <v>HathiTrust Record</v>
      </c>
      <c r="AS330" s="6" t="str">
        <f>HYPERLINK("https://creighton-primo.hosted.exlibrisgroup.com/primo-explore/search?tab=default_tab&amp;search_scope=EVERYTHING&amp;vid=01CRU&amp;lang=en_US&amp;offset=0&amp;query=any,contains,991000393869702656","Catalog Record")</f>
        <v>Catalog Record</v>
      </c>
      <c r="AT330" s="6" t="str">
        <f>HYPERLINK("http://www.worldcat.org/oclc/54865786","WorldCat Record")</f>
        <v>WorldCat Record</v>
      </c>
    </row>
    <row r="331" spans="1:46" ht="40.5" customHeight="1" x14ac:dyDescent="0.25">
      <c r="A331" s="8" t="s">
        <v>58</v>
      </c>
      <c r="B331" s="2" t="s">
        <v>2894</v>
      </c>
      <c r="C331" s="2" t="s">
        <v>2895</v>
      </c>
      <c r="D331" s="2" t="s">
        <v>2896</v>
      </c>
      <c r="F331" s="3" t="s">
        <v>58</v>
      </c>
      <c r="G331" s="3" t="s">
        <v>59</v>
      </c>
      <c r="H331" s="3" t="s">
        <v>58</v>
      </c>
      <c r="I331" s="3" t="s">
        <v>58</v>
      </c>
      <c r="J331" s="3" t="s">
        <v>60</v>
      </c>
      <c r="K331" s="2" t="s">
        <v>2897</v>
      </c>
      <c r="L331" s="2" t="s">
        <v>2898</v>
      </c>
      <c r="M331" s="3" t="s">
        <v>870</v>
      </c>
      <c r="O331" s="3" t="s">
        <v>64</v>
      </c>
      <c r="P331" s="3" t="s">
        <v>83</v>
      </c>
      <c r="R331" s="3" t="s">
        <v>1907</v>
      </c>
      <c r="S331" s="4">
        <v>6</v>
      </c>
      <c r="T331" s="4">
        <v>6</v>
      </c>
      <c r="U331" s="5" t="s">
        <v>2899</v>
      </c>
      <c r="V331" s="5" t="s">
        <v>2899</v>
      </c>
      <c r="W331" s="5" t="s">
        <v>2818</v>
      </c>
      <c r="X331" s="5" t="s">
        <v>2818</v>
      </c>
      <c r="Y331" s="4">
        <v>1049</v>
      </c>
      <c r="Z331" s="4">
        <v>962</v>
      </c>
      <c r="AA331" s="4">
        <v>982</v>
      </c>
      <c r="AB331" s="4">
        <v>3</v>
      </c>
      <c r="AC331" s="4">
        <v>3</v>
      </c>
      <c r="AD331" s="4">
        <v>16</v>
      </c>
      <c r="AE331" s="4">
        <v>17</v>
      </c>
      <c r="AF331" s="4">
        <v>6</v>
      </c>
      <c r="AG331" s="4">
        <v>6</v>
      </c>
      <c r="AH331" s="4">
        <v>3</v>
      </c>
      <c r="AI331" s="4">
        <v>3</v>
      </c>
      <c r="AJ331" s="4">
        <v>7</v>
      </c>
      <c r="AK331" s="4">
        <v>8</v>
      </c>
      <c r="AL331" s="4">
        <v>2</v>
      </c>
      <c r="AM331" s="4">
        <v>2</v>
      </c>
      <c r="AN331" s="4">
        <v>0</v>
      </c>
      <c r="AO331" s="4">
        <v>0</v>
      </c>
      <c r="AP331" s="3" t="s">
        <v>58</v>
      </c>
      <c r="AQ331" s="3" t="s">
        <v>58</v>
      </c>
      <c r="AS331" s="6" t="str">
        <f>HYPERLINK("https://creighton-primo.hosted.exlibrisgroup.com/primo-explore/search?tab=default_tab&amp;search_scope=EVERYTHING&amp;vid=01CRU&amp;lang=en_US&amp;offset=0&amp;query=any,contains,991001109529702656","Catalog Record")</f>
        <v>Catalog Record</v>
      </c>
      <c r="AT331" s="6" t="str">
        <f>HYPERLINK("http://www.worldcat.org/oclc/7836875","WorldCat Record")</f>
        <v>WorldCat Record</v>
      </c>
    </row>
    <row r="332" spans="1:46" ht="40.5" customHeight="1" x14ac:dyDescent="0.25">
      <c r="A332" s="8" t="s">
        <v>58</v>
      </c>
      <c r="B332" s="2" t="s">
        <v>2900</v>
      </c>
      <c r="C332" s="2" t="s">
        <v>2901</v>
      </c>
      <c r="D332" s="2" t="s">
        <v>2902</v>
      </c>
      <c r="F332" s="3" t="s">
        <v>58</v>
      </c>
      <c r="G332" s="3" t="s">
        <v>59</v>
      </c>
      <c r="H332" s="3" t="s">
        <v>58</v>
      </c>
      <c r="I332" s="3" t="s">
        <v>58</v>
      </c>
      <c r="J332" s="3" t="s">
        <v>60</v>
      </c>
      <c r="L332" s="2" t="s">
        <v>2903</v>
      </c>
      <c r="M332" s="3" t="s">
        <v>2046</v>
      </c>
      <c r="O332" s="3" t="s">
        <v>64</v>
      </c>
      <c r="P332" s="3" t="s">
        <v>97</v>
      </c>
      <c r="Q332" s="2" t="s">
        <v>2904</v>
      </c>
      <c r="R332" s="3" t="s">
        <v>1907</v>
      </c>
      <c r="S332" s="4">
        <v>0</v>
      </c>
      <c r="T332" s="4">
        <v>0</v>
      </c>
      <c r="U332" s="5" t="s">
        <v>2905</v>
      </c>
      <c r="V332" s="5" t="s">
        <v>2905</v>
      </c>
      <c r="W332" s="5" t="s">
        <v>2906</v>
      </c>
      <c r="X332" s="5" t="s">
        <v>2906</v>
      </c>
      <c r="Y332" s="4">
        <v>47</v>
      </c>
      <c r="Z332" s="4">
        <v>43</v>
      </c>
      <c r="AA332" s="4">
        <v>48</v>
      </c>
      <c r="AB332" s="4">
        <v>1</v>
      </c>
      <c r="AC332" s="4">
        <v>1</v>
      </c>
      <c r="AD332" s="4">
        <v>1</v>
      </c>
      <c r="AE332" s="4">
        <v>1</v>
      </c>
      <c r="AF332" s="4">
        <v>0</v>
      </c>
      <c r="AG332" s="4">
        <v>0</v>
      </c>
      <c r="AH332" s="4">
        <v>1</v>
      </c>
      <c r="AI332" s="4">
        <v>1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3" t="s">
        <v>58</v>
      </c>
      <c r="AQ332" s="3" t="s">
        <v>58</v>
      </c>
      <c r="AS332" s="6" t="str">
        <f>HYPERLINK("https://creighton-primo.hosted.exlibrisgroup.com/primo-explore/search?tab=default_tab&amp;search_scope=EVERYTHING&amp;vid=01CRU&amp;lang=en_US&amp;offset=0&amp;query=any,contains,991000398299702656","Catalog Record")</f>
        <v>Catalog Record</v>
      </c>
      <c r="AT332" s="6" t="str">
        <f>HYPERLINK("http://www.worldcat.org/oclc/51999267","WorldCat Record")</f>
        <v>WorldCat Record</v>
      </c>
    </row>
    <row r="333" spans="1:46" ht="40.5" customHeight="1" x14ac:dyDescent="0.25">
      <c r="A333" s="8" t="s">
        <v>58</v>
      </c>
      <c r="B333" s="2" t="s">
        <v>2907</v>
      </c>
      <c r="C333" s="2" t="s">
        <v>2908</v>
      </c>
      <c r="D333" s="2" t="s">
        <v>2909</v>
      </c>
      <c r="F333" s="3" t="s">
        <v>58</v>
      </c>
      <c r="G333" s="3" t="s">
        <v>59</v>
      </c>
      <c r="H333" s="3" t="s">
        <v>58</v>
      </c>
      <c r="I333" s="3" t="s">
        <v>69</v>
      </c>
      <c r="J333" s="3" t="s">
        <v>59</v>
      </c>
      <c r="K333" s="2" t="s">
        <v>2910</v>
      </c>
      <c r="L333" s="2" t="s">
        <v>2911</v>
      </c>
      <c r="M333" s="3" t="s">
        <v>676</v>
      </c>
      <c r="O333" s="3" t="s">
        <v>64</v>
      </c>
      <c r="P333" s="3" t="s">
        <v>97</v>
      </c>
      <c r="R333" s="3" t="s">
        <v>1907</v>
      </c>
      <c r="S333" s="4">
        <v>19</v>
      </c>
      <c r="T333" s="4">
        <v>19</v>
      </c>
      <c r="U333" s="5" t="s">
        <v>2912</v>
      </c>
      <c r="V333" s="5" t="s">
        <v>2912</v>
      </c>
      <c r="W333" s="5" t="s">
        <v>2913</v>
      </c>
      <c r="X333" s="5" t="s">
        <v>2913</v>
      </c>
      <c r="Y333" s="4">
        <v>198</v>
      </c>
      <c r="Z333" s="4">
        <v>135</v>
      </c>
      <c r="AA333" s="4">
        <v>752</v>
      </c>
      <c r="AB333" s="4">
        <v>2</v>
      </c>
      <c r="AC333" s="4">
        <v>5</v>
      </c>
      <c r="AD333" s="4">
        <v>5</v>
      </c>
      <c r="AE333" s="4">
        <v>25</v>
      </c>
      <c r="AF333" s="4">
        <v>0</v>
      </c>
      <c r="AG333" s="4">
        <v>8</v>
      </c>
      <c r="AH333" s="4">
        <v>2</v>
      </c>
      <c r="AI333" s="4">
        <v>7</v>
      </c>
      <c r="AJ333" s="4">
        <v>4</v>
      </c>
      <c r="AK333" s="4">
        <v>11</v>
      </c>
      <c r="AL333" s="4">
        <v>1</v>
      </c>
      <c r="AM333" s="4">
        <v>4</v>
      </c>
      <c r="AN333" s="4">
        <v>0</v>
      </c>
      <c r="AO333" s="4">
        <v>0</v>
      </c>
      <c r="AP333" s="3" t="s">
        <v>58</v>
      </c>
      <c r="AQ333" s="3" t="s">
        <v>69</v>
      </c>
      <c r="AR333" s="6" t="str">
        <f>HYPERLINK("http://catalog.hathitrust.org/Record/004175538","HathiTrust Record")</f>
        <v>HathiTrust Record</v>
      </c>
      <c r="AS333" s="6" t="str">
        <f>HYPERLINK("https://creighton-primo.hosted.exlibrisgroup.com/primo-explore/search?tab=default_tab&amp;search_scope=EVERYTHING&amp;vid=01CRU&amp;lang=en_US&amp;offset=0&amp;query=any,contains,991000307749702656","Catalog Record")</f>
        <v>Catalog Record</v>
      </c>
      <c r="AT333" s="6" t="str">
        <f>HYPERLINK("http://www.worldcat.org/oclc/46395179","WorldCat Record")</f>
        <v>WorldCat Record</v>
      </c>
    </row>
    <row r="334" spans="1:46" ht="40.5" customHeight="1" x14ac:dyDescent="0.25">
      <c r="A334" s="8" t="s">
        <v>58</v>
      </c>
      <c r="B334" s="2" t="s">
        <v>2914</v>
      </c>
      <c r="C334" s="2" t="s">
        <v>2915</v>
      </c>
      <c r="D334" s="2" t="s">
        <v>2909</v>
      </c>
      <c r="F334" s="3" t="s">
        <v>58</v>
      </c>
      <c r="G334" s="3" t="s">
        <v>59</v>
      </c>
      <c r="H334" s="3" t="s">
        <v>58</v>
      </c>
      <c r="I334" s="3" t="s">
        <v>69</v>
      </c>
      <c r="J334" s="3" t="s">
        <v>59</v>
      </c>
      <c r="K334" s="2" t="s">
        <v>2910</v>
      </c>
      <c r="L334" s="2" t="s">
        <v>2916</v>
      </c>
      <c r="M334" s="3" t="s">
        <v>2383</v>
      </c>
      <c r="N334" s="2" t="s">
        <v>2917</v>
      </c>
      <c r="O334" s="3" t="s">
        <v>64</v>
      </c>
      <c r="P334" s="3" t="s">
        <v>97</v>
      </c>
      <c r="R334" s="3" t="s">
        <v>1907</v>
      </c>
      <c r="S334" s="4">
        <v>12</v>
      </c>
      <c r="T334" s="4">
        <v>12</v>
      </c>
      <c r="U334" s="5" t="s">
        <v>2918</v>
      </c>
      <c r="V334" s="5" t="s">
        <v>2918</v>
      </c>
      <c r="W334" s="5" t="s">
        <v>2919</v>
      </c>
      <c r="X334" s="5" t="s">
        <v>2919</v>
      </c>
      <c r="Y334" s="4">
        <v>230</v>
      </c>
      <c r="Z334" s="4">
        <v>118</v>
      </c>
      <c r="AA334" s="4">
        <v>752</v>
      </c>
      <c r="AB334" s="4">
        <v>1</v>
      </c>
      <c r="AC334" s="4">
        <v>5</v>
      </c>
      <c r="AD334" s="4">
        <v>5</v>
      </c>
      <c r="AE334" s="4">
        <v>25</v>
      </c>
      <c r="AF334" s="4">
        <v>1</v>
      </c>
      <c r="AG334" s="4">
        <v>8</v>
      </c>
      <c r="AH334" s="4">
        <v>3</v>
      </c>
      <c r="AI334" s="4">
        <v>7</v>
      </c>
      <c r="AJ334" s="4">
        <v>2</v>
      </c>
      <c r="AK334" s="4">
        <v>11</v>
      </c>
      <c r="AL334" s="4">
        <v>0</v>
      </c>
      <c r="AM334" s="4">
        <v>4</v>
      </c>
      <c r="AN334" s="4">
        <v>0</v>
      </c>
      <c r="AO334" s="4">
        <v>0</v>
      </c>
      <c r="AP334" s="3" t="s">
        <v>58</v>
      </c>
      <c r="AQ334" s="3" t="s">
        <v>69</v>
      </c>
      <c r="AR334" s="6" t="str">
        <f>HYPERLINK("http://catalog.hathitrust.org/Record/010380749","HathiTrust Record")</f>
        <v>HathiTrust Record</v>
      </c>
      <c r="AS334" s="6" t="str">
        <f>HYPERLINK("https://creighton-primo.hosted.exlibrisgroup.com/primo-explore/search?tab=default_tab&amp;search_scope=EVERYTHING&amp;vid=01CRU&amp;lang=en_US&amp;offset=0&amp;query=any,contains,991000546729702656","Catalog Record")</f>
        <v>Catalog Record</v>
      </c>
      <c r="AT334" s="6" t="str">
        <f>HYPERLINK("http://www.worldcat.org/oclc/61309409","WorldCat Record")</f>
        <v>WorldCat Record</v>
      </c>
    </row>
    <row r="335" spans="1:46" ht="40.5" customHeight="1" x14ac:dyDescent="0.25">
      <c r="A335" s="8" t="s">
        <v>58</v>
      </c>
      <c r="B335" s="2" t="s">
        <v>2920</v>
      </c>
      <c r="C335" s="2" t="s">
        <v>2921</v>
      </c>
      <c r="D335" s="2" t="s">
        <v>2922</v>
      </c>
      <c r="F335" s="3" t="s">
        <v>58</v>
      </c>
      <c r="G335" s="3" t="s">
        <v>59</v>
      </c>
      <c r="H335" s="3" t="s">
        <v>58</v>
      </c>
      <c r="I335" s="3" t="s">
        <v>58</v>
      </c>
      <c r="J335" s="3" t="s">
        <v>60</v>
      </c>
      <c r="K335" s="2" t="s">
        <v>2923</v>
      </c>
      <c r="L335" s="2" t="s">
        <v>2131</v>
      </c>
      <c r="M335" s="3" t="s">
        <v>1121</v>
      </c>
      <c r="N335" s="2" t="s">
        <v>156</v>
      </c>
      <c r="O335" s="3" t="s">
        <v>64</v>
      </c>
      <c r="P335" s="3" t="s">
        <v>1921</v>
      </c>
      <c r="R335" s="3" t="s">
        <v>1907</v>
      </c>
      <c r="S335" s="4">
        <v>12</v>
      </c>
      <c r="T335" s="4">
        <v>12</v>
      </c>
      <c r="U335" s="5" t="s">
        <v>2924</v>
      </c>
      <c r="V335" s="5" t="s">
        <v>2924</v>
      </c>
      <c r="W335" s="5" t="s">
        <v>2818</v>
      </c>
      <c r="X335" s="5" t="s">
        <v>2818</v>
      </c>
      <c r="Y335" s="4">
        <v>235</v>
      </c>
      <c r="Z335" s="4">
        <v>188</v>
      </c>
      <c r="AA335" s="4">
        <v>282</v>
      </c>
      <c r="AB335" s="4">
        <v>1</v>
      </c>
      <c r="AC335" s="4">
        <v>3</v>
      </c>
      <c r="AD335" s="4">
        <v>3</v>
      </c>
      <c r="AE335" s="4">
        <v>9</v>
      </c>
      <c r="AF335" s="4">
        <v>2</v>
      </c>
      <c r="AG335" s="4">
        <v>5</v>
      </c>
      <c r="AH335" s="4">
        <v>0</v>
      </c>
      <c r="AI335" s="4">
        <v>1</v>
      </c>
      <c r="AJ335" s="4">
        <v>1</v>
      </c>
      <c r="AK335" s="4">
        <v>4</v>
      </c>
      <c r="AL335" s="4">
        <v>0</v>
      </c>
      <c r="AM335" s="4">
        <v>1</v>
      </c>
      <c r="AN335" s="4">
        <v>0</v>
      </c>
      <c r="AO335" s="4">
        <v>0</v>
      </c>
      <c r="AP335" s="3" t="s">
        <v>58</v>
      </c>
      <c r="AQ335" s="3" t="s">
        <v>69</v>
      </c>
      <c r="AR335" s="6" t="str">
        <f>HYPERLINK("http://catalog.hathitrust.org/Record/000138934","HathiTrust Record")</f>
        <v>HathiTrust Record</v>
      </c>
      <c r="AS335" s="6" t="str">
        <f>HYPERLINK("https://creighton-primo.hosted.exlibrisgroup.com/primo-explore/search?tab=default_tab&amp;search_scope=EVERYTHING&amp;vid=01CRU&amp;lang=en_US&amp;offset=0&amp;query=any,contains,991001107849702656","Catalog Record")</f>
        <v>Catalog Record</v>
      </c>
      <c r="AT335" s="6" t="str">
        <f>HYPERLINK("http://www.worldcat.org/oclc/6223759","WorldCat Record")</f>
        <v>WorldCat Record</v>
      </c>
    </row>
    <row r="336" spans="1:46" ht="40.5" customHeight="1" x14ac:dyDescent="0.25">
      <c r="A336" s="8" t="s">
        <v>58</v>
      </c>
      <c r="B336" s="2" t="s">
        <v>2925</v>
      </c>
      <c r="C336" s="2" t="s">
        <v>2926</v>
      </c>
      <c r="D336" s="2" t="s">
        <v>2927</v>
      </c>
      <c r="F336" s="3" t="s">
        <v>58</v>
      </c>
      <c r="G336" s="3" t="s">
        <v>59</v>
      </c>
      <c r="H336" s="3" t="s">
        <v>58</v>
      </c>
      <c r="I336" s="3" t="s">
        <v>58</v>
      </c>
      <c r="J336" s="3" t="s">
        <v>60</v>
      </c>
      <c r="K336" s="2" t="s">
        <v>2928</v>
      </c>
      <c r="L336" s="2" t="s">
        <v>2929</v>
      </c>
      <c r="M336" s="3" t="s">
        <v>1632</v>
      </c>
      <c r="N336" s="2" t="s">
        <v>1315</v>
      </c>
      <c r="O336" s="3" t="s">
        <v>64</v>
      </c>
      <c r="P336" s="3" t="s">
        <v>1358</v>
      </c>
      <c r="R336" s="3" t="s">
        <v>1907</v>
      </c>
      <c r="S336" s="4">
        <v>22</v>
      </c>
      <c r="T336" s="4">
        <v>22</v>
      </c>
      <c r="U336" s="5" t="s">
        <v>1079</v>
      </c>
      <c r="V336" s="5" t="s">
        <v>1079</v>
      </c>
      <c r="W336" s="5" t="s">
        <v>2930</v>
      </c>
      <c r="X336" s="5" t="s">
        <v>2930</v>
      </c>
      <c r="Y336" s="4">
        <v>360</v>
      </c>
      <c r="Z336" s="4">
        <v>277</v>
      </c>
      <c r="AA336" s="4">
        <v>648</v>
      </c>
      <c r="AB336" s="4">
        <v>1</v>
      </c>
      <c r="AC336" s="4">
        <v>5</v>
      </c>
      <c r="AD336" s="4">
        <v>6</v>
      </c>
      <c r="AE336" s="4">
        <v>18</v>
      </c>
      <c r="AF336" s="4">
        <v>1</v>
      </c>
      <c r="AG336" s="4">
        <v>5</v>
      </c>
      <c r="AH336" s="4">
        <v>3</v>
      </c>
      <c r="AI336" s="4">
        <v>3</v>
      </c>
      <c r="AJ336" s="4">
        <v>3</v>
      </c>
      <c r="AK336" s="4">
        <v>9</v>
      </c>
      <c r="AL336" s="4">
        <v>0</v>
      </c>
      <c r="AM336" s="4">
        <v>4</v>
      </c>
      <c r="AN336" s="4">
        <v>0</v>
      </c>
      <c r="AO336" s="4">
        <v>0</v>
      </c>
      <c r="AP336" s="3" t="s">
        <v>58</v>
      </c>
      <c r="AQ336" s="3" t="s">
        <v>69</v>
      </c>
      <c r="AR336" s="6" t="str">
        <f>HYPERLINK("http://catalog.hathitrust.org/Record/000869296","HathiTrust Record")</f>
        <v>HathiTrust Record</v>
      </c>
      <c r="AS336" s="6" t="str">
        <f>HYPERLINK("https://creighton-primo.hosted.exlibrisgroup.com/primo-explore/search?tab=default_tab&amp;search_scope=EVERYTHING&amp;vid=01CRU&amp;lang=en_US&amp;offset=0&amp;query=any,contains,991001185669702656","Catalog Record")</f>
        <v>Catalog Record</v>
      </c>
      <c r="AT336" s="6" t="str">
        <f>HYPERLINK("http://www.worldcat.org/oclc/16404321","WorldCat Record")</f>
        <v>WorldCat Record</v>
      </c>
    </row>
    <row r="337" spans="1:46" ht="40.5" customHeight="1" x14ac:dyDescent="0.25">
      <c r="A337" s="8" t="s">
        <v>58</v>
      </c>
      <c r="B337" s="2" t="s">
        <v>2931</v>
      </c>
      <c r="C337" s="2" t="s">
        <v>2932</v>
      </c>
      <c r="D337" s="2" t="s">
        <v>2933</v>
      </c>
      <c r="F337" s="3" t="s">
        <v>58</v>
      </c>
      <c r="G337" s="3" t="s">
        <v>59</v>
      </c>
      <c r="H337" s="3" t="s">
        <v>58</v>
      </c>
      <c r="I337" s="3" t="s">
        <v>58</v>
      </c>
      <c r="J337" s="3" t="s">
        <v>60</v>
      </c>
      <c r="L337" s="2" t="s">
        <v>2934</v>
      </c>
      <c r="M337" s="3" t="s">
        <v>126</v>
      </c>
      <c r="N337" s="2" t="s">
        <v>2935</v>
      </c>
      <c r="O337" s="3" t="s">
        <v>64</v>
      </c>
      <c r="P337" s="3" t="s">
        <v>2018</v>
      </c>
      <c r="R337" s="3" t="s">
        <v>1907</v>
      </c>
      <c r="S337" s="4">
        <v>45</v>
      </c>
      <c r="T337" s="4">
        <v>45</v>
      </c>
      <c r="U337" s="5" t="s">
        <v>2936</v>
      </c>
      <c r="V337" s="5" t="s">
        <v>2936</v>
      </c>
      <c r="W337" s="5" t="s">
        <v>2937</v>
      </c>
      <c r="X337" s="5" t="s">
        <v>2937</v>
      </c>
      <c r="Y337" s="4">
        <v>227</v>
      </c>
      <c r="Z337" s="4">
        <v>165</v>
      </c>
      <c r="AA337" s="4">
        <v>523</v>
      </c>
      <c r="AB337" s="4">
        <v>1</v>
      </c>
      <c r="AC337" s="4">
        <v>4</v>
      </c>
      <c r="AD337" s="4">
        <v>3</v>
      </c>
      <c r="AE337" s="4">
        <v>13</v>
      </c>
      <c r="AF337" s="4">
        <v>2</v>
      </c>
      <c r="AG337" s="4">
        <v>5</v>
      </c>
      <c r="AH337" s="4">
        <v>0</v>
      </c>
      <c r="AI337" s="4">
        <v>3</v>
      </c>
      <c r="AJ337" s="4">
        <v>2</v>
      </c>
      <c r="AK337" s="4">
        <v>7</v>
      </c>
      <c r="AL337" s="4">
        <v>0</v>
      </c>
      <c r="AM337" s="4">
        <v>2</v>
      </c>
      <c r="AN337" s="4">
        <v>0</v>
      </c>
      <c r="AO337" s="4">
        <v>0</v>
      </c>
      <c r="AP337" s="3" t="s">
        <v>58</v>
      </c>
      <c r="AQ337" s="3" t="s">
        <v>69</v>
      </c>
      <c r="AR337" s="6" t="str">
        <f>HYPERLINK("http://catalog.hathitrust.org/Record/002818410","HathiTrust Record")</f>
        <v>HathiTrust Record</v>
      </c>
      <c r="AS337" s="6" t="str">
        <f>HYPERLINK("https://creighton-primo.hosted.exlibrisgroup.com/primo-explore/search?tab=default_tab&amp;search_scope=EVERYTHING&amp;vid=01CRU&amp;lang=en_US&amp;offset=0&amp;query=any,contains,991000669859702656","Catalog Record")</f>
        <v>Catalog Record</v>
      </c>
      <c r="AT337" s="6" t="str">
        <f>HYPERLINK("http://www.worldcat.org/oclc/30056267","WorldCat Record")</f>
        <v>WorldCat Record</v>
      </c>
    </row>
    <row r="338" spans="1:46" ht="40.5" customHeight="1" x14ac:dyDescent="0.25">
      <c r="A338" s="8" t="s">
        <v>58</v>
      </c>
      <c r="B338" s="2" t="s">
        <v>2938</v>
      </c>
      <c r="C338" s="2" t="s">
        <v>2939</v>
      </c>
      <c r="D338" s="2" t="s">
        <v>2940</v>
      </c>
      <c r="F338" s="3" t="s">
        <v>58</v>
      </c>
      <c r="G338" s="3" t="s">
        <v>59</v>
      </c>
      <c r="H338" s="3" t="s">
        <v>58</v>
      </c>
      <c r="I338" s="3" t="s">
        <v>69</v>
      </c>
      <c r="J338" s="3" t="s">
        <v>60</v>
      </c>
      <c r="K338" s="2" t="s">
        <v>2941</v>
      </c>
      <c r="L338" s="2" t="s">
        <v>2942</v>
      </c>
      <c r="M338" s="3" t="s">
        <v>950</v>
      </c>
      <c r="O338" s="3" t="s">
        <v>64</v>
      </c>
      <c r="P338" s="3" t="s">
        <v>97</v>
      </c>
      <c r="R338" s="3" t="s">
        <v>1907</v>
      </c>
      <c r="S338" s="4">
        <v>2</v>
      </c>
      <c r="T338" s="4">
        <v>2</v>
      </c>
      <c r="U338" s="5" t="s">
        <v>2943</v>
      </c>
      <c r="V338" s="5" t="s">
        <v>2943</v>
      </c>
      <c r="W338" s="5" t="s">
        <v>2818</v>
      </c>
      <c r="X338" s="5" t="s">
        <v>2818</v>
      </c>
      <c r="Y338" s="4">
        <v>260</v>
      </c>
      <c r="Z338" s="4">
        <v>181</v>
      </c>
      <c r="AA338" s="4">
        <v>472</v>
      </c>
      <c r="AB338" s="4">
        <v>2</v>
      </c>
      <c r="AC338" s="4">
        <v>4</v>
      </c>
      <c r="AD338" s="4">
        <v>6</v>
      </c>
      <c r="AE338" s="4">
        <v>15</v>
      </c>
      <c r="AF338" s="4">
        <v>1</v>
      </c>
      <c r="AG338" s="4">
        <v>6</v>
      </c>
      <c r="AH338" s="4">
        <v>2</v>
      </c>
      <c r="AI338" s="4">
        <v>4</v>
      </c>
      <c r="AJ338" s="4">
        <v>3</v>
      </c>
      <c r="AK338" s="4">
        <v>7</v>
      </c>
      <c r="AL338" s="4">
        <v>1</v>
      </c>
      <c r="AM338" s="4">
        <v>2</v>
      </c>
      <c r="AN338" s="4">
        <v>0</v>
      </c>
      <c r="AO338" s="4">
        <v>0</v>
      </c>
      <c r="AP338" s="3" t="s">
        <v>58</v>
      </c>
      <c r="AQ338" s="3" t="s">
        <v>69</v>
      </c>
      <c r="AR338" s="6" t="str">
        <f>HYPERLINK("http://catalog.hathitrust.org/Record/001565442","HathiTrust Record")</f>
        <v>HathiTrust Record</v>
      </c>
      <c r="AS338" s="6" t="str">
        <f>HYPERLINK("https://creighton-primo.hosted.exlibrisgroup.com/primo-explore/search?tab=default_tab&amp;search_scope=EVERYTHING&amp;vid=01CRU&amp;lang=en_US&amp;offset=0&amp;query=any,contains,991001107579702656","Catalog Record")</f>
        <v>Catalog Record</v>
      </c>
      <c r="AT338" s="6" t="str">
        <f>HYPERLINK("http://www.worldcat.org/oclc/200383","WorldCat Record")</f>
        <v>WorldCat Record</v>
      </c>
    </row>
    <row r="339" spans="1:46" ht="40.5" customHeight="1" x14ac:dyDescent="0.25">
      <c r="A339" s="8" t="s">
        <v>58</v>
      </c>
      <c r="B339" s="2" t="s">
        <v>2944</v>
      </c>
      <c r="C339" s="2" t="s">
        <v>2945</v>
      </c>
      <c r="D339" s="2" t="s">
        <v>2946</v>
      </c>
      <c r="F339" s="3" t="s">
        <v>58</v>
      </c>
      <c r="G339" s="3" t="s">
        <v>59</v>
      </c>
      <c r="H339" s="3" t="s">
        <v>58</v>
      </c>
      <c r="I339" s="3" t="s">
        <v>58</v>
      </c>
      <c r="J339" s="3" t="s">
        <v>60</v>
      </c>
      <c r="K339" s="2" t="s">
        <v>2947</v>
      </c>
      <c r="L339" s="2" t="s">
        <v>2948</v>
      </c>
      <c r="M339" s="3" t="s">
        <v>63</v>
      </c>
      <c r="N339" s="2" t="s">
        <v>271</v>
      </c>
      <c r="O339" s="3" t="s">
        <v>64</v>
      </c>
      <c r="P339" s="3" t="s">
        <v>939</v>
      </c>
      <c r="R339" s="3" t="s">
        <v>1907</v>
      </c>
      <c r="S339" s="4">
        <v>9</v>
      </c>
      <c r="T339" s="4">
        <v>9</v>
      </c>
      <c r="U339" s="5" t="s">
        <v>2949</v>
      </c>
      <c r="V339" s="5" t="s">
        <v>2949</v>
      </c>
      <c r="W339" s="5" t="s">
        <v>2950</v>
      </c>
      <c r="X339" s="5" t="s">
        <v>2950</v>
      </c>
      <c r="Y339" s="4">
        <v>234</v>
      </c>
      <c r="Z339" s="4">
        <v>159</v>
      </c>
      <c r="AA339" s="4">
        <v>280</v>
      </c>
      <c r="AB339" s="4">
        <v>1</v>
      </c>
      <c r="AC339" s="4">
        <v>1</v>
      </c>
      <c r="AD339" s="4">
        <v>4</v>
      </c>
      <c r="AE339" s="4">
        <v>7</v>
      </c>
      <c r="AF339" s="4">
        <v>1</v>
      </c>
      <c r="AG339" s="4">
        <v>2</v>
      </c>
      <c r="AH339" s="4">
        <v>3</v>
      </c>
      <c r="AI339" s="4">
        <v>4</v>
      </c>
      <c r="AJ339" s="4">
        <v>2</v>
      </c>
      <c r="AK339" s="4">
        <v>5</v>
      </c>
      <c r="AL339" s="4">
        <v>0</v>
      </c>
      <c r="AM339" s="4">
        <v>0</v>
      </c>
      <c r="AN339" s="4">
        <v>0</v>
      </c>
      <c r="AO339" s="4">
        <v>0</v>
      </c>
      <c r="AP339" s="3" t="s">
        <v>58</v>
      </c>
      <c r="AQ339" s="3" t="s">
        <v>69</v>
      </c>
      <c r="AR339" s="6" t="str">
        <f>HYPERLINK("http://catalog.hathitrust.org/Record/000124031","HathiTrust Record")</f>
        <v>HathiTrust Record</v>
      </c>
      <c r="AS339" s="6" t="str">
        <f>HYPERLINK("https://creighton-primo.hosted.exlibrisgroup.com/primo-explore/search?tab=default_tab&amp;search_scope=EVERYTHING&amp;vid=01CRU&amp;lang=en_US&amp;offset=0&amp;query=any,contains,991001271319702656","Catalog Record")</f>
        <v>Catalog Record</v>
      </c>
      <c r="AT339" s="6" t="str">
        <f>HYPERLINK("http://www.worldcat.org/oclc/10723028","WorldCat Record")</f>
        <v>WorldCat Record</v>
      </c>
    </row>
    <row r="340" spans="1:46" ht="40.5" customHeight="1" x14ac:dyDescent="0.25">
      <c r="A340" s="8" t="s">
        <v>58</v>
      </c>
      <c r="B340" s="2" t="s">
        <v>2951</v>
      </c>
      <c r="C340" s="2" t="s">
        <v>2952</v>
      </c>
      <c r="D340" s="2" t="s">
        <v>2953</v>
      </c>
      <c r="F340" s="3" t="s">
        <v>58</v>
      </c>
      <c r="G340" s="3" t="s">
        <v>59</v>
      </c>
      <c r="H340" s="3" t="s">
        <v>58</v>
      </c>
      <c r="I340" s="3" t="s">
        <v>69</v>
      </c>
      <c r="J340" s="3" t="s">
        <v>60</v>
      </c>
      <c r="K340" s="2" t="s">
        <v>2954</v>
      </c>
      <c r="L340" s="2" t="s">
        <v>2955</v>
      </c>
      <c r="M340" s="3" t="s">
        <v>270</v>
      </c>
      <c r="N340" s="2" t="s">
        <v>1606</v>
      </c>
      <c r="O340" s="3" t="s">
        <v>64</v>
      </c>
      <c r="P340" s="3" t="s">
        <v>83</v>
      </c>
      <c r="R340" s="3" t="s">
        <v>1907</v>
      </c>
      <c r="S340" s="4">
        <v>132</v>
      </c>
      <c r="T340" s="4">
        <v>132</v>
      </c>
      <c r="U340" s="5" t="s">
        <v>2956</v>
      </c>
      <c r="V340" s="5" t="s">
        <v>2956</v>
      </c>
      <c r="W340" s="5" t="s">
        <v>2374</v>
      </c>
      <c r="X340" s="5" t="s">
        <v>2374</v>
      </c>
      <c r="Y340" s="4">
        <v>338</v>
      </c>
      <c r="Z340" s="4">
        <v>225</v>
      </c>
      <c r="AA340" s="4">
        <v>1126</v>
      </c>
      <c r="AB340" s="4">
        <v>1</v>
      </c>
      <c r="AC340" s="4">
        <v>9</v>
      </c>
      <c r="AD340" s="4">
        <v>5</v>
      </c>
      <c r="AE340" s="4">
        <v>47</v>
      </c>
      <c r="AF340" s="4">
        <v>2</v>
      </c>
      <c r="AG340" s="4">
        <v>17</v>
      </c>
      <c r="AH340" s="4">
        <v>1</v>
      </c>
      <c r="AI340" s="4">
        <v>10</v>
      </c>
      <c r="AJ340" s="4">
        <v>3</v>
      </c>
      <c r="AK340" s="4">
        <v>19</v>
      </c>
      <c r="AL340" s="4">
        <v>0</v>
      </c>
      <c r="AM340" s="4">
        <v>8</v>
      </c>
      <c r="AN340" s="4">
        <v>0</v>
      </c>
      <c r="AO340" s="4">
        <v>1</v>
      </c>
      <c r="AP340" s="3" t="s">
        <v>58</v>
      </c>
      <c r="AQ340" s="3" t="s">
        <v>58</v>
      </c>
      <c r="AS340" s="6" t="str">
        <f>HYPERLINK("https://creighton-primo.hosted.exlibrisgroup.com/primo-explore/search?tab=default_tab&amp;search_scope=EVERYTHING&amp;vid=01CRU&amp;lang=en_US&amp;offset=0&amp;query=any,contains,991000836329702656","Catalog Record")</f>
        <v>Catalog Record</v>
      </c>
      <c r="AT340" s="6" t="str">
        <f>HYPERLINK("http://www.worldcat.org/oclc/34080886","WorldCat Record")</f>
        <v>WorldCat Record</v>
      </c>
    </row>
    <row r="341" spans="1:46" ht="40.5" customHeight="1" x14ac:dyDescent="0.25">
      <c r="A341" s="8" t="s">
        <v>58</v>
      </c>
      <c r="B341" s="2" t="s">
        <v>2957</v>
      </c>
      <c r="C341" s="2" t="s">
        <v>2958</v>
      </c>
      <c r="D341" s="2" t="s">
        <v>2959</v>
      </c>
      <c r="F341" s="3" t="s">
        <v>58</v>
      </c>
      <c r="G341" s="3" t="s">
        <v>59</v>
      </c>
      <c r="H341" s="3" t="s">
        <v>58</v>
      </c>
      <c r="I341" s="3" t="s">
        <v>58</v>
      </c>
      <c r="J341" s="3" t="s">
        <v>60</v>
      </c>
      <c r="K341" s="2" t="s">
        <v>2960</v>
      </c>
      <c r="L341" s="2" t="s">
        <v>2961</v>
      </c>
      <c r="M341" s="3" t="s">
        <v>829</v>
      </c>
      <c r="N341" s="2" t="s">
        <v>1606</v>
      </c>
      <c r="O341" s="3" t="s">
        <v>64</v>
      </c>
      <c r="P341" s="3" t="s">
        <v>83</v>
      </c>
      <c r="R341" s="3" t="s">
        <v>1907</v>
      </c>
      <c r="S341" s="4">
        <v>3</v>
      </c>
      <c r="T341" s="4">
        <v>3</v>
      </c>
      <c r="U341" s="5" t="s">
        <v>2962</v>
      </c>
      <c r="V341" s="5" t="s">
        <v>2962</v>
      </c>
      <c r="W341" s="5" t="s">
        <v>2963</v>
      </c>
      <c r="X341" s="5" t="s">
        <v>2963</v>
      </c>
      <c r="Y341" s="4">
        <v>205</v>
      </c>
      <c r="Z341" s="4">
        <v>152</v>
      </c>
      <c r="AA341" s="4">
        <v>506</v>
      </c>
      <c r="AB341" s="4">
        <v>1</v>
      </c>
      <c r="AC341" s="4">
        <v>6</v>
      </c>
      <c r="AD341" s="4">
        <v>8</v>
      </c>
      <c r="AE341" s="4">
        <v>29</v>
      </c>
      <c r="AF341" s="4">
        <v>3</v>
      </c>
      <c r="AG341" s="4">
        <v>10</v>
      </c>
      <c r="AH341" s="4">
        <v>4</v>
      </c>
      <c r="AI341" s="4">
        <v>6</v>
      </c>
      <c r="AJ341" s="4">
        <v>4</v>
      </c>
      <c r="AK341" s="4">
        <v>13</v>
      </c>
      <c r="AL341" s="4">
        <v>0</v>
      </c>
      <c r="AM341" s="4">
        <v>5</v>
      </c>
      <c r="AN341" s="4">
        <v>0</v>
      </c>
      <c r="AO341" s="4">
        <v>0</v>
      </c>
      <c r="AP341" s="3" t="s">
        <v>58</v>
      </c>
      <c r="AQ341" s="3" t="s">
        <v>69</v>
      </c>
      <c r="AR341" s="6" t="str">
        <f>HYPERLINK("http://catalog.hathitrust.org/Record/000400057","HathiTrust Record")</f>
        <v>HathiTrust Record</v>
      </c>
      <c r="AS341" s="6" t="str">
        <f>HYPERLINK("https://creighton-primo.hosted.exlibrisgroup.com/primo-explore/search?tab=default_tab&amp;search_scope=EVERYTHING&amp;vid=01CRU&amp;lang=en_US&amp;offset=0&amp;query=any,contains,991001107279702656","Catalog Record")</f>
        <v>Catalog Record</v>
      </c>
      <c r="AT341" s="6" t="str">
        <f>HYPERLINK("http://www.worldcat.org/oclc/13063030","WorldCat Record")</f>
        <v>WorldCat Record</v>
      </c>
    </row>
    <row r="342" spans="1:46" ht="40.5" customHeight="1" x14ac:dyDescent="0.25">
      <c r="A342" s="8" t="s">
        <v>58</v>
      </c>
      <c r="B342" s="2" t="s">
        <v>2964</v>
      </c>
      <c r="C342" s="2" t="s">
        <v>2965</v>
      </c>
      <c r="D342" s="2" t="s">
        <v>2966</v>
      </c>
      <c r="F342" s="3" t="s">
        <v>58</v>
      </c>
      <c r="G342" s="3" t="s">
        <v>59</v>
      </c>
      <c r="H342" s="3" t="s">
        <v>58</v>
      </c>
      <c r="I342" s="3" t="s">
        <v>58</v>
      </c>
      <c r="J342" s="3" t="s">
        <v>60</v>
      </c>
      <c r="L342" s="2" t="s">
        <v>2967</v>
      </c>
      <c r="M342" s="3" t="s">
        <v>63</v>
      </c>
      <c r="O342" s="3" t="s">
        <v>64</v>
      </c>
      <c r="P342" s="3" t="s">
        <v>939</v>
      </c>
      <c r="R342" s="3" t="s">
        <v>1907</v>
      </c>
      <c r="S342" s="4">
        <v>6</v>
      </c>
      <c r="T342" s="4">
        <v>6</v>
      </c>
      <c r="U342" s="5" t="s">
        <v>2968</v>
      </c>
      <c r="V342" s="5" t="s">
        <v>2968</v>
      </c>
      <c r="W342" s="5" t="s">
        <v>2818</v>
      </c>
      <c r="X342" s="5" t="s">
        <v>2818</v>
      </c>
      <c r="Y342" s="4">
        <v>119</v>
      </c>
      <c r="Z342" s="4">
        <v>92</v>
      </c>
      <c r="AA342" s="4">
        <v>94</v>
      </c>
      <c r="AB342" s="4">
        <v>1</v>
      </c>
      <c r="AC342" s="4">
        <v>1</v>
      </c>
      <c r="AD342" s="4">
        <v>1</v>
      </c>
      <c r="AE342" s="4">
        <v>1</v>
      </c>
      <c r="AF342" s="4">
        <v>0</v>
      </c>
      <c r="AG342" s="4">
        <v>0</v>
      </c>
      <c r="AH342" s="4">
        <v>1</v>
      </c>
      <c r="AI342" s="4">
        <v>1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3" t="s">
        <v>58</v>
      </c>
      <c r="AQ342" s="3" t="s">
        <v>69</v>
      </c>
      <c r="AR342" s="6" t="str">
        <f>HYPERLINK("http://catalog.hathitrust.org/Record/000285112","HathiTrust Record")</f>
        <v>HathiTrust Record</v>
      </c>
      <c r="AS342" s="6" t="str">
        <f>HYPERLINK("https://creighton-primo.hosted.exlibrisgroup.com/primo-explore/search?tab=default_tab&amp;search_scope=EVERYTHING&amp;vid=01CRU&amp;lang=en_US&amp;offset=0&amp;query=any,contains,991001106349702656","Catalog Record")</f>
        <v>Catalog Record</v>
      </c>
      <c r="AT342" s="6" t="str">
        <f>HYPERLINK("http://www.worldcat.org/oclc/9828315","WorldCat Record")</f>
        <v>WorldCat Record</v>
      </c>
    </row>
    <row r="343" spans="1:46" ht="40.5" customHeight="1" x14ac:dyDescent="0.25">
      <c r="A343" s="8" t="s">
        <v>58</v>
      </c>
      <c r="B343" s="2" t="s">
        <v>2969</v>
      </c>
      <c r="C343" s="2" t="s">
        <v>2970</v>
      </c>
      <c r="D343" s="2" t="s">
        <v>2971</v>
      </c>
      <c r="F343" s="3" t="s">
        <v>58</v>
      </c>
      <c r="G343" s="3" t="s">
        <v>59</v>
      </c>
      <c r="H343" s="3" t="s">
        <v>58</v>
      </c>
      <c r="I343" s="3" t="s">
        <v>58</v>
      </c>
      <c r="J343" s="3" t="s">
        <v>60</v>
      </c>
      <c r="L343" s="2" t="s">
        <v>2972</v>
      </c>
      <c r="M343" s="3" t="s">
        <v>2263</v>
      </c>
      <c r="N343" s="2" t="s">
        <v>271</v>
      </c>
      <c r="O343" s="3" t="s">
        <v>64</v>
      </c>
      <c r="P343" s="3" t="s">
        <v>97</v>
      </c>
      <c r="R343" s="3" t="s">
        <v>1907</v>
      </c>
      <c r="S343" s="4">
        <v>20</v>
      </c>
      <c r="T343" s="4">
        <v>20</v>
      </c>
      <c r="U343" s="5" t="s">
        <v>2973</v>
      </c>
      <c r="V343" s="5" t="s">
        <v>2973</v>
      </c>
      <c r="W343" s="5" t="s">
        <v>2974</v>
      </c>
      <c r="X343" s="5" t="s">
        <v>2974</v>
      </c>
      <c r="Y343" s="4">
        <v>202</v>
      </c>
      <c r="Z343" s="4">
        <v>150</v>
      </c>
      <c r="AA343" s="4">
        <v>211</v>
      </c>
      <c r="AB343" s="4">
        <v>1</v>
      </c>
      <c r="AC343" s="4">
        <v>2</v>
      </c>
      <c r="AD343" s="4">
        <v>4</v>
      </c>
      <c r="AE343" s="4">
        <v>5</v>
      </c>
      <c r="AF343" s="4">
        <v>2</v>
      </c>
      <c r="AG343" s="4">
        <v>2</v>
      </c>
      <c r="AH343" s="4">
        <v>2</v>
      </c>
      <c r="AI343" s="4">
        <v>2</v>
      </c>
      <c r="AJ343" s="4">
        <v>2</v>
      </c>
      <c r="AK343" s="4">
        <v>2</v>
      </c>
      <c r="AL343" s="4">
        <v>0</v>
      </c>
      <c r="AM343" s="4">
        <v>1</v>
      </c>
      <c r="AN343" s="4">
        <v>0</v>
      </c>
      <c r="AO343" s="4">
        <v>0</v>
      </c>
      <c r="AP343" s="3" t="s">
        <v>58</v>
      </c>
      <c r="AQ343" s="3" t="s">
        <v>69</v>
      </c>
      <c r="AR343" s="6" t="str">
        <f>HYPERLINK("http://catalog.hathitrust.org/Record/003144431","HathiTrust Record")</f>
        <v>HathiTrust Record</v>
      </c>
      <c r="AS343" s="6" t="str">
        <f>HYPERLINK("https://creighton-primo.hosted.exlibrisgroup.com/primo-explore/search?tab=default_tab&amp;search_scope=EVERYTHING&amp;vid=01CRU&amp;lang=en_US&amp;offset=0&amp;query=any,contains,991000840039702656","Catalog Record")</f>
        <v>Catalog Record</v>
      </c>
      <c r="AT343" s="6" t="str">
        <f>HYPERLINK("http://www.worldcat.org/oclc/35928653","WorldCat Record")</f>
        <v>WorldCat Record</v>
      </c>
    </row>
    <row r="344" spans="1:46" ht="40.5" customHeight="1" x14ac:dyDescent="0.25">
      <c r="A344" s="8" t="s">
        <v>58</v>
      </c>
      <c r="B344" s="2" t="s">
        <v>2975</v>
      </c>
      <c r="C344" s="2" t="s">
        <v>2976</v>
      </c>
      <c r="D344" s="2" t="s">
        <v>2977</v>
      </c>
      <c r="E344" s="3" t="s">
        <v>1119</v>
      </c>
      <c r="F344" s="3" t="s">
        <v>69</v>
      </c>
      <c r="G344" s="3" t="s">
        <v>59</v>
      </c>
      <c r="H344" s="3" t="s">
        <v>58</v>
      </c>
      <c r="I344" s="3" t="s">
        <v>69</v>
      </c>
      <c r="J344" s="3" t="s">
        <v>2015</v>
      </c>
      <c r="L344" s="2" t="s">
        <v>2978</v>
      </c>
      <c r="M344" s="3" t="s">
        <v>676</v>
      </c>
      <c r="N344" s="2" t="s">
        <v>271</v>
      </c>
      <c r="O344" s="3" t="s">
        <v>64</v>
      </c>
      <c r="P344" s="3" t="s">
        <v>113</v>
      </c>
      <c r="R344" s="3" t="s">
        <v>1907</v>
      </c>
      <c r="S344" s="4">
        <v>10</v>
      </c>
      <c r="T344" s="4">
        <v>16</v>
      </c>
      <c r="U344" s="5" t="s">
        <v>2979</v>
      </c>
      <c r="V344" s="5" t="s">
        <v>2980</v>
      </c>
      <c r="W344" s="5" t="s">
        <v>2981</v>
      </c>
      <c r="X344" s="5" t="s">
        <v>2981</v>
      </c>
      <c r="Y344" s="4">
        <v>172</v>
      </c>
      <c r="Z344" s="4">
        <v>117</v>
      </c>
      <c r="AA344" s="4">
        <v>428</v>
      </c>
      <c r="AB344" s="4">
        <v>1</v>
      </c>
      <c r="AC344" s="4">
        <v>4</v>
      </c>
      <c r="AD344" s="4">
        <v>0</v>
      </c>
      <c r="AE344" s="4">
        <v>12</v>
      </c>
      <c r="AF344" s="4">
        <v>0</v>
      </c>
      <c r="AG344" s="4">
        <v>3</v>
      </c>
      <c r="AH344" s="4">
        <v>0</v>
      </c>
      <c r="AI344" s="4">
        <v>3</v>
      </c>
      <c r="AJ344" s="4">
        <v>0</v>
      </c>
      <c r="AK344" s="4">
        <v>6</v>
      </c>
      <c r="AL344" s="4">
        <v>0</v>
      </c>
      <c r="AM344" s="4">
        <v>3</v>
      </c>
      <c r="AN344" s="4">
        <v>0</v>
      </c>
      <c r="AO344" s="4">
        <v>0</v>
      </c>
      <c r="AP344" s="3" t="s">
        <v>58</v>
      </c>
      <c r="AQ344" s="3" t="s">
        <v>69</v>
      </c>
      <c r="AR344" s="6" t="str">
        <f>HYPERLINK("http://catalog.hathitrust.org/Record/004207853","HathiTrust Record")</f>
        <v>HathiTrust Record</v>
      </c>
      <c r="AS344" s="6" t="str">
        <f>HYPERLINK("https://creighton-primo.hosted.exlibrisgroup.com/primo-explore/search?tab=default_tab&amp;search_scope=EVERYTHING&amp;vid=01CRU&amp;lang=en_US&amp;offset=0&amp;query=any,contains,991000348909702656","Catalog Record")</f>
        <v>Catalog Record</v>
      </c>
      <c r="AT344" s="6" t="str">
        <f>HYPERLINK("http://www.worldcat.org/oclc/46944781","WorldCat Record")</f>
        <v>WorldCat Record</v>
      </c>
    </row>
    <row r="345" spans="1:46" ht="40.5" customHeight="1" x14ac:dyDescent="0.25">
      <c r="A345" s="8" t="s">
        <v>58</v>
      </c>
      <c r="B345" s="2" t="s">
        <v>2975</v>
      </c>
      <c r="C345" s="2" t="s">
        <v>2976</v>
      </c>
      <c r="D345" s="2" t="s">
        <v>2977</v>
      </c>
      <c r="E345" s="3" t="s">
        <v>793</v>
      </c>
      <c r="F345" s="3" t="s">
        <v>69</v>
      </c>
      <c r="G345" s="3" t="s">
        <v>59</v>
      </c>
      <c r="H345" s="3" t="s">
        <v>58</v>
      </c>
      <c r="I345" s="3" t="s">
        <v>69</v>
      </c>
      <c r="J345" s="3" t="s">
        <v>2015</v>
      </c>
      <c r="L345" s="2" t="s">
        <v>2978</v>
      </c>
      <c r="M345" s="3" t="s">
        <v>676</v>
      </c>
      <c r="N345" s="2" t="s">
        <v>271</v>
      </c>
      <c r="O345" s="3" t="s">
        <v>64</v>
      </c>
      <c r="P345" s="3" t="s">
        <v>113</v>
      </c>
      <c r="R345" s="3" t="s">
        <v>1907</v>
      </c>
      <c r="S345" s="4">
        <v>6</v>
      </c>
      <c r="T345" s="4">
        <v>16</v>
      </c>
      <c r="U345" s="5" t="s">
        <v>2980</v>
      </c>
      <c r="V345" s="5" t="s">
        <v>2980</v>
      </c>
      <c r="W345" s="5" t="s">
        <v>2981</v>
      </c>
      <c r="X345" s="5" t="s">
        <v>2981</v>
      </c>
      <c r="Y345" s="4">
        <v>172</v>
      </c>
      <c r="Z345" s="4">
        <v>117</v>
      </c>
      <c r="AA345" s="4">
        <v>428</v>
      </c>
      <c r="AB345" s="4">
        <v>1</v>
      </c>
      <c r="AC345" s="4">
        <v>4</v>
      </c>
      <c r="AD345" s="4">
        <v>0</v>
      </c>
      <c r="AE345" s="4">
        <v>12</v>
      </c>
      <c r="AF345" s="4">
        <v>0</v>
      </c>
      <c r="AG345" s="4">
        <v>3</v>
      </c>
      <c r="AH345" s="4">
        <v>0</v>
      </c>
      <c r="AI345" s="4">
        <v>3</v>
      </c>
      <c r="AJ345" s="4">
        <v>0</v>
      </c>
      <c r="AK345" s="4">
        <v>6</v>
      </c>
      <c r="AL345" s="4">
        <v>0</v>
      </c>
      <c r="AM345" s="4">
        <v>3</v>
      </c>
      <c r="AN345" s="4">
        <v>0</v>
      </c>
      <c r="AO345" s="4">
        <v>0</v>
      </c>
      <c r="AP345" s="3" t="s">
        <v>58</v>
      </c>
      <c r="AQ345" s="3" t="s">
        <v>69</v>
      </c>
      <c r="AR345" s="6" t="str">
        <f>HYPERLINK("http://catalog.hathitrust.org/Record/004207853","HathiTrust Record")</f>
        <v>HathiTrust Record</v>
      </c>
      <c r="AS345" s="6" t="str">
        <f>HYPERLINK("https://creighton-primo.hosted.exlibrisgroup.com/primo-explore/search?tab=default_tab&amp;search_scope=EVERYTHING&amp;vid=01CRU&amp;lang=en_US&amp;offset=0&amp;query=any,contains,991000348909702656","Catalog Record")</f>
        <v>Catalog Record</v>
      </c>
      <c r="AT345" s="6" t="str">
        <f>HYPERLINK("http://www.worldcat.org/oclc/46944781","WorldCat Record")</f>
        <v>WorldCat Record</v>
      </c>
    </row>
    <row r="346" spans="1:46" ht="40.5" customHeight="1" x14ac:dyDescent="0.25">
      <c r="A346" s="8" t="s">
        <v>58</v>
      </c>
      <c r="B346" s="2" t="s">
        <v>2982</v>
      </c>
      <c r="C346" s="2" t="s">
        <v>2983</v>
      </c>
      <c r="D346" s="2" t="s">
        <v>2984</v>
      </c>
      <c r="F346" s="3" t="s">
        <v>58</v>
      </c>
      <c r="G346" s="3" t="s">
        <v>59</v>
      </c>
      <c r="H346" s="3" t="s">
        <v>58</v>
      </c>
      <c r="I346" s="3" t="s">
        <v>58</v>
      </c>
      <c r="J346" s="3" t="s">
        <v>59</v>
      </c>
      <c r="K346" s="2" t="s">
        <v>2985</v>
      </c>
      <c r="L346" s="2" t="s">
        <v>2986</v>
      </c>
      <c r="M346" s="3" t="s">
        <v>215</v>
      </c>
      <c r="O346" s="3" t="s">
        <v>64</v>
      </c>
      <c r="P346" s="3" t="s">
        <v>172</v>
      </c>
      <c r="R346" s="3" t="s">
        <v>1907</v>
      </c>
      <c r="S346" s="4">
        <v>2</v>
      </c>
      <c r="T346" s="4">
        <v>2</v>
      </c>
      <c r="U346" s="5" t="s">
        <v>2987</v>
      </c>
      <c r="V346" s="5" t="s">
        <v>2987</v>
      </c>
      <c r="W346" s="5" t="s">
        <v>2988</v>
      </c>
      <c r="X346" s="5" t="s">
        <v>2988</v>
      </c>
      <c r="Y346" s="4">
        <v>323</v>
      </c>
      <c r="Z346" s="4">
        <v>276</v>
      </c>
      <c r="AA346" s="4">
        <v>985</v>
      </c>
      <c r="AB346" s="4">
        <v>3</v>
      </c>
      <c r="AC346" s="4">
        <v>14</v>
      </c>
      <c r="AD346" s="4">
        <v>13</v>
      </c>
      <c r="AE346" s="4">
        <v>36</v>
      </c>
      <c r="AF346" s="4">
        <v>4</v>
      </c>
      <c r="AG346" s="4">
        <v>11</v>
      </c>
      <c r="AH346" s="4">
        <v>4</v>
      </c>
      <c r="AI346" s="4">
        <v>8</v>
      </c>
      <c r="AJ346" s="4">
        <v>7</v>
      </c>
      <c r="AK346" s="4">
        <v>11</v>
      </c>
      <c r="AL346" s="4">
        <v>2</v>
      </c>
      <c r="AM346" s="4">
        <v>12</v>
      </c>
      <c r="AN346" s="4">
        <v>0</v>
      </c>
      <c r="AO346" s="4">
        <v>1</v>
      </c>
      <c r="AP346" s="3" t="s">
        <v>58</v>
      </c>
      <c r="AQ346" s="3" t="s">
        <v>69</v>
      </c>
      <c r="AR346" s="6" t="str">
        <f>HYPERLINK("http://catalog.hathitrust.org/Record/004084850","HathiTrust Record")</f>
        <v>HathiTrust Record</v>
      </c>
      <c r="AS346" s="6" t="str">
        <f>HYPERLINK("https://creighton-primo.hosted.exlibrisgroup.com/primo-explore/search?tab=default_tab&amp;search_scope=EVERYTHING&amp;vid=01CRU&amp;lang=en_US&amp;offset=0&amp;query=any,contains,991000361189702656","Catalog Record")</f>
        <v>Catalog Record</v>
      </c>
      <c r="AT346" s="6" t="str">
        <f>HYPERLINK("http://www.worldcat.org/oclc/44040013","WorldCat Record")</f>
        <v>WorldCat Record</v>
      </c>
    </row>
    <row r="347" spans="1:46" ht="40.5" customHeight="1" x14ac:dyDescent="0.25">
      <c r="A347" s="8" t="s">
        <v>58</v>
      </c>
      <c r="B347" s="2" t="s">
        <v>2989</v>
      </c>
      <c r="C347" s="2" t="s">
        <v>2990</v>
      </c>
      <c r="D347" s="2" t="s">
        <v>2991</v>
      </c>
      <c r="E347" s="3" t="s">
        <v>2085</v>
      </c>
      <c r="F347" s="3" t="s">
        <v>58</v>
      </c>
      <c r="G347" s="3" t="s">
        <v>59</v>
      </c>
      <c r="H347" s="3" t="s">
        <v>58</v>
      </c>
      <c r="I347" s="3" t="s">
        <v>58</v>
      </c>
      <c r="J347" s="3" t="s">
        <v>60</v>
      </c>
      <c r="L347" s="2" t="s">
        <v>2992</v>
      </c>
      <c r="M347" s="3" t="s">
        <v>1864</v>
      </c>
      <c r="O347" s="3" t="s">
        <v>64</v>
      </c>
      <c r="P347" s="3" t="s">
        <v>83</v>
      </c>
      <c r="Q347" s="2" t="s">
        <v>2993</v>
      </c>
      <c r="R347" s="3" t="s">
        <v>1907</v>
      </c>
      <c r="S347" s="4">
        <v>1</v>
      </c>
      <c r="T347" s="4">
        <v>1</v>
      </c>
      <c r="U347" s="5" t="s">
        <v>2154</v>
      </c>
      <c r="V347" s="5" t="s">
        <v>2154</v>
      </c>
      <c r="W347" s="5" t="s">
        <v>2818</v>
      </c>
      <c r="X347" s="5" t="s">
        <v>2818</v>
      </c>
      <c r="Y347" s="4">
        <v>254</v>
      </c>
      <c r="Z347" s="4">
        <v>184</v>
      </c>
      <c r="AA347" s="4">
        <v>202</v>
      </c>
      <c r="AB347" s="4">
        <v>1</v>
      </c>
      <c r="AC347" s="4">
        <v>1</v>
      </c>
      <c r="AD347" s="4">
        <v>6</v>
      </c>
      <c r="AE347" s="4">
        <v>6</v>
      </c>
      <c r="AF347" s="4">
        <v>1</v>
      </c>
      <c r="AG347" s="4">
        <v>1</v>
      </c>
      <c r="AH347" s="4">
        <v>2</v>
      </c>
      <c r="AI347" s="4">
        <v>2</v>
      </c>
      <c r="AJ347" s="4">
        <v>5</v>
      </c>
      <c r="AK347" s="4">
        <v>5</v>
      </c>
      <c r="AL347" s="4">
        <v>0</v>
      </c>
      <c r="AM347" s="4">
        <v>0</v>
      </c>
      <c r="AN347" s="4">
        <v>0</v>
      </c>
      <c r="AO347" s="4">
        <v>0</v>
      </c>
      <c r="AP347" s="3" t="s">
        <v>58</v>
      </c>
      <c r="AQ347" s="3" t="s">
        <v>69</v>
      </c>
      <c r="AR347" s="6" t="str">
        <f>HYPERLINK("http://catalog.hathitrust.org/Record/000293409","HathiTrust Record")</f>
        <v>HathiTrust Record</v>
      </c>
      <c r="AS347" s="6" t="str">
        <f>HYPERLINK("https://creighton-primo.hosted.exlibrisgroup.com/primo-explore/search?tab=default_tab&amp;search_scope=EVERYTHING&amp;vid=01CRU&amp;lang=en_US&amp;offset=0&amp;query=any,contains,991001106759702656","Catalog Record")</f>
        <v>Catalog Record</v>
      </c>
      <c r="AT347" s="6" t="str">
        <f>HYPERLINK("http://www.worldcat.org/oclc/3167656","WorldCat Record")</f>
        <v>WorldCat Record</v>
      </c>
    </row>
    <row r="348" spans="1:46" ht="40.5" customHeight="1" x14ac:dyDescent="0.25">
      <c r="A348" s="8" t="s">
        <v>58</v>
      </c>
      <c r="B348" s="2" t="s">
        <v>2994</v>
      </c>
      <c r="C348" s="2" t="s">
        <v>2995</v>
      </c>
      <c r="D348" s="2" t="s">
        <v>2996</v>
      </c>
      <c r="E348" s="3" t="s">
        <v>2997</v>
      </c>
      <c r="F348" s="3" t="s">
        <v>58</v>
      </c>
      <c r="G348" s="3" t="s">
        <v>59</v>
      </c>
      <c r="H348" s="3" t="s">
        <v>58</v>
      </c>
      <c r="I348" s="3" t="s">
        <v>58</v>
      </c>
      <c r="J348" s="3" t="s">
        <v>60</v>
      </c>
      <c r="L348" s="2" t="s">
        <v>2998</v>
      </c>
      <c r="M348" s="3" t="s">
        <v>112</v>
      </c>
      <c r="O348" s="3" t="s">
        <v>64</v>
      </c>
      <c r="P348" s="3" t="s">
        <v>83</v>
      </c>
      <c r="Q348" s="2" t="s">
        <v>2999</v>
      </c>
      <c r="R348" s="3" t="s">
        <v>1907</v>
      </c>
      <c r="S348" s="4">
        <v>2</v>
      </c>
      <c r="T348" s="4">
        <v>2</v>
      </c>
      <c r="U348" s="5" t="s">
        <v>3000</v>
      </c>
      <c r="V348" s="5" t="s">
        <v>3000</v>
      </c>
      <c r="W348" s="5" t="s">
        <v>2818</v>
      </c>
      <c r="X348" s="5" t="s">
        <v>2818</v>
      </c>
      <c r="Y348" s="4">
        <v>168</v>
      </c>
      <c r="Z348" s="4">
        <v>117</v>
      </c>
      <c r="AA348" s="4">
        <v>141</v>
      </c>
      <c r="AB348" s="4">
        <v>2</v>
      </c>
      <c r="AC348" s="4">
        <v>2</v>
      </c>
      <c r="AD348" s="4">
        <v>3</v>
      </c>
      <c r="AE348" s="4">
        <v>4</v>
      </c>
      <c r="AF348" s="4">
        <v>1</v>
      </c>
      <c r="AG348" s="4">
        <v>2</v>
      </c>
      <c r="AH348" s="4">
        <v>1</v>
      </c>
      <c r="AI348" s="4">
        <v>1</v>
      </c>
      <c r="AJ348" s="4">
        <v>1</v>
      </c>
      <c r="AK348" s="4">
        <v>2</v>
      </c>
      <c r="AL348" s="4">
        <v>1</v>
      </c>
      <c r="AM348" s="4">
        <v>1</v>
      </c>
      <c r="AN348" s="4">
        <v>0</v>
      </c>
      <c r="AO348" s="4">
        <v>0</v>
      </c>
      <c r="AP348" s="3" t="s">
        <v>58</v>
      </c>
      <c r="AQ348" s="3" t="s">
        <v>69</v>
      </c>
      <c r="AR348" s="6" t="str">
        <f>HYPERLINK("http://catalog.hathitrust.org/Record/000089490","HathiTrust Record")</f>
        <v>HathiTrust Record</v>
      </c>
      <c r="AS348" s="6" t="str">
        <f>HYPERLINK("https://creighton-primo.hosted.exlibrisgroup.com/primo-explore/search?tab=default_tab&amp;search_scope=EVERYTHING&amp;vid=01CRU&amp;lang=en_US&amp;offset=0&amp;query=any,contains,991001106799702656","Catalog Record")</f>
        <v>Catalog Record</v>
      </c>
      <c r="AT348" s="6" t="str">
        <f>HYPERLINK("http://www.worldcat.org/oclc/3541734","WorldCat Record")</f>
        <v>WorldCat Record</v>
      </c>
    </row>
    <row r="349" spans="1:46" ht="40.5" customHeight="1" x14ac:dyDescent="0.25">
      <c r="A349" s="8" t="s">
        <v>58</v>
      </c>
      <c r="B349" s="2" t="s">
        <v>3001</v>
      </c>
      <c r="C349" s="2" t="s">
        <v>3002</v>
      </c>
      <c r="D349" s="2" t="s">
        <v>3003</v>
      </c>
      <c r="E349" s="3" t="s">
        <v>784</v>
      </c>
      <c r="F349" s="3" t="s">
        <v>58</v>
      </c>
      <c r="G349" s="3" t="s">
        <v>59</v>
      </c>
      <c r="H349" s="3" t="s">
        <v>58</v>
      </c>
      <c r="I349" s="3" t="s">
        <v>58</v>
      </c>
      <c r="J349" s="3" t="s">
        <v>60</v>
      </c>
      <c r="L349" s="2" t="s">
        <v>3004</v>
      </c>
      <c r="M349" s="3" t="s">
        <v>82</v>
      </c>
      <c r="O349" s="3" t="s">
        <v>64</v>
      </c>
      <c r="P349" s="3" t="s">
        <v>83</v>
      </c>
      <c r="Q349" s="2" t="s">
        <v>3005</v>
      </c>
      <c r="R349" s="3" t="s">
        <v>1907</v>
      </c>
      <c r="S349" s="4">
        <v>2</v>
      </c>
      <c r="T349" s="4">
        <v>2</v>
      </c>
      <c r="U349" s="5" t="s">
        <v>3006</v>
      </c>
      <c r="V349" s="5" t="s">
        <v>3006</v>
      </c>
      <c r="W349" s="5" t="s">
        <v>2818</v>
      </c>
      <c r="X349" s="5" t="s">
        <v>2818</v>
      </c>
      <c r="Y349" s="4">
        <v>201</v>
      </c>
      <c r="Z349" s="4">
        <v>144</v>
      </c>
      <c r="AA349" s="4">
        <v>165</v>
      </c>
      <c r="AB349" s="4">
        <v>3</v>
      </c>
      <c r="AC349" s="4">
        <v>3</v>
      </c>
      <c r="AD349" s="4">
        <v>4</v>
      </c>
      <c r="AE349" s="4">
        <v>5</v>
      </c>
      <c r="AF349" s="4">
        <v>1</v>
      </c>
      <c r="AG349" s="4">
        <v>2</v>
      </c>
      <c r="AH349" s="4">
        <v>1</v>
      </c>
      <c r="AI349" s="4">
        <v>1</v>
      </c>
      <c r="AJ349" s="4">
        <v>2</v>
      </c>
      <c r="AK349" s="4">
        <v>3</v>
      </c>
      <c r="AL349" s="4">
        <v>1</v>
      </c>
      <c r="AM349" s="4">
        <v>1</v>
      </c>
      <c r="AN349" s="4">
        <v>0</v>
      </c>
      <c r="AO349" s="4">
        <v>0</v>
      </c>
      <c r="AP349" s="3" t="s">
        <v>58</v>
      </c>
      <c r="AQ349" s="3" t="s">
        <v>69</v>
      </c>
      <c r="AR349" s="6" t="str">
        <f>HYPERLINK("http://catalog.hathitrust.org/Record/000260508","HathiTrust Record")</f>
        <v>HathiTrust Record</v>
      </c>
      <c r="AS349" s="6" t="str">
        <f>HYPERLINK("https://creighton-primo.hosted.exlibrisgroup.com/primo-explore/search?tab=default_tab&amp;search_scope=EVERYTHING&amp;vid=01CRU&amp;lang=en_US&amp;offset=0&amp;query=any,contains,991001106969702656","Catalog Record")</f>
        <v>Catalog Record</v>
      </c>
      <c r="AT349" s="6" t="str">
        <f>HYPERLINK("http://www.worldcat.org/oclc/4664619","WorldCat Record")</f>
        <v>WorldCat Record</v>
      </c>
    </row>
    <row r="350" spans="1:46" ht="40.5" customHeight="1" x14ac:dyDescent="0.25">
      <c r="A350" s="8" t="s">
        <v>58</v>
      </c>
      <c r="B350" s="2" t="s">
        <v>3007</v>
      </c>
      <c r="C350" s="2" t="s">
        <v>3008</v>
      </c>
      <c r="D350" s="2" t="s">
        <v>3009</v>
      </c>
      <c r="F350" s="3" t="s">
        <v>58</v>
      </c>
      <c r="G350" s="3" t="s">
        <v>59</v>
      </c>
      <c r="H350" s="3" t="s">
        <v>58</v>
      </c>
      <c r="I350" s="3" t="s">
        <v>58</v>
      </c>
      <c r="J350" s="3" t="s">
        <v>60</v>
      </c>
      <c r="L350" s="2" t="s">
        <v>2464</v>
      </c>
      <c r="M350" s="3" t="s">
        <v>1703</v>
      </c>
      <c r="O350" s="3" t="s">
        <v>64</v>
      </c>
      <c r="P350" s="3" t="s">
        <v>1501</v>
      </c>
      <c r="Q350" s="2" t="s">
        <v>3010</v>
      </c>
      <c r="R350" s="3" t="s">
        <v>1907</v>
      </c>
      <c r="S350" s="4">
        <v>0</v>
      </c>
      <c r="T350" s="4">
        <v>0</v>
      </c>
      <c r="U350" s="5" t="s">
        <v>2892</v>
      </c>
      <c r="V350" s="5" t="s">
        <v>2892</v>
      </c>
      <c r="W350" s="5" t="s">
        <v>2893</v>
      </c>
      <c r="X350" s="5" t="s">
        <v>2893</v>
      </c>
      <c r="Y350" s="4">
        <v>243</v>
      </c>
      <c r="Z350" s="4">
        <v>178</v>
      </c>
      <c r="AA350" s="4">
        <v>223</v>
      </c>
      <c r="AB350" s="4">
        <v>2</v>
      </c>
      <c r="AC350" s="4">
        <v>2</v>
      </c>
      <c r="AD350" s="4">
        <v>6</v>
      </c>
      <c r="AE350" s="4">
        <v>9</v>
      </c>
      <c r="AF350" s="4">
        <v>1</v>
      </c>
      <c r="AG350" s="4">
        <v>3</v>
      </c>
      <c r="AH350" s="4">
        <v>2</v>
      </c>
      <c r="AI350" s="4">
        <v>2</v>
      </c>
      <c r="AJ350" s="4">
        <v>3</v>
      </c>
      <c r="AK350" s="4">
        <v>6</v>
      </c>
      <c r="AL350" s="4">
        <v>1</v>
      </c>
      <c r="AM350" s="4">
        <v>1</v>
      </c>
      <c r="AN350" s="4">
        <v>0</v>
      </c>
      <c r="AO350" s="4">
        <v>0</v>
      </c>
      <c r="AP350" s="3" t="s">
        <v>58</v>
      </c>
      <c r="AQ350" s="3" t="s">
        <v>69</v>
      </c>
      <c r="AR350" s="6" t="str">
        <f>HYPERLINK("http://catalog.hathitrust.org/Record/004357009","HathiTrust Record")</f>
        <v>HathiTrust Record</v>
      </c>
      <c r="AS350" s="6" t="str">
        <f>HYPERLINK("https://creighton-primo.hosted.exlibrisgroup.com/primo-explore/search?tab=default_tab&amp;search_scope=EVERYTHING&amp;vid=01CRU&amp;lang=en_US&amp;offset=0&amp;query=any,contains,991000394099702656","Catalog Record")</f>
        <v>Catalog Record</v>
      </c>
      <c r="AT350" s="6" t="str">
        <f>HYPERLINK("http://www.worldcat.org/oclc/53091355","WorldCat Record")</f>
        <v>WorldCat Record</v>
      </c>
    </row>
    <row r="351" spans="1:46" ht="40.5" customHeight="1" x14ac:dyDescent="0.25">
      <c r="A351" s="8" t="s">
        <v>58</v>
      </c>
      <c r="B351" s="2" t="s">
        <v>3011</v>
      </c>
      <c r="C351" s="2" t="s">
        <v>3012</v>
      </c>
      <c r="D351" s="2" t="s">
        <v>3013</v>
      </c>
      <c r="F351" s="3" t="s">
        <v>58</v>
      </c>
      <c r="G351" s="3" t="s">
        <v>59</v>
      </c>
      <c r="H351" s="3" t="s">
        <v>58</v>
      </c>
      <c r="I351" s="3" t="s">
        <v>69</v>
      </c>
      <c r="J351" s="3" t="s">
        <v>60</v>
      </c>
      <c r="L351" s="2" t="s">
        <v>703</v>
      </c>
      <c r="M351" s="3" t="s">
        <v>185</v>
      </c>
      <c r="N351" s="2" t="s">
        <v>1606</v>
      </c>
      <c r="O351" s="3" t="s">
        <v>64</v>
      </c>
      <c r="P351" s="3" t="s">
        <v>83</v>
      </c>
      <c r="R351" s="3" t="s">
        <v>1907</v>
      </c>
      <c r="S351" s="4">
        <v>28</v>
      </c>
      <c r="T351" s="4">
        <v>28</v>
      </c>
      <c r="U351" s="5" t="s">
        <v>3014</v>
      </c>
      <c r="V351" s="5" t="s">
        <v>3014</v>
      </c>
      <c r="W351" s="5" t="s">
        <v>2937</v>
      </c>
      <c r="X351" s="5" t="s">
        <v>2937</v>
      </c>
      <c r="Y351" s="4">
        <v>435</v>
      </c>
      <c r="Z351" s="4">
        <v>317</v>
      </c>
      <c r="AA351" s="4">
        <v>1228</v>
      </c>
      <c r="AB351" s="4">
        <v>2</v>
      </c>
      <c r="AC351" s="4">
        <v>13</v>
      </c>
      <c r="AD351" s="4">
        <v>10</v>
      </c>
      <c r="AE351" s="4">
        <v>47</v>
      </c>
      <c r="AF351" s="4">
        <v>6</v>
      </c>
      <c r="AG351" s="4">
        <v>17</v>
      </c>
      <c r="AH351" s="4">
        <v>2</v>
      </c>
      <c r="AI351" s="4">
        <v>11</v>
      </c>
      <c r="AJ351" s="4">
        <v>2</v>
      </c>
      <c r="AK351" s="4">
        <v>13</v>
      </c>
      <c r="AL351" s="4">
        <v>1</v>
      </c>
      <c r="AM351" s="4">
        <v>10</v>
      </c>
      <c r="AN351" s="4">
        <v>0</v>
      </c>
      <c r="AO351" s="4">
        <v>1</v>
      </c>
      <c r="AP351" s="3" t="s">
        <v>58</v>
      </c>
      <c r="AQ351" s="3" t="s">
        <v>69</v>
      </c>
      <c r="AR351" s="6" t="str">
        <f>HYPERLINK("http://catalog.hathitrust.org/Record/002736683","HathiTrust Record")</f>
        <v>HathiTrust Record</v>
      </c>
      <c r="AS351" s="6" t="str">
        <f>HYPERLINK("https://creighton-primo.hosted.exlibrisgroup.com/primo-explore/search?tab=default_tab&amp;search_scope=EVERYTHING&amp;vid=01CRU&amp;lang=en_US&amp;offset=0&amp;query=any,contains,991000485709702656","Catalog Record")</f>
        <v>Catalog Record</v>
      </c>
      <c r="AT351" s="6" t="str">
        <f>HYPERLINK("http://www.worldcat.org/oclc/27728294","WorldCat Record")</f>
        <v>WorldCat Record</v>
      </c>
    </row>
    <row r="352" spans="1:46" ht="40.5" customHeight="1" x14ac:dyDescent="0.25">
      <c r="A352" s="8" t="s">
        <v>58</v>
      </c>
      <c r="B352" s="2" t="s">
        <v>3015</v>
      </c>
      <c r="C352" s="2" t="s">
        <v>3016</v>
      </c>
      <c r="D352" s="2" t="s">
        <v>3017</v>
      </c>
      <c r="F352" s="3" t="s">
        <v>58</v>
      </c>
      <c r="G352" s="3" t="s">
        <v>59</v>
      </c>
      <c r="H352" s="3" t="s">
        <v>58</v>
      </c>
      <c r="I352" s="3" t="s">
        <v>58</v>
      </c>
      <c r="J352" s="3" t="s">
        <v>60</v>
      </c>
      <c r="K352" s="2" t="s">
        <v>3018</v>
      </c>
      <c r="L352" s="2" t="s">
        <v>3019</v>
      </c>
      <c r="M352" s="3" t="s">
        <v>525</v>
      </c>
      <c r="N352" s="2" t="s">
        <v>271</v>
      </c>
      <c r="O352" s="3" t="s">
        <v>64</v>
      </c>
      <c r="P352" s="3" t="s">
        <v>186</v>
      </c>
      <c r="R352" s="3" t="s">
        <v>1907</v>
      </c>
      <c r="S352" s="4">
        <v>6</v>
      </c>
      <c r="T352" s="4">
        <v>6</v>
      </c>
      <c r="U352" s="5" t="s">
        <v>3020</v>
      </c>
      <c r="V352" s="5" t="s">
        <v>3020</v>
      </c>
      <c r="W352" s="5" t="s">
        <v>2171</v>
      </c>
      <c r="X352" s="5" t="s">
        <v>2171</v>
      </c>
      <c r="Y352" s="4">
        <v>289</v>
      </c>
      <c r="Z352" s="4">
        <v>188</v>
      </c>
      <c r="AA352" s="4">
        <v>317</v>
      </c>
      <c r="AB352" s="4">
        <v>2</v>
      </c>
      <c r="AC352" s="4">
        <v>3</v>
      </c>
      <c r="AD352" s="4">
        <v>9</v>
      </c>
      <c r="AE352" s="4">
        <v>17</v>
      </c>
      <c r="AF352" s="4">
        <v>3</v>
      </c>
      <c r="AG352" s="4">
        <v>6</v>
      </c>
      <c r="AH352" s="4">
        <v>3</v>
      </c>
      <c r="AI352" s="4">
        <v>4</v>
      </c>
      <c r="AJ352" s="4">
        <v>4</v>
      </c>
      <c r="AK352" s="4">
        <v>10</v>
      </c>
      <c r="AL352" s="4">
        <v>1</v>
      </c>
      <c r="AM352" s="4">
        <v>2</v>
      </c>
      <c r="AN352" s="4">
        <v>0</v>
      </c>
      <c r="AO352" s="4">
        <v>0</v>
      </c>
      <c r="AP352" s="3" t="s">
        <v>58</v>
      </c>
      <c r="AQ352" s="3" t="s">
        <v>69</v>
      </c>
      <c r="AR352" s="6" t="str">
        <f>HYPERLINK("http://catalog.hathitrust.org/Record/002589618","HathiTrust Record")</f>
        <v>HathiTrust Record</v>
      </c>
      <c r="AS352" s="6" t="str">
        <f>HYPERLINK("https://creighton-primo.hosted.exlibrisgroup.com/primo-explore/search?tab=default_tab&amp;search_scope=EVERYTHING&amp;vid=01CRU&amp;lang=en_US&amp;offset=0&amp;query=any,contains,991000670309702656","Catalog Record")</f>
        <v>Catalog Record</v>
      </c>
      <c r="AT352" s="6" t="str">
        <f>HYPERLINK("http://www.worldcat.org/oclc/23080929","WorldCat Record")</f>
        <v>WorldCat Record</v>
      </c>
    </row>
    <row r="353" spans="1:46" ht="40.5" customHeight="1" x14ac:dyDescent="0.25">
      <c r="A353" s="8" t="s">
        <v>58</v>
      </c>
      <c r="B353" s="2" t="s">
        <v>3021</v>
      </c>
      <c r="C353" s="2" t="s">
        <v>3022</v>
      </c>
      <c r="D353" s="2" t="s">
        <v>3023</v>
      </c>
      <c r="F353" s="3" t="s">
        <v>58</v>
      </c>
      <c r="G353" s="3" t="s">
        <v>59</v>
      </c>
      <c r="H353" s="3" t="s">
        <v>58</v>
      </c>
      <c r="I353" s="3" t="s">
        <v>58</v>
      </c>
      <c r="J353" s="3" t="s">
        <v>60</v>
      </c>
      <c r="L353" s="2" t="s">
        <v>3024</v>
      </c>
      <c r="M353" s="3" t="s">
        <v>112</v>
      </c>
      <c r="N353" s="2" t="s">
        <v>301</v>
      </c>
      <c r="O353" s="3" t="s">
        <v>64</v>
      </c>
      <c r="P353" s="3" t="s">
        <v>113</v>
      </c>
      <c r="R353" s="3" t="s">
        <v>1907</v>
      </c>
      <c r="S353" s="4">
        <v>6</v>
      </c>
      <c r="T353" s="4">
        <v>6</v>
      </c>
      <c r="U353" s="5" t="s">
        <v>3025</v>
      </c>
      <c r="V353" s="5" t="s">
        <v>3025</v>
      </c>
      <c r="W353" s="5" t="s">
        <v>1943</v>
      </c>
      <c r="X353" s="5" t="s">
        <v>1943</v>
      </c>
      <c r="Y353" s="4">
        <v>227</v>
      </c>
      <c r="Z353" s="4">
        <v>150</v>
      </c>
      <c r="AA353" s="4">
        <v>152</v>
      </c>
      <c r="AB353" s="4">
        <v>2</v>
      </c>
      <c r="AC353" s="4">
        <v>2</v>
      </c>
      <c r="AD353" s="4">
        <v>3</v>
      </c>
      <c r="AE353" s="4">
        <v>4</v>
      </c>
      <c r="AF353" s="4">
        <v>0</v>
      </c>
      <c r="AG353" s="4">
        <v>0</v>
      </c>
      <c r="AH353" s="4">
        <v>0</v>
      </c>
      <c r="AI353" s="4">
        <v>1</v>
      </c>
      <c r="AJ353" s="4">
        <v>2</v>
      </c>
      <c r="AK353" s="4">
        <v>3</v>
      </c>
      <c r="AL353" s="4">
        <v>1</v>
      </c>
      <c r="AM353" s="4">
        <v>1</v>
      </c>
      <c r="AN353" s="4">
        <v>0</v>
      </c>
      <c r="AO353" s="4">
        <v>0</v>
      </c>
      <c r="AP353" s="3" t="s">
        <v>58</v>
      </c>
      <c r="AQ353" s="3" t="s">
        <v>69</v>
      </c>
      <c r="AR353" s="6" t="str">
        <f>HYPERLINK("http://catalog.hathitrust.org/Record/000027918","HathiTrust Record")</f>
        <v>HathiTrust Record</v>
      </c>
      <c r="AS353" s="6" t="str">
        <f>HYPERLINK("https://creighton-primo.hosted.exlibrisgroup.com/primo-explore/search?tab=default_tab&amp;search_scope=EVERYTHING&amp;vid=01CRU&amp;lang=en_US&amp;offset=0&amp;query=any,contains,991001106389702656","Catalog Record")</f>
        <v>Catalog Record</v>
      </c>
      <c r="AT353" s="6" t="str">
        <f>HYPERLINK("http://www.worldcat.org/oclc/6145427","WorldCat Record")</f>
        <v>WorldCat Record</v>
      </c>
    </row>
    <row r="354" spans="1:46" ht="40.5" customHeight="1" x14ac:dyDescent="0.25">
      <c r="A354" s="8" t="s">
        <v>58</v>
      </c>
      <c r="B354" s="2" t="s">
        <v>3026</v>
      </c>
      <c r="C354" s="2" t="s">
        <v>3027</v>
      </c>
      <c r="D354" s="2" t="s">
        <v>3028</v>
      </c>
      <c r="F354" s="3" t="s">
        <v>58</v>
      </c>
      <c r="G354" s="3" t="s">
        <v>59</v>
      </c>
      <c r="H354" s="3" t="s">
        <v>58</v>
      </c>
      <c r="I354" s="3" t="s">
        <v>58</v>
      </c>
      <c r="J354" s="3" t="s">
        <v>60</v>
      </c>
      <c r="K354" s="2" t="s">
        <v>3029</v>
      </c>
      <c r="L354" s="2" t="s">
        <v>3030</v>
      </c>
      <c r="M354" s="3" t="s">
        <v>155</v>
      </c>
      <c r="N354" s="2" t="s">
        <v>156</v>
      </c>
      <c r="O354" s="3" t="s">
        <v>64</v>
      </c>
      <c r="P354" s="3" t="s">
        <v>186</v>
      </c>
      <c r="R354" s="3" t="s">
        <v>1907</v>
      </c>
      <c r="S354" s="4">
        <v>3</v>
      </c>
      <c r="T354" s="4">
        <v>3</v>
      </c>
      <c r="U354" s="5" t="s">
        <v>3031</v>
      </c>
      <c r="V354" s="5" t="s">
        <v>3031</v>
      </c>
      <c r="W354" s="5" t="s">
        <v>2433</v>
      </c>
      <c r="X354" s="5" t="s">
        <v>2433</v>
      </c>
      <c r="Y354" s="4">
        <v>152</v>
      </c>
      <c r="Z354" s="4">
        <v>126</v>
      </c>
      <c r="AA354" s="4">
        <v>146</v>
      </c>
      <c r="AB354" s="4">
        <v>2</v>
      </c>
      <c r="AC354" s="4">
        <v>2</v>
      </c>
      <c r="AD354" s="4">
        <v>3</v>
      </c>
      <c r="AE354" s="4">
        <v>4</v>
      </c>
      <c r="AF354" s="4">
        <v>0</v>
      </c>
      <c r="AG354" s="4">
        <v>1</v>
      </c>
      <c r="AH354" s="4">
        <v>1</v>
      </c>
      <c r="AI354" s="4">
        <v>1</v>
      </c>
      <c r="AJ354" s="4">
        <v>2</v>
      </c>
      <c r="AK354" s="4">
        <v>2</v>
      </c>
      <c r="AL354" s="4">
        <v>1</v>
      </c>
      <c r="AM354" s="4">
        <v>1</v>
      </c>
      <c r="AN354" s="4">
        <v>0</v>
      </c>
      <c r="AO354" s="4">
        <v>0</v>
      </c>
      <c r="AP354" s="3" t="s">
        <v>58</v>
      </c>
      <c r="AQ354" s="3" t="s">
        <v>69</v>
      </c>
      <c r="AR354" s="6" t="str">
        <f>HYPERLINK("http://catalog.hathitrust.org/Record/001577064","HathiTrust Record")</f>
        <v>HathiTrust Record</v>
      </c>
      <c r="AS354" s="6" t="str">
        <f>HYPERLINK("https://creighton-primo.hosted.exlibrisgroup.com/primo-explore/search?tab=default_tab&amp;search_scope=EVERYTHING&amp;vid=01CRU&amp;lang=en_US&amp;offset=0&amp;query=any,contains,991001106229702656","Catalog Record")</f>
        <v>Catalog Record</v>
      </c>
      <c r="AT354" s="6" t="str">
        <f>HYPERLINK("http://www.worldcat.org/oclc/612078","WorldCat Record")</f>
        <v>WorldCat Record</v>
      </c>
    </row>
    <row r="355" spans="1:46" ht="40.5" customHeight="1" x14ac:dyDescent="0.25">
      <c r="A355" s="8" t="s">
        <v>58</v>
      </c>
      <c r="B355" s="2" t="s">
        <v>3032</v>
      </c>
      <c r="C355" s="2" t="s">
        <v>3033</v>
      </c>
      <c r="D355" s="2" t="s">
        <v>3034</v>
      </c>
      <c r="F355" s="3" t="s">
        <v>58</v>
      </c>
      <c r="G355" s="3" t="s">
        <v>59</v>
      </c>
      <c r="H355" s="3" t="s">
        <v>58</v>
      </c>
      <c r="I355" s="3" t="s">
        <v>58</v>
      </c>
      <c r="J355" s="3" t="s">
        <v>60</v>
      </c>
      <c r="L355" s="2" t="s">
        <v>3035</v>
      </c>
      <c r="M355" s="3" t="s">
        <v>870</v>
      </c>
      <c r="N355" s="2" t="s">
        <v>271</v>
      </c>
      <c r="O355" s="3" t="s">
        <v>64</v>
      </c>
      <c r="P355" s="3" t="s">
        <v>113</v>
      </c>
      <c r="R355" s="3" t="s">
        <v>1907</v>
      </c>
      <c r="S355" s="4">
        <v>3</v>
      </c>
      <c r="T355" s="4">
        <v>3</v>
      </c>
      <c r="U355" s="5" t="s">
        <v>2943</v>
      </c>
      <c r="V355" s="5" t="s">
        <v>2943</v>
      </c>
      <c r="W355" s="5" t="s">
        <v>3036</v>
      </c>
      <c r="X355" s="5" t="s">
        <v>3036</v>
      </c>
      <c r="Y355" s="4">
        <v>253</v>
      </c>
      <c r="Z355" s="4">
        <v>168</v>
      </c>
      <c r="AA355" s="4">
        <v>305</v>
      </c>
      <c r="AB355" s="4">
        <v>4</v>
      </c>
      <c r="AC355" s="4">
        <v>5</v>
      </c>
      <c r="AD355" s="4">
        <v>9</v>
      </c>
      <c r="AE355" s="4">
        <v>15</v>
      </c>
      <c r="AF355" s="4">
        <v>2</v>
      </c>
      <c r="AG355" s="4">
        <v>5</v>
      </c>
      <c r="AH355" s="4">
        <v>1</v>
      </c>
      <c r="AI355" s="4">
        <v>3</v>
      </c>
      <c r="AJ355" s="4">
        <v>6</v>
      </c>
      <c r="AK355" s="4">
        <v>9</v>
      </c>
      <c r="AL355" s="4">
        <v>3</v>
      </c>
      <c r="AM355" s="4">
        <v>4</v>
      </c>
      <c r="AN355" s="4">
        <v>0</v>
      </c>
      <c r="AO355" s="4">
        <v>0</v>
      </c>
      <c r="AP355" s="3" t="s">
        <v>58</v>
      </c>
      <c r="AQ355" s="3" t="s">
        <v>58</v>
      </c>
      <c r="AS355" s="6" t="str">
        <f>HYPERLINK("https://creighton-primo.hosted.exlibrisgroup.com/primo-explore/search?tab=default_tab&amp;search_scope=EVERYTHING&amp;vid=01CRU&amp;lang=en_US&amp;offset=0&amp;query=any,contains,991001106059702656","Catalog Record")</f>
        <v>Catalog Record</v>
      </c>
      <c r="AT355" s="6" t="str">
        <f>HYPERLINK("http://www.worldcat.org/oclc/7978607","WorldCat Record")</f>
        <v>WorldCat Record</v>
      </c>
    </row>
    <row r="356" spans="1:46" ht="40.5" customHeight="1" x14ac:dyDescent="0.25">
      <c r="A356" s="8" t="s">
        <v>58</v>
      </c>
      <c r="B356" s="2" t="s">
        <v>3037</v>
      </c>
      <c r="C356" s="2" t="s">
        <v>3038</v>
      </c>
      <c r="D356" s="2" t="s">
        <v>3039</v>
      </c>
      <c r="F356" s="3" t="s">
        <v>58</v>
      </c>
      <c r="G356" s="3" t="s">
        <v>59</v>
      </c>
      <c r="H356" s="3" t="s">
        <v>58</v>
      </c>
      <c r="I356" s="3" t="s">
        <v>58</v>
      </c>
      <c r="J356" s="3" t="s">
        <v>60</v>
      </c>
      <c r="L356" s="2" t="s">
        <v>3040</v>
      </c>
      <c r="M356" s="3" t="s">
        <v>1980</v>
      </c>
      <c r="O356" s="3" t="s">
        <v>64</v>
      </c>
      <c r="P356" s="3" t="s">
        <v>939</v>
      </c>
      <c r="R356" s="3" t="s">
        <v>1907</v>
      </c>
      <c r="S356" s="4">
        <v>12</v>
      </c>
      <c r="T356" s="4">
        <v>12</v>
      </c>
      <c r="U356" s="5" t="s">
        <v>443</v>
      </c>
      <c r="V356" s="5" t="s">
        <v>443</v>
      </c>
      <c r="W356" s="5" t="s">
        <v>3036</v>
      </c>
      <c r="X356" s="5" t="s">
        <v>3036</v>
      </c>
      <c r="Y356" s="4">
        <v>118</v>
      </c>
      <c r="Z356" s="4">
        <v>88</v>
      </c>
      <c r="AA356" s="4">
        <v>90</v>
      </c>
      <c r="AB356" s="4">
        <v>1</v>
      </c>
      <c r="AC356" s="4">
        <v>1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</v>
      </c>
      <c r="AN356" s="4">
        <v>0</v>
      </c>
      <c r="AO356" s="4">
        <v>0</v>
      </c>
      <c r="AP356" s="3" t="s">
        <v>58</v>
      </c>
      <c r="AQ356" s="3" t="s">
        <v>69</v>
      </c>
      <c r="AR356" s="6" t="str">
        <f>HYPERLINK("http://catalog.hathitrust.org/Record/000241531","HathiTrust Record")</f>
        <v>HathiTrust Record</v>
      </c>
      <c r="AS356" s="6" t="str">
        <f>HYPERLINK("https://creighton-primo.hosted.exlibrisgroup.com/primo-explore/search?tab=default_tab&amp;search_scope=EVERYTHING&amp;vid=01CRU&amp;lang=en_US&amp;offset=0&amp;query=any,contains,991001106029702656","Catalog Record")</f>
        <v>Catalog Record</v>
      </c>
      <c r="AT356" s="6" t="str">
        <f>HYPERLINK("http://www.worldcat.org/oclc/9256006","WorldCat Record")</f>
        <v>WorldCat Record</v>
      </c>
    </row>
    <row r="357" spans="1:46" ht="40.5" customHeight="1" x14ac:dyDescent="0.25">
      <c r="A357" s="8" t="s">
        <v>58</v>
      </c>
      <c r="B357" s="2" t="s">
        <v>3041</v>
      </c>
      <c r="C357" s="2" t="s">
        <v>3042</v>
      </c>
      <c r="D357" s="2" t="s">
        <v>3043</v>
      </c>
      <c r="F357" s="3" t="s">
        <v>58</v>
      </c>
      <c r="G357" s="3" t="s">
        <v>59</v>
      </c>
      <c r="H357" s="3" t="s">
        <v>58</v>
      </c>
      <c r="I357" s="3" t="s">
        <v>69</v>
      </c>
      <c r="J357" s="3" t="s">
        <v>60</v>
      </c>
      <c r="L357" s="2" t="s">
        <v>3044</v>
      </c>
      <c r="M357" s="3" t="s">
        <v>201</v>
      </c>
      <c r="N357" s="2" t="s">
        <v>1759</v>
      </c>
      <c r="O357" s="3" t="s">
        <v>64</v>
      </c>
      <c r="P357" s="3" t="s">
        <v>113</v>
      </c>
      <c r="R357" s="3" t="s">
        <v>1907</v>
      </c>
      <c r="S357" s="4">
        <v>31</v>
      </c>
      <c r="T357" s="4">
        <v>31</v>
      </c>
      <c r="U357" s="5" t="s">
        <v>3045</v>
      </c>
      <c r="V357" s="5" t="s">
        <v>3045</v>
      </c>
      <c r="W357" s="5" t="s">
        <v>3046</v>
      </c>
      <c r="X357" s="5" t="s">
        <v>3046</v>
      </c>
      <c r="Y357" s="4">
        <v>371</v>
      </c>
      <c r="Z357" s="4">
        <v>227</v>
      </c>
      <c r="AA357" s="4">
        <v>801</v>
      </c>
      <c r="AB357" s="4">
        <v>3</v>
      </c>
      <c r="AC357" s="4">
        <v>5</v>
      </c>
      <c r="AD357" s="4">
        <v>6</v>
      </c>
      <c r="AE357" s="4">
        <v>33</v>
      </c>
      <c r="AF357" s="4">
        <v>0</v>
      </c>
      <c r="AG357" s="4">
        <v>13</v>
      </c>
      <c r="AH357" s="4">
        <v>3</v>
      </c>
      <c r="AI357" s="4">
        <v>8</v>
      </c>
      <c r="AJ357" s="4">
        <v>3</v>
      </c>
      <c r="AK357" s="4">
        <v>17</v>
      </c>
      <c r="AL357" s="4">
        <v>2</v>
      </c>
      <c r="AM357" s="4">
        <v>3</v>
      </c>
      <c r="AN357" s="4">
        <v>0</v>
      </c>
      <c r="AO357" s="4">
        <v>0</v>
      </c>
      <c r="AP357" s="3" t="s">
        <v>58</v>
      </c>
      <c r="AQ357" s="3" t="s">
        <v>69</v>
      </c>
      <c r="AR357" s="6" t="str">
        <f>HYPERLINK("http://catalog.hathitrust.org/Record/004021231","HathiTrust Record")</f>
        <v>HathiTrust Record</v>
      </c>
      <c r="AS357" s="6" t="str">
        <f>HYPERLINK("https://creighton-primo.hosted.exlibrisgroup.com/primo-explore/search?tab=default_tab&amp;search_scope=EVERYTHING&amp;vid=01CRU&amp;lang=en_US&amp;offset=0&amp;query=any,contains,991001411499702656","Catalog Record")</f>
        <v>Catalog Record</v>
      </c>
      <c r="AT357" s="6" t="str">
        <f>HYPERLINK("http://www.worldcat.org/oclc/39508168","WorldCat Record")</f>
        <v>WorldCat Record</v>
      </c>
    </row>
    <row r="358" spans="1:46" ht="40.5" customHeight="1" x14ac:dyDescent="0.25">
      <c r="A358" s="8" t="s">
        <v>58</v>
      </c>
      <c r="B358" s="2" t="s">
        <v>3047</v>
      </c>
      <c r="C358" s="2" t="s">
        <v>3048</v>
      </c>
      <c r="D358" s="2" t="s">
        <v>3049</v>
      </c>
      <c r="F358" s="3" t="s">
        <v>58</v>
      </c>
      <c r="G358" s="3" t="s">
        <v>59</v>
      </c>
      <c r="H358" s="3" t="s">
        <v>58</v>
      </c>
      <c r="I358" s="3" t="s">
        <v>69</v>
      </c>
      <c r="J358" s="3" t="s">
        <v>60</v>
      </c>
      <c r="L358" s="2" t="s">
        <v>3050</v>
      </c>
      <c r="M358" s="3" t="s">
        <v>2753</v>
      </c>
      <c r="N358" s="2" t="s">
        <v>2312</v>
      </c>
      <c r="O358" s="3" t="s">
        <v>64</v>
      </c>
      <c r="P358" s="3" t="s">
        <v>83</v>
      </c>
      <c r="R358" s="3" t="s">
        <v>1907</v>
      </c>
      <c r="S358" s="4">
        <v>14</v>
      </c>
      <c r="T358" s="4">
        <v>14</v>
      </c>
      <c r="U358" s="5" t="s">
        <v>3051</v>
      </c>
      <c r="V358" s="5" t="s">
        <v>3051</v>
      </c>
      <c r="W358" s="5" t="s">
        <v>3052</v>
      </c>
      <c r="X358" s="5" t="s">
        <v>3052</v>
      </c>
      <c r="Y358" s="4">
        <v>553</v>
      </c>
      <c r="Z358" s="4">
        <v>341</v>
      </c>
      <c r="AA358" s="4">
        <v>801</v>
      </c>
      <c r="AB358" s="4">
        <v>1</v>
      </c>
      <c r="AC358" s="4">
        <v>5</v>
      </c>
      <c r="AD358" s="4">
        <v>12</v>
      </c>
      <c r="AE358" s="4">
        <v>33</v>
      </c>
      <c r="AF358" s="4">
        <v>4</v>
      </c>
      <c r="AG358" s="4">
        <v>13</v>
      </c>
      <c r="AH358" s="4">
        <v>3</v>
      </c>
      <c r="AI358" s="4">
        <v>8</v>
      </c>
      <c r="AJ358" s="4">
        <v>6</v>
      </c>
      <c r="AK358" s="4">
        <v>17</v>
      </c>
      <c r="AL358" s="4">
        <v>0</v>
      </c>
      <c r="AM358" s="4">
        <v>3</v>
      </c>
      <c r="AN358" s="4">
        <v>0</v>
      </c>
      <c r="AO358" s="4">
        <v>0</v>
      </c>
      <c r="AP358" s="3" t="s">
        <v>58</v>
      </c>
      <c r="AQ358" s="3" t="s">
        <v>58</v>
      </c>
      <c r="AS358" s="6" t="str">
        <f>HYPERLINK("https://creighton-primo.hosted.exlibrisgroup.com/primo-explore/search?tab=default_tab&amp;search_scope=EVERYTHING&amp;vid=01CRU&amp;lang=en_US&amp;offset=0&amp;query=any,contains,991000390649702656","Catalog Record")</f>
        <v>Catalog Record</v>
      </c>
      <c r="AT358" s="6" t="str">
        <f>HYPERLINK("http://www.worldcat.org/oclc/60173180","WorldCat Record")</f>
        <v>WorldCat Record</v>
      </c>
    </row>
    <row r="359" spans="1:46" ht="40.5" customHeight="1" x14ac:dyDescent="0.25">
      <c r="A359" s="8" t="s">
        <v>58</v>
      </c>
      <c r="B359" s="2" t="s">
        <v>3053</v>
      </c>
      <c r="C359" s="2" t="s">
        <v>3054</v>
      </c>
      <c r="D359" s="2" t="s">
        <v>3055</v>
      </c>
      <c r="F359" s="3" t="s">
        <v>58</v>
      </c>
      <c r="G359" s="3" t="s">
        <v>59</v>
      </c>
      <c r="H359" s="3" t="s">
        <v>58</v>
      </c>
      <c r="I359" s="3" t="s">
        <v>58</v>
      </c>
      <c r="J359" s="3" t="s">
        <v>60</v>
      </c>
      <c r="L359" s="2" t="s">
        <v>3056</v>
      </c>
      <c r="M359" s="3" t="s">
        <v>884</v>
      </c>
      <c r="O359" s="3" t="s">
        <v>64</v>
      </c>
      <c r="P359" s="3" t="s">
        <v>2703</v>
      </c>
      <c r="Q359" s="2" t="s">
        <v>3057</v>
      </c>
      <c r="R359" s="3" t="s">
        <v>1907</v>
      </c>
      <c r="S359" s="4">
        <v>11</v>
      </c>
      <c r="T359" s="4">
        <v>11</v>
      </c>
      <c r="U359" s="5" t="s">
        <v>3058</v>
      </c>
      <c r="V359" s="5" t="s">
        <v>3058</v>
      </c>
      <c r="W359" s="5" t="s">
        <v>2560</v>
      </c>
      <c r="X359" s="5" t="s">
        <v>2560</v>
      </c>
      <c r="Y359" s="4">
        <v>29</v>
      </c>
      <c r="Z359" s="4">
        <v>21</v>
      </c>
      <c r="AA359" s="4">
        <v>296</v>
      </c>
      <c r="AB359" s="4">
        <v>1</v>
      </c>
      <c r="AC359" s="4">
        <v>1</v>
      </c>
      <c r="AD359" s="4">
        <v>0</v>
      </c>
      <c r="AE359" s="4">
        <v>9</v>
      </c>
      <c r="AF359" s="4">
        <v>0</v>
      </c>
      <c r="AG359" s="4">
        <v>3</v>
      </c>
      <c r="AH359" s="4">
        <v>0</v>
      </c>
      <c r="AI359" s="4">
        <v>4</v>
      </c>
      <c r="AJ359" s="4">
        <v>0</v>
      </c>
      <c r="AK359" s="4">
        <v>5</v>
      </c>
      <c r="AL359" s="4">
        <v>0</v>
      </c>
      <c r="AM359" s="4">
        <v>0</v>
      </c>
      <c r="AN359" s="4">
        <v>0</v>
      </c>
      <c r="AO359" s="4">
        <v>0</v>
      </c>
      <c r="AP359" s="3" t="s">
        <v>58</v>
      </c>
      <c r="AQ359" s="3" t="s">
        <v>58</v>
      </c>
      <c r="AS359" s="6" t="str">
        <f>HYPERLINK("https://creighton-primo.hosted.exlibrisgroup.com/primo-explore/search?tab=default_tab&amp;search_scope=EVERYTHING&amp;vid=01CRU&amp;lang=en_US&amp;offset=0&amp;query=any,contains,991001103169702656","Catalog Record")</f>
        <v>Catalog Record</v>
      </c>
      <c r="AT359" s="6" t="str">
        <f>HYPERLINK("http://www.worldcat.org/oclc/26860168","WorldCat Record")</f>
        <v>WorldCat Record</v>
      </c>
    </row>
    <row r="360" spans="1:46" ht="40.5" customHeight="1" x14ac:dyDescent="0.25">
      <c r="A360" s="8" t="s">
        <v>58</v>
      </c>
      <c r="B360" s="2" t="s">
        <v>3059</v>
      </c>
      <c r="C360" s="2" t="s">
        <v>3060</v>
      </c>
      <c r="D360" s="2" t="s">
        <v>3061</v>
      </c>
      <c r="F360" s="3" t="s">
        <v>58</v>
      </c>
      <c r="G360" s="3" t="s">
        <v>59</v>
      </c>
      <c r="H360" s="3" t="s">
        <v>58</v>
      </c>
      <c r="I360" s="3" t="s">
        <v>58</v>
      </c>
      <c r="J360" s="3" t="s">
        <v>60</v>
      </c>
      <c r="L360" s="2" t="s">
        <v>3062</v>
      </c>
      <c r="M360" s="3" t="s">
        <v>63</v>
      </c>
      <c r="N360" s="2" t="s">
        <v>3063</v>
      </c>
      <c r="O360" s="3" t="s">
        <v>64</v>
      </c>
      <c r="P360" s="3" t="s">
        <v>1921</v>
      </c>
      <c r="Q360" s="2" t="s">
        <v>1906</v>
      </c>
      <c r="R360" s="3" t="s">
        <v>1907</v>
      </c>
      <c r="S360" s="4">
        <v>9</v>
      </c>
      <c r="T360" s="4">
        <v>9</v>
      </c>
      <c r="U360" s="5" t="s">
        <v>3064</v>
      </c>
      <c r="V360" s="5" t="s">
        <v>3064</v>
      </c>
      <c r="W360" s="5" t="s">
        <v>2011</v>
      </c>
      <c r="X360" s="5" t="s">
        <v>2011</v>
      </c>
      <c r="Y360" s="4">
        <v>357</v>
      </c>
      <c r="Z360" s="4">
        <v>239</v>
      </c>
      <c r="AA360" s="4">
        <v>497</v>
      </c>
      <c r="AB360" s="4">
        <v>2</v>
      </c>
      <c r="AC360" s="4">
        <v>5</v>
      </c>
      <c r="AD360" s="4">
        <v>4</v>
      </c>
      <c r="AE360" s="4">
        <v>20</v>
      </c>
      <c r="AF360" s="4">
        <v>1</v>
      </c>
      <c r="AG360" s="4">
        <v>6</v>
      </c>
      <c r="AH360" s="4">
        <v>1</v>
      </c>
      <c r="AI360" s="4">
        <v>3</v>
      </c>
      <c r="AJ360" s="4">
        <v>4</v>
      </c>
      <c r="AK360" s="4">
        <v>12</v>
      </c>
      <c r="AL360" s="4">
        <v>0</v>
      </c>
      <c r="AM360" s="4">
        <v>3</v>
      </c>
      <c r="AN360" s="4">
        <v>0</v>
      </c>
      <c r="AO360" s="4">
        <v>0</v>
      </c>
      <c r="AP360" s="3" t="s">
        <v>58</v>
      </c>
      <c r="AQ360" s="3" t="s">
        <v>69</v>
      </c>
      <c r="AR360" s="6" t="str">
        <f>HYPERLINK("http://catalog.hathitrust.org/Record/000249150","HathiTrust Record")</f>
        <v>HathiTrust Record</v>
      </c>
      <c r="AS360" s="6" t="str">
        <f>HYPERLINK("https://creighton-primo.hosted.exlibrisgroup.com/primo-explore/search?tab=default_tab&amp;search_scope=EVERYTHING&amp;vid=01CRU&amp;lang=en_US&amp;offset=0&amp;query=any,contains,991000999059702656","Catalog Record")</f>
        <v>Catalog Record</v>
      </c>
      <c r="AT360" s="6" t="str">
        <f>HYPERLINK("http://www.worldcat.org/oclc/10711197","WorldCat Record")</f>
        <v>WorldCat Record</v>
      </c>
    </row>
    <row r="361" spans="1:46" ht="40.5" customHeight="1" x14ac:dyDescent="0.25">
      <c r="A361" s="8" t="s">
        <v>58</v>
      </c>
      <c r="B361" s="2" t="s">
        <v>3065</v>
      </c>
      <c r="C361" s="2" t="s">
        <v>3066</v>
      </c>
      <c r="D361" s="2" t="s">
        <v>3067</v>
      </c>
      <c r="F361" s="3" t="s">
        <v>58</v>
      </c>
      <c r="G361" s="3" t="s">
        <v>59</v>
      </c>
      <c r="H361" s="3" t="s">
        <v>58</v>
      </c>
      <c r="I361" s="3" t="s">
        <v>69</v>
      </c>
      <c r="J361" s="3" t="s">
        <v>60</v>
      </c>
      <c r="L361" s="2" t="s">
        <v>3068</v>
      </c>
      <c r="M361" s="3" t="s">
        <v>171</v>
      </c>
      <c r="N361" s="2" t="s">
        <v>1315</v>
      </c>
      <c r="O361" s="3" t="s">
        <v>64</v>
      </c>
      <c r="P361" s="3" t="s">
        <v>113</v>
      </c>
      <c r="R361" s="3" t="s">
        <v>1907</v>
      </c>
      <c r="S361" s="4">
        <v>53</v>
      </c>
      <c r="T361" s="4">
        <v>53</v>
      </c>
      <c r="U361" s="5" t="s">
        <v>3069</v>
      </c>
      <c r="V361" s="5" t="s">
        <v>3069</v>
      </c>
      <c r="W361" s="5" t="s">
        <v>3070</v>
      </c>
      <c r="X361" s="5" t="s">
        <v>3070</v>
      </c>
      <c r="Y361" s="4">
        <v>508</v>
      </c>
      <c r="Z361" s="4">
        <v>342</v>
      </c>
      <c r="AA361" s="4">
        <v>1186</v>
      </c>
      <c r="AB361" s="4">
        <v>2</v>
      </c>
      <c r="AC361" s="4">
        <v>6</v>
      </c>
      <c r="AD361" s="4">
        <v>12</v>
      </c>
      <c r="AE361" s="4">
        <v>34</v>
      </c>
      <c r="AF361" s="4">
        <v>7</v>
      </c>
      <c r="AG361" s="4">
        <v>16</v>
      </c>
      <c r="AH361" s="4">
        <v>3</v>
      </c>
      <c r="AI361" s="4">
        <v>8</v>
      </c>
      <c r="AJ361" s="4">
        <v>3</v>
      </c>
      <c r="AK361" s="4">
        <v>12</v>
      </c>
      <c r="AL361" s="4">
        <v>0</v>
      </c>
      <c r="AM361" s="4">
        <v>4</v>
      </c>
      <c r="AN361" s="4">
        <v>0</v>
      </c>
      <c r="AO361" s="4">
        <v>0</v>
      </c>
      <c r="AP361" s="3" t="s">
        <v>58</v>
      </c>
      <c r="AQ361" s="3" t="s">
        <v>69</v>
      </c>
      <c r="AR361" s="6" t="str">
        <f>HYPERLINK("http://catalog.hathitrust.org/Record/003246433","HathiTrust Record")</f>
        <v>HathiTrust Record</v>
      </c>
      <c r="AS361" s="6" t="str">
        <f>HYPERLINK("https://creighton-primo.hosted.exlibrisgroup.com/primo-explore/search?tab=default_tab&amp;search_scope=EVERYTHING&amp;vid=01CRU&amp;lang=en_US&amp;offset=0&amp;query=any,contains,991001306439702656","Catalog Record")</f>
        <v>Catalog Record</v>
      </c>
      <c r="AT361" s="6" t="str">
        <f>HYPERLINK("http://www.worldcat.org/oclc/37966568","WorldCat Record")</f>
        <v>WorldCat Record</v>
      </c>
    </row>
    <row r="362" spans="1:46" ht="40.5" customHeight="1" x14ac:dyDescent="0.25">
      <c r="A362" s="8" t="s">
        <v>58</v>
      </c>
      <c r="B362" s="2" t="s">
        <v>3071</v>
      </c>
      <c r="C362" s="2" t="s">
        <v>3072</v>
      </c>
      <c r="D362" s="2" t="s">
        <v>3067</v>
      </c>
      <c r="F362" s="3" t="s">
        <v>58</v>
      </c>
      <c r="G362" s="3" t="s">
        <v>59</v>
      </c>
      <c r="H362" s="3" t="s">
        <v>58</v>
      </c>
      <c r="I362" s="3" t="s">
        <v>69</v>
      </c>
      <c r="J362" s="3" t="s">
        <v>60</v>
      </c>
      <c r="L362" s="2" t="s">
        <v>3073</v>
      </c>
      <c r="M362" s="3" t="s">
        <v>676</v>
      </c>
      <c r="N362" s="2" t="s">
        <v>2312</v>
      </c>
      <c r="O362" s="3" t="s">
        <v>64</v>
      </c>
      <c r="P362" s="3" t="s">
        <v>1607</v>
      </c>
      <c r="R362" s="3" t="s">
        <v>1907</v>
      </c>
      <c r="S362" s="4">
        <v>9</v>
      </c>
      <c r="T362" s="4">
        <v>9</v>
      </c>
      <c r="U362" s="5" t="s">
        <v>2912</v>
      </c>
      <c r="V362" s="5" t="s">
        <v>2912</v>
      </c>
      <c r="W362" s="5" t="s">
        <v>3074</v>
      </c>
      <c r="X362" s="5" t="s">
        <v>3074</v>
      </c>
      <c r="Y362" s="4">
        <v>419</v>
      </c>
      <c r="Z362" s="4">
        <v>255</v>
      </c>
      <c r="AA362" s="4">
        <v>1186</v>
      </c>
      <c r="AB362" s="4">
        <v>1</v>
      </c>
      <c r="AC362" s="4">
        <v>6</v>
      </c>
      <c r="AD362" s="4">
        <v>5</v>
      </c>
      <c r="AE362" s="4">
        <v>34</v>
      </c>
      <c r="AF362" s="4">
        <v>2</v>
      </c>
      <c r="AG362" s="4">
        <v>16</v>
      </c>
      <c r="AH362" s="4">
        <v>1</v>
      </c>
      <c r="AI362" s="4">
        <v>8</v>
      </c>
      <c r="AJ362" s="4">
        <v>2</v>
      </c>
      <c r="AK362" s="4">
        <v>12</v>
      </c>
      <c r="AL362" s="4">
        <v>0</v>
      </c>
      <c r="AM362" s="4">
        <v>4</v>
      </c>
      <c r="AN362" s="4">
        <v>0</v>
      </c>
      <c r="AO362" s="4">
        <v>0</v>
      </c>
      <c r="AP362" s="3" t="s">
        <v>58</v>
      </c>
      <c r="AQ362" s="3" t="s">
        <v>69</v>
      </c>
      <c r="AR362" s="6" t="str">
        <f>HYPERLINK("http://catalog.hathitrust.org/Record/004200640","HathiTrust Record")</f>
        <v>HathiTrust Record</v>
      </c>
      <c r="AS362" s="6" t="str">
        <f>HYPERLINK("https://creighton-primo.hosted.exlibrisgroup.com/primo-explore/search?tab=default_tab&amp;search_scope=EVERYTHING&amp;vid=01CRU&amp;lang=en_US&amp;offset=0&amp;query=any,contains,991000455649702656","Catalog Record")</f>
        <v>Catalog Record</v>
      </c>
      <c r="AT362" s="6" t="str">
        <f>HYPERLINK("http://www.worldcat.org/oclc/45952240","WorldCat Record")</f>
        <v>WorldCat Record</v>
      </c>
    </row>
    <row r="363" spans="1:46" ht="40.5" customHeight="1" x14ac:dyDescent="0.25">
      <c r="A363" s="8" t="s">
        <v>58</v>
      </c>
      <c r="B363" s="2" t="s">
        <v>3075</v>
      </c>
      <c r="C363" s="2" t="s">
        <v>3076</v>
      </c>
      <c r="D363" s="2" t="s">
        <v>3077</v>
      </c>
      <c r="E363" s="3" t="s">
        <v>1960</v>
      </c>
      <c r="F363" s="3" t="s">
        <v>58</v>
      </c>
      <c r="G363" s="3" t="s">
        <v>59</v>
      </c>
      <c r="H363" s="3" t="s">
        <v>58</v>
      </c>
      <c r="I363" s="3" t="s">
        <v>58</v>
      </c>
      <c r="J363" s="3" t="s">
        <v>60</v>
      </c>
      <c r="K363" s="2" t="s">
        <v>3078</v>
      </c>
      <c r="L363" s="2" t="s">
        <v>3079</v>
      </c>
      <c r="M363" s="3" t="s">
        <v>258</v>
      </c>
      <c r="O363" s="3" t="s">
        <v>64</v>
      </c>
      <c r="P363" s="3" t="s">
        <v>113</v>
      </c>
      <c r="R363" s="3" t="s">
        <v>1907</v>
      </c>
      <c r="S363" s="4">
        <v>10</v>
      </c>
      <c r="T363" s="4">
        <v>10</v>
      </c>
      <c r="U363" s="5" t="s">
        <v>2373</v>
      </c>
      <c r="V363" s="5" t="s">
        <v>2373</v>
      </c>
      <c r="W363" s="5" t="s">
        <v>3080</v>
      </c>
      <c r="X363" s="5" t="s">
        <v>3080</v>
      </c>
      <c r="Y363" s="4">
        <v>29</v>
      </c>
      <c r="Z363" s="4">
        <v>19</v>
      </c>
      <c r="AA363" s="4">
        <v>62</v>
      </c>
      <c r="AB363" s="4">
        <v>1</v>
      </c>
      <c r="AC363" s="4">
        <v>1</v>
      </c>
      <c r="AD363" s="4">
        <v>0</v>
      </c>
      <c r="AE363" s="4">
        <v>3</v>
      </c>
      <c r="AF363" s="4">
        <v>0</v>
      </c>
      <c r="AG363" s="4">
        <v>2</v>
      </c>
      <c r="AH363" s="4">
        <v>0</v>
      </c>
      <c r="AI363" s="4">
        <v>2</v>
      </c>
      <c r="AJ363" s="4">
        <v>0</v>
      </c>
      <c r="AK363" s="4">
        <v>0</v>
      </c>
      <c r="AL363" s="4">
        <v>0</v>
      </c>
      <c r="AM363" s="4">
        <v>0</v>
      </c>
      <c r="AN363" s="4">
        <v>0</v>
      </c>
      <c r="AO363" s="4">
        <v>0</v>
      </c>
      <c r="AP363" s="3" t="s">
        <v>58</v>
      </c>
      <c r="AQ363" s="3" t="s">
        <v>69</v>
      </c>
      <c r="AR363" s="6" t="str">
        <f>HYPERLINK("http://catalog.hathitrust.org/Record/001823374","HathiTrust Record")</f>
        <v>HathiTrust Record</v>
      </c>
      <c r="AS363" s="6" t="str">
        <f>HYPERLINK("https://creighton-primo.hosted.exlibrisgroup.com/primo-explore/search?tab=default_tab&amp;search_scope=EVERYTHING&amp;vid=01CRU&amp;lang=en_US&amp;offset=0&amp;query=any,contains,991001385329702656","Catalog Record")</f>
        <v>Catalog Record</v>
      </c>
      <c r="AT363" s="6" t="str">
        <f>HYPERLINK("http://www.worldcat.org/oclc/19389531","WorldCat Record")</f>
        <v>WorldCat Record</v>
      </c>
    </row>
    <row r="364" spans="1:46" ht="40.5" customHeight="1" x14ac:dyDescent="0.25">
      <c r="A364" s="8" t="s">
        <v>58</v>
      </c>
      <c r="B364" s="2" t="s">
        <v>3081</v>
      </c>
      <c r="C364" s="2" t="s">
        <v>3082</v>
      </c>
      <c r="D364" s="2" t="s">
        <v>3083</v>
      </c>
      <c r="F364" s="3" t="s">
        <v>58</v>
      </c>
      <c r="G364" s="3" t="s">
        <v>59</v>
      </c>
      <c r="H364" s="3" t="s">
        <v>58</v>
      </c>
      <c r="I364" s="3" t="s">
        <v>58</v>
      </c>
      <c r="J364" s="3" t="s">
        <v>60</v>
      </c>
      <c r="K364" s="2" t="s">
        <v>3084</v>
      </c>
      <c r="L364" s="2" t="s">
        <v>3085</v>
      </c>
      <c r="M364" s="3" t="s">
        <v>829</v>
      </c>
      <c r="O364" s="3" t="s">
        <v>64</v>
      </c>
      <c r="P364" s="3" t="s">
        <v>607</v>
      </c>
      <c r="R364" s="3" t="s">
        <v>1907</v>
      </c>
      <c r="S364" s="4">
        <v>3</v>
      </c>
      <c r="T364" s="4">
        <v>3</v>
      </c>
      <c r="U364" s="5" t="s">
        <v>3086</v>
      </c>
      <c r="V364" s="5" t="s">
        <v>3086</v>
      </c>
      <c r="W364" s="5" t="s">
        <v>2237</v>
      </c>
      <c r="X364" s="5" t="s">
        <v>2237</v>
      </c>
      <c r="Y364" s="4">
        <v>26</v>
      </c>
      <c r="Z364" s="4">
        <v>26</v>
      </c>
      <c r="AA364" s="4">
        <v>91</v>
      </c>
      <c r="AB364" s="4">
        <v>1</v>
      </c>
      <c r="AC364" s="4">
        <v>1</v>
      </c>
      <c r="AD364" s="4">
        <v>1</v>
      </c>
      <c r="AE364" s="4">
        <v>3</v>
      </c>
      <c r="AF364" s="4">
        <v>0</v>
      </c>
      <c r="AG364" s="4">
        <v>1</v>
      </c>
      <c r="AH364" s="4">
        <v>0</v>
      </c>
      <c r="AI364" s="4">
        <v>1</v>
      </c>
      <c r="AJ364" s="4">
        <v>1</v>
      </c>
      <c r="AK364" s="4">
        <v>1</v>
      </c>
      <c r="AL364" s="4">
        <v>0</v>
      </c>
      <c r="AM364" s="4">
        <v>0</v>
      </c>
      <c r="AN364" s="4">
        <v>0</v>
      </c>
      <c r="AO364" s="4">
        <v>0</v>
      </c>
      <c r="AP364" s="3" t="s">
        <v>58</v>
      </c>
      <c r="AQ364" s="3" t="s">
        <v>58</v>
      </c>
      <c r="AS364" s="6" t="str">
        <f>HYPERLINK("https://creighton-primo.hosted.exlibrisgroup.com/primo-explore/search?tab=default_tab&amp;search_scope=EVERYTHING&amp;vid=01CRU&amp;lang=en_US&amp;offset=0&amp;query=any,contains,991001528729702656","Catalog Record")</f>
        <v>Catalog Record</v>
      </c>
      <c r="AT364" s="6" t="str">
        <f>HYPERLINK("http://www.worldcat.org/oclc/16354851","WorldCat Record")</f>
        <v>WorldCat Record</v>
      </c>
    </row>
    <row r="365" spans="1:46" ht="40.5" customHeight="1" x14ac:dyDescent="0.25">
      <c r="A365" s="8" t="s">
        <v>58</v>
      </c>
      <c r="B365" s="2" t="s">
        <v>3087</v>
      </c>
      <c r="C365" s="2" t="s">
        <v>3088</v>
      </c>
      <c r="D365" s="2" t="s">
        <v>3089</v>
      </c>
      <c r="F365" s="3" t="s">
        <v>58</v>
      </c>
      <c r="G365" s="3" t="s">
        <v>59</v>
      </c>
      <c r="H365" s="3" t="s">
        <v>58</v>
      </c>
      <c r="I365" s="3" t="s">
        <v>58</v>
      </c>
      <c r="J365" s="3" t="s">
        <v>60</v>
      </c>
      <c r="K365" s="2" t="s">
        <v>3090</v>
      </c>
      <c r="L365" s="2" t="s">
        <v>3091</v>
      </c>
      <c r="M365" s="3" t="s">
        <v>185</v>
      </c>
      <c r="O365" s="3" t="s">
        <v>64</v>
      </c>
      <c r="P365" s="3" t="s">
        <v>1234</v>
      </c>
      <c r="R365" s="3" t="s">
        <v>1907</v>
      </c>
      <c r="S365" s="4">
        <v>9</v>
      </c>
      <c r="T365" s="4">
        <v>9</v>
      </c>
      <c r="U365" s="5" t="s">
        <v>3092</v>
      </c>
      <c r="V365" s="5" t="s">
        <v>3092</v>
      </c>
      <c r="W365" s="5" t="s">
        <v>3093</v>
      </c>
      <c r="X365" s="5" t="s">
        <v>3093</v>
      </c>
      <c r="Y365" s="4">
        <v>21</v>
      </c>
      <c r="Z365" s="4">
        <v>18</v>
      </c>
      <c r="AA365" s="4">
        <v>47</v>
      </c>
      <c r="AB365" s="4">
        <v>1</v>
      </c>
      <c r="AC365" s="4">
        <v>1</v>
      </c>
      <c r="AD365" s="4">
        <v>0</v>
      </c>
      <c r="AE365" s="4">
        <v>1</v>
      </c>
      <c r="AF365" s="4">
        <v>0</v>
      </c>
      <c r="AG365" s="4">
        <v>1</v>
      </c>
      <c r="AH365" s="4">
        <v>0</v>
      </c>
      <c r="AI365" s="4">
        <v>0</v>
      </c>
      <c r="AJ365" s="4">
        <v>0</v>
      </c>
      <c r="AK365" s="4">
        <v>1</v>
      </c>
      <c r="AL365" s="4">
        <v>0</v>
      </c>
      <c r="AM365" s="4">
        <v>0</v>
      </c>
      <c r="AN365" s="4">
        <v>0</v>
      </c>
      <c r="AO365" s="4">
        <v>0</v>
      </c>
      <c r="AP365" s="3" t="s">
        <v>58</v>
      </c>
      <c r="AQ365" s="3" t="s">
        <v>69</v>
      </c>
      <c r="AR365" s="6" t="str">
        <f>HYPERLINK("http://catalog.hathitrust.org/Record/008857834","HathiTrust Record")</f>
        <v>HathiTrust Record</v>
      </c>
      <c r="AS365" s="6" t="str">
        <f>HYPERLINK("https://creighton-primo.hosted.exlibrisgroup.com/primo-explore/search?tab=default_tab&amp;search_scope=EVERYTHING&amp;vid=01CRU&amp;lang=en_US&amp;offset=0&amp;query=any,contains,991000683759702656","Catalog Record")</f>
        <v>Catalog Record</v>
      </c>
      <c r="AT365" s="6" t="str">
        <f>HYPERLINK("http://www.worldcat.org/oclc/28366127","WorldCat Record")</f>
        <v>WorldCat Record</v>
      </c>
    </row>
    <row r="366" spans="1:46" ht="40.5" customHeight="1" x14ac:dyDescent="0.25">
      <c r="A366" s="8" t="s">
        <v>58</v>
      </c>
      <c r="B366" s="2" t="s">
        <v>3094</v>
      </c>
      <c r="C366" s="2" t="s">
        <v>3095</v>
      </c>
      <c r="D366" s="2" t="s">
        <v>410</v>
      </c>
      <c r="F366" s="3" t="s">
        <v>58</v>
      </c>
      <c r="G366" s="3" t="s">
        <v>59</v>
      </c>
      <c r="H366" s="3" t="s">
        <v>58</v>
      </c>
      <c r="I366" s="3" t="s">
        <v>69</v>
      </c>
      <c r="J366" s="3" t="s">
        <v>60</v>
      </c>
      <c r="K366" s="2" t="s">
        <v>411</v>
      </c>
      <c r="L366" s="2" t="s">
        <v>3096</v>
      </c>
      <c r="M366" s="3" t="s">
        <v>126</v>
      </c>
      <c r="O366" s="3" t="s">
        <v>64</v>
      </c>
      <c r="P366" s="3" t="s">
        <v>113</v>
      </c>
      <c r="R366" s="3" t="s">
        <v>1907</v>
      </c>
      <c r="S366" s="4">
        <v>86</v>
      </c>
      <c r="T366" s="4">
        <v>86</v>
      </c>
      <c r="U366" s="5" t="s">
        <v>3097</v>
      </c>
      <c r="V366" s="5" t="s">
        <v>3097</v>
      </c>
      <c r="W366" s="5" t="s">
        <v>3098</v>
      </c>
      <c r="X366" s="5" t="s">
        <v>3098</v>
      </c>
      <c r="Y366" s="4">
        <v>394</v>
      </c>
      <c r="Z366" s="4">
        <v>296</v>
      </c>
      <c r="AA366" s="4">
        <v>801</v>
      </c>
      <c r="AB366" s="4">
        <v>1</v>
      </c>
      <c r="AC366" s="4">
        <v>5</v>
      </c>
      <c r="AD366" s="4">
        <v>13</v>
      </c>
      <c r="AE366" s="4">
        <v>33</v>
      </c>
      <c r="AF366" s="4">
        <v>5</v>
      </c>
      <c r="AG366" s="4">
        <v>13</v>
      </c>
      <c r="AH366" s="4">
        <v>3</v>
      </c>
      <c r="AI366" s="4">
        <v>8</v>
      </c>
      <c r="AJ366" s="4">
        <v>9</v>
      </c>
      <c r="AK366" s="4">
        <v>17</v>
      </c>
      <c r="AL366" s="4">
        <v>0</v>
      </c>
      <c r="AM366" s="4">
        <v>3</v>
      </c>
      <c r="AN366" s="4">
        <v>0</v>
      </c>
      <c r="AO366" s="4">
        <v>0</v>
      </c>
      <c r="AP366" s="3" t="s">
        <v>58</v>
      </c>
      <c r="AQ366" s="3" t="s">
        <v>58</v>
      </c>
      <c r="AS366" s="6" t="str">
        <f>HYPERLINK("https://creighton-primo.hosted.exlibrisgroup.com/primo-explore/search?tab=default_tab&amp;search_scope=EVERYTHING&amp;vid=01CRU&amp;lang=en_US&amp;offset=0&amp;query=any,contains,991001403169702656","Catalog Record")</f>
        <v>Catalog Record</v>
      </c>
      <c r="AT366" s="6" t="str">
        <f>HYPERLINK("http://www.worldcat.org/oclc/30319111","WorldCat Record")</f>
        <v>WorldCat Record</v>
      </c>
    </row>
    <row r="367" spans="1:46" ht="40.5" customHeight="1" x14ac:dyDescent="0.25">
      <c r="A367" s="8" t="s">
        <v>58</v>
      </c>
      <c r="B367" s="2" t="s">
        <v>3099</v>
      </c>
      <c r="C367" s="2" t="s">
        <v>3100</v>
      </c>
      <c r="D367" s="2" t="s">
        <v>3043</v>
      </c>
      <c r="F367" s="3" t="s">
        <v>58</v>
      </c>
      <c r="G367" s="3" t="s">
        <v>59</v>
      </c>
      <c r="H367" s="3" t="s">
        <v>58</v>
      </c>
      <c r="I367" s="3" t="s">
        <v>69</v>
      </c>
      <c r="J367" s="3" t="s">
        <v>60</v>
      </c>
      <c r="L367" s="2" t="s">
        <v>3101</v>
      </c>
      <c r="M367" s="3" t="s">
        <v>676</v>
      </c>
      <c r="N367" s="2" t="s">
        <v>1315</v>
      </c>
      <c r="O367" s="3" t="s">
        <v>64</v>
      </c>
      <c r="P367" s="3" t="s">
        <v>83</v>
      </c>
      <c r="R367" s="3" t="s">
        <v>1907</v>
      </c>
      <c r="S367" s="4">
        <v>10</v>
      </c>
      <c r="T367" s="4">
        <v>10</v>
      </c>
      <c r="U367" s="5" t="s">
        <v>3102</v>
      </c>
      <c r="V367" s="5" t="s">
        <v>3102</v>
      </c>
      <c r="W367" s="5" t="s">
        <v>3103</v>
      </c>
      <c r="X367" s="5" t="s">
        <v>3103</v>
      </c>
      <c r="Y367" s="4">
        <v>152</v>
      </c>
      <c r="Z367" s="4">
        <v>62</v>
      </c>
      <c r="AA367" s="4">
        <v>801</v>
      </c>
      <c r="AB367" s="4">
        <v>1</v>
      </c>
      <c r="AC367" s="4">
        <v>5</v>
      </c>
      <c r="AD367" s="4">
        <v>1</v>
      </c>
      <c r="AE367" s="4">
        <v>33</v>
      </c>
      <c r="AF367" s="4">
        <v>1</v>
      </c>
      <c r="AG367" s="4">
        <v>13</v>
      </c>
      <c r="AH367" s="4">
        <v>0</v>
      </c>
      <c r="AI367" s="4">
        <v>8</v>
      </c>
      <c r="AJ367" s="4">
        <v>0</v>
      </c>
      <c r="AK367" s="4">
        <v>17</v>
      </c>
      <c r="AL367" s="4">
        <v>0</v>
      </c>
      <c r="AM367" s="4">
        <v>3</v>
      </c>
      <c r="AN367" s="4">
        <v>0</v>
      </c>
      <c r="AO367" s="4">
        <v>0</v>
      </c>
      <c r="AP367" s="3" t="s">
        <v>58</v>
      </c>
      <c r="AQ367" s="3" t="s">
        <v>58</v>
      </c>
      <c r="AS367" s="6" t="str">
        <f>HYPERLINK("https://creighton-primo.hosted.exlibrisgroup.com/primo-explore/search?tab=default_tab&amp;search_scope=EVERYTHING&amp;vid=01CRU&amp;lang=en_US&amp;offset=0&amp;query=any,contains,991000303219702656","Catalog Record")</f>
        <v>Catalog Record</v>
      </c>
      <c r="AT367" s="6" t="str">
        <f>HYPERLINK("http://www.worldcat.org/oclc/48684898","WorldCat Record")</f>
        <v>WorldCat Record</v>
      </c>
    </row>
    <row r="368" spans="1:46" ht="40.5" customHeight="1" x14ac:dyDescent="0.25">
      <c r="A368" s="8" t="s">
        <v>58</v>
      </c>
      <c r="B368" s="2" t="s">
        <v>3104</v>
      </c>
      <c r="C368" s="2" t="s">
        <v>3105</v>
      </c>
      <c r="D368" s="2" t="s">
        <v>3106</v>
      </c>
      <c r="F368" s="3" t="s">
        <v>58</v>
      </c>
      <c r="G368" s="3" t="s">
        <v>59</v>
      </c>
      <c r="H368" s="3" t="s">
        <v>58</v>
      </c>
      <c r="I368" s="3" t="s">
        <v>58</v>
      </c>
      <c r="J368" s="3" t="s">
        <v>60</v>
      </c>
      <c r="K368" s="2" t="s">
        <v>3107</v>
      </c>
      <c r="L368" s="2" t="s">
        <v>3108</v>
      </c>
      <c r="M368" s="3" t="s">
        <v>480</v>
      </c>
      <c r="N368" s="2" t="s">
        <v>1606</v>
      </c>
      <c r="O368" s="3" t="s">
        <v>64</v>
      </c>
      <c r="P368" s="3" t="s">
        <v>1921</v>
      </c>
      <c r="R368" s="3" t="s">
        <v>1907</v>
      </c>
      <c r="S368" s="4">
        <v>3</v>
      </c>
      <c r="T368" s="4">
        <v>3</v>
      </c>
      <c r="U368" s="5" t="s">
        <v>3109</v>
      </c>
      <c r="V368" s="5" t="s">
        <v>3109</v>
      </c>
      <c r="W368" s="5" t="s">
        <v>3110</v>
      </c>
      <c r="X368" s="5" t="s">
        <v>3110</v>
      </c>
      <c r="Y368" s="4">
        <v>166</v>
      </c>
      <c r="Z368" s="4">
        <v>101</v>
      </c>
      <c r="AA368" s="4">
        <v>264</v>
      </c>
      <c r="AB368" s="4">
        <v>2</v>
      </c>
      <c r="AC368" s="4">
        <v>2</v>
      </c>
      <c r="AD368" s="4">
        <v>5</v>
      </c>
      <c r="AE368" s="4">
        <v>11</v>
      </c>
      <c r="AF368" s="4">
        <v>1</v>
      </c>
      <c r="AG368" s="4">
        <v>3</v>
      </c>
      <c r="AH368" s="4">
        <v>2</v>
      </c>
      <c r="AI368" s="4">
        <v>3</v>
      </c>
      <c r="AJ368" s="4">
        <v>3</v>
      </c>
      <c r="AK368" s="4">
        <v>7</v>
      </c>
      <c r="AL368" s="4">
        <v>1</v>
      </c>
      <c r="AM368" s="4">
        <v>1</v>
      </c>
      <c r="AN368" s="4">
        <v>0</v>
      </c>
      <c r="AO368" s="4">
        <v>0</v>
      </c>
      <c r="AP368" s="3" t="s">
        <v>58</v>
      </c>
      <c r="AQ368" s="3" t="s">
        <v>69</v>
      </c>
      <c r="AR368" s="6" t="str">
        <f>HYPERLINK("http://catalog.hathitrust.org/Record/003792714","HathiTrust Record")</f>
        <v>HathiTrust Record</v>
      </c>
      <c r="AS368" s="6" t="str">
        <f>HYPERLINK("https://creighton-primo.hosted.exlibrisgroup.com/primo-explore/search?tab=default_tab&amp;search_scope=EVERYTHING&amp;vid=01CRU&amp;lang=en_US&amp;offset=0&amp;query=any,contains,991001363679702656","Catalog Record")</f>
        <v>Catalog Record</v>
      </c>
      <c r="AT368" s="6" t="str">
        <f>HYPERLINK("http://www.worldcat.org/oclc/20168023","WorldCat Record")</f>
        <v>WorldCat Record</v>
      </c>
    </row>
    <row r="369" spans="1:46" ht="40.5" customHeight="1" x14ac:dyDescent="0.25">
      <c r="A369" s="8" t="s">
        <v>58</v>
      </c>
      <c r="B369" s="2" t="s">
        <v>3111</v>
      </c>
      <c r="C369" s="2" t="s">
        <v>3112</v>
      </c>
      <c r="D369" s="2" t="s">
        <v>3113</v>
      </c>
      <c r="F369" s="3" t="s">
        <v>58</v>
      </c>
      <c r="G369" s="3" t="s">
        <v>59</v>
      </c>
      <c r="H369" s="3" t="s">
        <v>58</v>
      </c>
      <c r="I369" s="3" t="s">
        <v>58</v>
      </c>
      <c r="J369" s="3" t="s">
        <v>60</v>
      </c>
      <c r="K369" s="2" t="s">
        <v>3114</v>
      </c>
      <c r="L369" s="2" t="s">
        <v>3115</v>
      </c>
      <c r="M369" s="3" t="s">
        <v>1980</v>
      </c>
      <c r="O369" s="3" t="s">
        <v>64</v>
      </c>
      <c r="P369" s="3" t="s">
        <v>113</v>
      </c>
      <c r="Q369" s="2" t="s">
        <v>3116</v>
      </c>
      <c r="R369" s="3" t="s">
        <v>1907</v>
      </c>
      <c r="S369" s="4">
        <v>26</v>
      </c>
      <c r="T369" s="4">
        <v>26</v>
      </c>
      <c r="U369" s="5" t="s">
        <v>3117</v>
      </c>
      <c r="V369" s="5" t="s">
        <v>3117</v>
      </c>
      <c r="W369" s="5" t="s">
        <v>3118</v>
      </c>
      <c r="X369" s="5" t="s">
        <v>3118</v>
      </c>
      <c r="Y369" s="4">
        <v>123</v>
      </c>
      <c r="Z369" s="4">
        <v>72</v>
      </c>
      <c r="AA369" s="4">
        <v>83</v>
      </c>
      <c r="AB369" s="4">
        <v>1</v>
      </c>
      <c r="AC369" s="4">
        <v>1</v>
      </c>
      <c r="AD369" s="4">
        <v>4</v>
      </c>
      <c r="AE369" s="4">
        <v>5</v>
      </c>
      <c r="AF369" s="4">
        <v>2</v>
      </c>
      <c r="AG369" s="4">
        <v>3</v>
      </c>
      <c r="AH369" s="4">
        <v>1</v>
      </c>
      <c r="AI369" s="4">
        <v>1</v>
      </c>
      <c r="AJ369" s="4">
        <v>4</v>
      </c>
      <c r="AK369" s="4">
        <v>4</v>
      </c>
      <c r="AL369" s="4">
        <v>0</v>
      </c>
      <c r="AM369" s="4">
        <v>0</v>
      </c>
      <c r="AN369" s="4">
        <v>0</v>
      </c>
      <c r="AO369" s="4">
        <v>0</v>
      </c>
      <c r="AP369" s="3" t="s">
        <v>58</v>
      </c>
      <c r="AQ369" s="3" t="s">
        <v>69</v>
      </c>
      <c r="AR369" s="6" t="str">
        <f>HYPERLINK("http://catalog.hathitrust.org/Record/000779614","HathiTrust Record")</f>
        <v>HathiTrust Record</v>
      </c>
      <c r="AS369" s="6" t="str">
        <f>HYPERLINK("https://creighton-primo.hosted.exlibrisgroup.com/primo-explore/search?tab=default_tab&amp;search_scope=EVERYTHING&amp;vid=01CRU&amp;lang=en_US&amp;offset=0&amp;query=any,contains,991000998859702656","Catalog Record")</f>
        <v>Catalog Record</v>
      </c>
      <c r="AT369" s="6" t="str">
        <f>HYPERLINK("http://www.worldcat.org/oclc/8670255","WorldCat Record")</f>
        <v>WorldCat Record</v>
      </c>
    </row>
    <row r="370" spans="1:46" ht="40.5" customHeight="1" x14ac:dyDescent="0.25">
      <c r="A370" s="8" t="s">
        <v>58</v>
      </c>
      <c r="B370" s="2" t="s">
        <v>3119</v>
      </c>
      <c r="C370" s="2" t="s">
        <v>3120</v>
      </c>
      <c r="D370" s="2" t="s">
        <v>3121</v>
      </c>
      <c r="F370" s="3" t="s">
        <v>58</v>
      </c>
      <c r="G370" s="3" t="s">
        <v>59</v>
      </c>
      <c r="H370" s="3" t="s">
        <v>58</v>
      </c>
      <c r="I370" s="3" t="s">
        <v>69</v>
      </c>
      <c r="J370" s="3" t="s">
        <v>60</v>
      </c>
      <c r="K370" s="2" t="s">
        <v>3122</v>
      </c>
      <c r="L370" s="2" t="s">
        <v>3123</v>
      </c>
      <c r="M370" s="3" t="s">
        <v>2263</v>
      </c>
      <c r="N370" s="2" t="s">
        <v>1606</v>
      </c>
      <c r="O370" s="3" t="s">
        <v>64</v>
      </c>
      <c r="P370" s="3" t="s">
        <v>83</v>
      </c>
      <c r="R370" s="3" t="s">
        <v>1907</v>
      </c>
      <c r="S370" s="4">
        <v>42</v>
      </c>
      <c r="T370" s="4">
        <v>42</v>
      </c>
      <c r="U370" s="5" t="s">
        <v>2956</v>
      </c>
      <c r="V370" s="5" t="s">
        <v>2956</v>
      </c>
      <c r="W370" s="5" t="s">
        <v>497</v>
      </c>
      <c r="X370" s="5" t="s">
        <v>497</v>
      </c>
      <c r="Y370" s="4">
        <v>322</v>
      </c>
      <c r="Z370" s="4">
        <v>182</v>
      </c>
      <c r="AA370" s="4">
        <v>445</v>
      </c>
      <c r="AB370" s="4">
        <v>2</v>
      </c>
      <c r="AC370" s="4">
        <v>6</v>
      </c>
      <c r="AD370" s="4">
        <v>7</v>
      </c>
      <c r="AE370" s="4">
        <v>15</v>
      </c>
      <c r="AF370" s="4">
        <v>4</v>
      </c>
      <c r="AG370" s="4">
        <v>6</v>
      </c>
      <c r="AH370" s="4">
        <v>2</v>
      </c>
      <c r="AI370" s="4">
        <v>5</v>
      </c>
      <c r="AJ370" s="4">
        <v>0</v>
      </c>
      <c r="AK370" s="4">
        <v>3</v>
      </c>
      <c r="AL370" s="4">
        <v>1</v>
      </c>
      <c r="AM370" s="4">
        <v>4</v>
      </c>
      <c r="AN370" s="4">
        <v>0</v>
      </c>
      <c r="AO370" s="4">
        <v>0</v>
      </c>
      <c r="AP370" s="3" t="s">
        <v>58</v>
      </c>
      <c r="AQ370" s="3" t="s">
        <v>58</v>
      </c>
      <c r="AS370" s="6" t="str">
        <f>HYPERLINK("https://creighton-primo.hosted.exlibrisgroup.com/primo-explore/search?tab=default_tab&amp;search_scope=EVERYTHING&amp;vid=01CRU&amp;lang=en_US&amp;offset=0&amp;query=any,contains,991000784769702656","Catalog Record")</f>
        <v>Catalog Record</v>
      </c>
      <c r="AT370" s="6" t="str">
        <f>HYPERLINK("http://www.worldcat.org/oclc/36127172","WorldCat Record")</f>
        <v>WorldCat Record</v>
      </c>
    </row>
    <row r="371" spans="1:46" ht="40.5" customHeight="1" x14ac:dyDescent="0.25">
      <c r="A371" s="8" t="s">
        <v>58</v>
      </c>
      <c r="B371" s="2" t="s">
        <v>3124</v>
      </c>
      <c r="C371" s="2" t="s">
        <v>3125</v>
      </c>
      <c r="D371" s="2" t="s">
        <v>3126</v>
      </c>
      <c r="F371" s="3" t="s">
        <v>58</v>
      </c>
      <c r="G371" s="3" t="s">
        <v>59</v>
      </c>
      <c r="H371" s="3" t="s">
        <v>58</v>
      </c>
      <c r="I371" s="3" t="s">
        <v>69</v>
      </c>
      <c r="J371" s="3" t="s">
        <v>60</v>
      </c>
      <c r="L371" s="2" t="s">
        <v>3127</v>
      </c>
      <c r="M371" s="3" t="s">
        <v>2263</v>
      </c>
      <c r="N371" s="2" t="s">
        <v>1357</v>
      </c>
      <c r="O371" s="3" t="s">
        <v>64</v>
      </c>
      <c r="P371" s="3" t="s">
        <v>2018</v>
      </c>
      <c r="R371" s="3" t="s">
        <v>1907</v>
      </c>
      <c r="S371" s="4">
        <v>15</v>
      </c>
      <c r="T371" s="4">
        <v>15</v>
      </c>
      <c r="U371" s="5" t="s">
        <v>2209</v>
      </c>
      <c r="V371" s="5" t="s">
        <v>2209</v>
      </c>
      <c r="W371" s="5" t="s">
        <v>3128</v>
      </c>
      <c r="X371" s="5" t="s">
        <v>3128</v>
      </c>
      <c r="Y371" s="4">
        <v>235</v>
      </c>
      <c r="Z371" s="4">
        <v>159</v>
      </c>
      <c r="AA371" s="4">
        <v>306</v>
      </c>
      <c r="AB371" s="4">
        <v>1</v>
      </c>
      <c r="AC371" s="4">
        <v>2</v>
      </c>
      <c r="AD371" s="4">
        <v>2</v>
      </c>
      <c r="AE371" s="4">
        <v>7</v>
      </c>
      <c r="AF371" s="4">
        <v>0</v>
      </c>
      <c r="AG371" s="4">
        <v>1</v>
      </c>
      <c r="AH371" s="4">
        <v>2</v>
      </c>
      <c r="AI371" s="4">
        <v>4</v>
      </c>
      <c r="AJ371" s="4">
        <v>2</v>
      </c>
      <c r="AK371" s="4">
        <v>3</v>
      </c>
      <c r="AL371" s="4">
        <v>0</v>
      </c>
      <c r="AM371" s="4">
        <v>1</v>
      </c>
      <c r="AN371" s="4">
        <v>0</v>
      </c>
      <c r="AO371" s="4">
        <v>0</v>
      </c>
      <c r="AP371" s="3" t="s">
        <v>58</v>
      </c>
      <c r="AQ371" s="3" t="s">
        <v>69</v>
      </c>
      <c r="AR371" s="6" t="str">
        <f>HYPERLINK("http://catalog.hathitrust.org/Record/003154540","HathiTrust Record")</f>
        <v>HathiTrust Record</v>
      </c>
      <c r="AS371" s="6" t="str">
        <f>HYPERLINK("https://creighton-primo.hosted.exlibrisgroup.com/primo-explore/search?tab=default_tab&amp;search_scope=EVERYTHING&amp;vid=01CRU&amp;lang=en_US&amp;offset=0&amp;query=any,contains,991001254379702656","Catalog Record")</f>
        <v>Catalog Record</v>
      </c>
      <c r="AT371" s="6" t="str">
        <f>HYPERLINK("http://www.worldcat.org/oclc/36789107","WorldCat Record")</f>
        <v>WorldCat Record</v>
      </c>
    </row>
    <row r="372" spans="1:46" ht="40.5" customHeight="1" x14ac:dyDescent="0.25">
      <c r="A372" s="8" t="s">
        <v>58</v>
      </c>
      <c r="B372" s="2" t="s">
        <v>3129</v>
      </c>
      <c r="C372" s="2" t="s">
        <v>3130</v>
      </c>
      <c r="D372" s="2" t="s">
        <v>3131</v>
      </c>
      <c r="F372" s="3" t="s">
        <v>58</v>
      </c>
      <c r="G372" s="3" t="s">
        <v>59</v>
      </c>
      <c r="H372" s="3" t="s">
        <v>58</v>
      </c>
      <c r="I372" s="3" t="s">
        <v>58</v>
      </c>
      <c r="J372" s="3" t="s">
        <v>59</v>
      </c>
      <c r="K372" s="2" t="s">
        <v>3132</v>
      </c>
      <c r="L372" s="2" t="s">
        <v>3133</v>
      </c>
      <c r="M372" s="3" t="s">
        <v>215</v>
      </c>
      <c r="O372" s="3" t="s">
        <v>64</v>
      </c>
      <c r="P372" s="3" t="s">
        <v>113</v>
      </c>
      <c r="R372" s="3" t="s">
        <v>1907</v>
      </c>
      <c r="S372" s="4">
        <v>1</v>
      </c>
      <c r="T372" s="4">
        <v>1</v>
      </c>
      <c r="U372" s="5" t="s">
        <v>3134</v>
      </c>
      <c r="V372" s="5" t="s">
        <v>3134</v>
      </c>
      <c r="W372" s="5" t="s">
        <v>3135</v>
      </c>
      <c r="X372" s="5" t="s">
        <v>3135</v>
      </c>
      <c r="Y372" s="4">
        <v>259</v>
      </c>
      <c r="Z372" s="4">
        <v>191</v>
      </c>
      <c r="AA372" s="4">
        <v>926</v>
      </c>
      <c r="AB372" s="4">
        <v>2</v>
      </c>
      <c r="AC372" s="4">
        <v>14</v>
      </c>
      <c r="AD372" s="4">
        <v>8</v>
      </c>
      <c r="AE372" s="4">
        <v>35</v>
      </c>
      <c r="AF372" s="4">
        <v>2</v>
      </c>
      <c r="AG372" s="4">
        <v>11</v>
      </c>
      <c r="AH372" s="4">
        <v>2</v>
      </c>
      <c r="AI372" s="4">
        <v>8</v>
      </c>
      <c r="AJ372" s="4">
        <v>4</v>
      </c>
      <c r="AK372" s="4">
        <v>9</v>
      </c>
      <c r="AL372" s="4">
        <v>1</v>
      </c>
      <c r="AM372" s="4">
        <v>12</v>
      </c>
      <c r="AN372" s="4">
        <v>0</v>
      </c>
      <c r="AO372" s="4">
        <v>1</v>
      </c>
      <c r="AP372" s="3" t="s">
        <v>58</v>
      </c>
      <c r="AQ372" s="3" t="s">
        <v>69</v>
      </c>
      <c r="AR372" s="6" t="str">
        <f>HYPERLINK("http://catalog.hathitrust.org/Record/004166543","HathiTrust Record")</f>
        <v>HathiTrust Record</v>
      </c>
      <c r="AS372" s="6" t="str">
        <f>HYPERLINK("https://creighton-primo.hosted.exlibrisgroup.com/primo-explore/search?tab=default_tab&amp;search_scope=EVERYTHING&amp;vid=01CRU&amp;lang=en_US&amp;offset=0&amp;query=any,contains,991000341949702656","Catalog Record")</f>
        <v>Catalog Record</v>
      </c>
      <c r="AT372" s="6" t="str">
        <f>HYPERLINK("http://www.worldcat.org/oclc/44603902","WorldCat Record")</f>
        <v>WorldCat Record</v>
      </c>
    </row>
    <row r="373" spans="1:46" ht="40.5" customHeight="1" x14ac:dyDescent="0.25">
      <c r="A373" s="8" t="s">
        <v>58</v>
      </c>
      <c r="B373" s="2" t="s">
        <v>3136</v>
      </c>
      <c r="C373" s="2" t="s">
        <v>3137</v>
      </c>
      <c r="D373" s="2" t="s">
        <v>3138</v>
      </c>
      <c r="F373" s="3" t="s">
        <v>58</v>
      </c>
      <c r="G373" s="3" t="s">
        <v>59</v>
      </c>
      <c r="H373" s="3" t="s">
        <v>58</v>
      </c>
      <c r="I373" s="3" t="s">
        <v>58</v>
      </c>
      <c r="J373" s="3" t="s">
        <v>60</v>
      </c>
      <c r="L373" s="2" t="s">
        <v>3139</v>
      </c>
      <c r="M373" s="3" t="s">
        <v>1980</v>
      </c>
      <c r="O373" s="3" t="s">
        <v>64</v>
      </c>
      <c r="P373" s="3" t="s">
        <v>1921</v>
      </c>
      <c r="Q373" s="2" t="s">
        <v>3140</v>
      </c>
      <c r="R373" s="3" t="s">
        <v>1907</v>
      </c>
      <c r="S373" s="4">
        <v>7</v>
      </c>
      <c r="T373" s="4">
        <v>7</v>
      </c>
      <c r="U373" s="5" t="s">
        <v>3141</v>
      </c>
      <c r="V373" s="5" t="s">
        <v>3141</v>
      </c>
      <c r="W373" s="5" t="s">
        <v>2818</v>
      </c>
      <c r="X373" s="5" t="s">
        <v>2818</v>
      </c>
      <c r="Y373" s="4">
        <v>93</v>
      </c>
      <c r="Z373" s="4">
        <v>73</v>
      </c>
      <c r="AA373" s="4">
        <v>75</v>
      </c>
      <c r="AB373" s="4">
        <v>1</v>
      </c>
      <c r="AC373" s="4">
        <v>1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3" t="s">
        <v>58</v>
      </c>
      <c r="AQ373" s="3" t="s">
        <v>69</v>
      </c>
      <c r="AR373" s="6" t="str">
        <f>HYPERLINK("http://catalog.hathitrust.org/Record/000124528","HathiTrust Record")</f>
        <v>HathiTrust Record</v>
      </c>
      <c r="AS373" s="6" t="str">
        <f>HYPERLINK("https://creighton-primo.hosted.exlibrisgroup.com/primo-explore/search?tab=default_tab&amp;search_scope=EVERYTHING&amp;vid=01CRU&amp;lang=en_US&amp;offset=0&amp;query=any,contains,991000998639702656","Catalog Record")</f>
        <v>Catalog Record</v>
      </c>
      <c r="AT373" s="6" t="str">
        <f>HYPERLINK("http://www.worldcat.org/oclc/8847220","WorldCat Record")</f>
        <v>WorldCat Record</v>
      </c>
    </row>
    <row r="374" spans="1:46" ht="40.5" customHeight="1" x14ac:dyDescent="0.25">
      <c r="A374" s="8" t="s">
        <v>58</v>
      </c>
      <c r="B374" s="2" t="s">
        <v>3142</v>
      </c>
      <c r="C374" s="2" t="s">
        <v>3143</v>
      </c>
      <c r="D374" s="2" t="s">
        <v>3144</v>
      </c>
      <c r="F374" s="3" t="s">
        <v>58</v>
      </c>
      <c r="G374" s="3" t="s">
        <v>59</v>
      </c>
      <c r="H374" s="3" t="s">
        <v>58</v>
      </c>
      <c r="I374" s="3" t="s">
        <v>58</v>
      </c>
      <c r="J374" s="3" t="s">
        <v>60</v>
      </c>
      <c r="L374" s="2" t="s">
        <v>3145</v>
      </c>
      <c r="M374" s="3" t="s">
        <v>243</v>
      </c>
      <c r="O374" s="3" t="s">
        <v>64</v>
      </c>
      <c r="P374" s="3" t="s">
        <v>1607</v>
      </c>
      <c r="R374" s="3" t="s">
        <v>1907</v>
      </c>
      <c r="S374" s="4">
        <v>2</v>
      </c>
      <c r="T374" s="4">
        <v>2</v>
      </c>
      <c r="U374" s="5" t="s">
        <v>3146</v>
      </c>
      <c r="V374" s="5" t="s">
        <v>3146</v>
      </c>
      <c r="W374" s="5" t="s">
        <v>2818</v>
      </c>
      <c r="X374" s="5" t="s">
        <v>2818</v>
      </c>
      <c r="Y374" s="4">
        <v>16</v>
      </c>
      <c r="Z374" s="4">
        <v>3</v>
      </c>
      <c r="AA374" s="4">
        <v>3</v>
      </c>
      <c r="AB374" s="4">
        <v>1</v>
      </c>
      <c r="AC374" s="4">
        <v>1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4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3" t="s">
        <v>58</v>
      </c>
      <c r="AQ374" s="3" t="s">
        <v>58</v>
      </c>
      <c r="AS374" s="6" t="str">
        <f>HYPERLINK("https://creighton-primo.hosted.exlibrisgroup.com/primo-explore/search?tab=default_tab&amp;search_scope=EVERYTHING&amp;vid=01CRU&amp;lang=en_US&amp;offset=0&amp;query=any,contains,991001265989702656","Catalog Record")</f>
        <v>Catalog Record</v>
      </c>
      <c r="AT374" s="6" t="str">
        <f>HYPERLINK("http://www.worldcat.org/oclc/15198570","WorldCat Record")</f>
        <v>WorldCat Record</v>
      </c>
    </row>
    <row r="375" spans="1:46" ht="40.5" customHeight="1" x14ac:dyDescent="0.25">
      <c r="A375" s="8" t="s">
        <v>58</v>
      </c>
      <c r="B375" s="2" t="s">
        <v>3147</v>
      </c>
      <c r="C375" s="2" t="s">
        <v>3148</v>
      </c>
      <c r="D375" s="2" t="s">
        <v>3149</v>
      </c>
      <c r="F375" s="3" t="s">
        <v>58</v>
      </c>
      <c r="G375" s="3" t="s">
        <v>59</v>
      </c>
      <c r="H375" s="3" t="s">
        <v>58</v>
      </c>
      <c r="I375" s="3" t="s">
        <v>69</v>
      </c>
      <c r="J375" s="3" t="s">
        <v>60</v>
      </c>
      <c r="K375" s="2" t="s">
        <v>3150</v>
      </c>
      <c r="L375" s="2" t="s">
        <v>3151</v>
      </c>
      <c r="M375" s="3" t="s">
        <v>676</v>
      </c>
      <c r="N375" s="2" t="s">
        <v>2115</v>
      </c>
      <c r="O375" s="3" t="s">
        <v>64</v>
      </c>
      <c r="P375" s="3" t="s">
        <v>113</v>
      </c>
      <c r="R375" s="3" t="s">
        <v>1907</v>
      </c>
      <c r="S375" s="4">
        <v>19</v>
      </c>
      <c r="T375" s="4">
        <v>19</v>
      </c>
      <c r="U375" s="5" t="s">
        <v>2979</v>
      </c>
      <c r="V375" s="5" t="s">
        <v>2979</v>
      </c>
      <c r="W375" s="5" t="s">
        <v>3152</v>
      </c>
      <c r="X375" s="5" t="s">
        <v>3152</v>
      </c>
      <c r="Y375" s="4">
        <v>423</v>
      </c>
      <c r="Z375" s="4">
        <v>271</v>
      </c>
      <c r="AA375" s="4">
        <v>956</v>
      </c>
      <c r="AB375" s="4">
        <v>3</v>
      </c>
      <c r="AC375" s="4">
        <v>8</v>
      </c>
      <c r="AD375" s="4">
        <v>8</v>
      </c>
      <c r="AE375" s="4">
        <v>33</v>
      </c>
      <c r="AF375" s="4">
        <v>1</v>
      </c>
      <c r="AG375" s="4">
        <v>10</v>
      </c>
      <c r="AH375" s="4">
        <v>3</v>
      </c>
      <c r="AI375" s="4">
        <v>8</v>
      </c>
      <c r="AJ375" s="4">
        <v>6</v>
      </c>
      <c r="AK375" s="4">
        <v>14</v>
      </c>
      <c r="AL375" s="4">
        <v>0</v>
      </c>
      <c r="AM375" s="4">
        <v>5</v>
      </c>
      <c r="AN375" s="4">
        <v>0</v>
      </c>
      <c r="AO375" s="4">
        <v>1</v>
      </c>
      <c r="AP375" s="3" t="s">
        <v>58</v>
      </c>
      <c r="AQ375" s="3" t="s">
        <v>58</v>
      </c>
      <c r="AS375" s="6" t="str">
        <f>HYPERLINK("https://creighton-primo.hosted.exlibrisgroup.com/primo-explore/search?tab=default_tab&amp;search_scope=EVERYTHING&amp;vid=01CRU&amp;lang=en_US&amp;offset=0&amp;query=any,contains,991000298819702656","Catalog Record")</f>
        <v>Catalog Record</v>
      </c>
      <c r="AT375" s="6" t="str">
        <f>HYPERLINK("http://www.worldcat.org/oclc/46402574","WorldCat Record")</f>
        <v>WorldCat Record</v>
      </c>
    </row>
    <row r="376" spans="1:46" ht="40.5" customHeight="1" x14ac:dyDescent="0.25">
      <c r="A376" s="8" t="s">
        <v>58</v>
      </c>
      <c r="B376" s="2" t="s">
        <v>3153</v>
      </c>
      <c r="C376" s="2" t="s">
        <v>3154</v>
      </c>
      <c r="D376" s="2" t="s">
        <v>3155</v>
      </c>
      <c r="F376" s="3" t="s">
        <v>58</v>
      </c>
      <c r="G376" s="3" t="s">
        <v>59</v>
      </c>
      <c r="H376" s="3" t="s">
        <v>58</v>
      </c>
      <c r="I376" s="3" t="s">
        <v>58</v>
      </c>
      <c r="J376" s="3" t="s">
        <v>60</v>
      </c>
      <c r="K376" s="2" t="s">
        <v>3156</v>
      </c>
      <c r="L376" s="2" t="s">
        <v>3157</v>
      </c>
      <c r="M376" s="3" t="s">
        <v>270</v>
      </c>
      <c r="O376" s="3" t="s">
        <v>64</v>
      </c>
      <c r="P376" s="3" t="s">
        <v>113</v>
      </c>
      <c r="R376" s="3" t="s">
        <v>1907</v>
      </c>
      <c r="S376" s="4">
        <v>4</v>
      </c>
      <c r="T376" s="4">
        <v>4</v>
      </c>
      <c r="U376" s="5" t="s">
        <v>3158</v>
      </c>
      <c r="V376" s="5" t="s">
        <v>3158</v>
      </c>
      <c r="W376" s="5" t="s">
        <v>3159</v>
      </c>
      <c r="X376" s="5" t="s">
        <v>3159</v>
      </c>
      <c r="Y376" s="4">
        <v>116</v>
      </c>
      <c r="Z376" s="4">
        <v>71</v>
      </c>
      <c r="AA376" s="4">
        <v>419</v>
      </c>
      <c r="AB376" s="4">
        <v>1</v>
      </c>
      <c r="AC376" s="4">
        <v>4</v>
      </c>
      <c r="AD376" s="4">
        <v>2</v>
      </c>
      <c r="AE376" s="4">
        <v>16</v>
      </c>
      <c r="AF376" s="4">
        <v>1</v>
      </c>
      <c r="AG376" s="4">
        <v>7</v>
      </c>
      <c r="AH376" s="4">
        <v>0</v>
      </c>
      <c r="AI376" s="4">
        <v>3</v>
      </c>
      <c r="AJ376" s="4">
        <v>1</v>
      </c>
      <c r="AK376" s="4">
        <v>5</v>
      </c>
      <c r="AL376" s="4">
        <v>0</v>
      </c>
      <c r="AM376" s="4">
        <v>3</v>
      </c>
      <c r="AN376" s="4">
        <v>0</v>
      </c>
      <c r="AO376" s="4">
        <v>0</v>
      </c>
      <c r="AP376" s="3" t="s">
        <v>58</v>
      </c>
      <c r="AQ376" s="3" t="s">
        <v>69</v>
      </c>
      <c r="AR376" s="6" t="str">
        <f>HYPERLINK("http://catalog.hathitrust.org/Record/003090401","HathiTrust Record")</f>
        <v>HathiTrust Record</v>
      </c>
      <c r="AS376" s="6" t="str">
        <f>HYPERLINK("https://creighton-primo.hosted.exlibrisgroup.com/primo-explore/search?tab=default_tab&amp;search_scope=EVERYTHING&amp;vid=01CRU&amp;lang=en_US&amp;offset=0&amp;query=any,contains,991001270569702656","Catalog Record")</f>
        <v>Catalog Record</v>
      </c>
      <c r="AT376" s="6" t="str">
        <f>HYPERLINK("http://www.worldcat.org/oclc/34471146","WorldCat Record")</f>
        <v>WorldCat Record</v>
      </c>
    </row>
    <row r="377" spans="1:46" ht="40.5" customHeight="1" x14ac:dyDescent="0.25">
      <c r="A377" s="8" t="s">
        <v>58</v>
      </c>
      <c r="B377" s="2" t="s">
        <v>3160</v>
      </c>
      <c r="C377" s="2" t="s">
        <v>3161</v>
      </c>
      <c r="D377" s="2" t="s">
        <v>3162</v>
      </c>
      <c r="F377" s="3" t="s">
        <v>58</v>
      </c>
      <c r="G377" s="3" t="s">
        <v>59</v>
      </c>
      <c r="H377" s="3" t="s">
        <v>58</v>
      </c>
      <c r="I377" s="3" t="s">
        <v>58</v>
      </c>
      <c r="J377" s="3" t="s">
        <v>60</v>
      </c>
      <c r="K377" s="2" t="s">
        <v>3163</v>
      </c>
      <c r="L377" s="2" t="s">
        <v>3164</v>
      </c>
      <c r="M377" s="3" t="s">
        <v>201</v>
      </c>
      <c r="O377" s="3" t="s">
        <v>64</v>
      </c>
      <c r="P377" s="3" t="s">
        <v>3165</v>
      </c>
      <c r="R377" s="3" t="s">
        <v>1907</v>
      </c>
      <c r="S377" s="4">
        <v>2</v>
      </c>
      <c r="T377" s="4">
        <v>2</v>
      </c>
      <c r="U377" s="5" t="s">
        <v>3166</v>
      </c>
      <c r="V377" s="5" t="s">
        <v>3166</v>
      </c>
      <c r="W377" s="5" t="s">
        <v>3167</v>
      </c>
      <c r="X377" s="5" t="s">
        <v>3167</v>
      </c>
      <c r="Y377" s="4">
        <v>68</v>
      </c>
      <c r="Z377" s="4">
        <v>41</v>
      </c>
      <c r="AA377" s="4">
        <v>89</v>
      </c>
      <c r="AB377" s="4">
        <v>1</v>
      </c>
      <c r="AC377" s="4">
        <v>1</v>
      </c>
      <c r="AD377" s="4">
        <v>2</v>
      </c>
      <c r="AE377" s="4">
        <v>2</v>
      </c>
      <c r="AF377" s="4">
        <v>1</v>
      </c>
      <c r="AG377" s="4">
        <v>1</v>
      </c>
      <c r="AH377" s="4">
        <v>2</v>
      </c>
      <c r="AI377" s="4">
        <v>2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3" t="s">
        <v>58</v>
      </c>
      <c r="AQ377" s="3" t="s">
        <v>58</v>
      </c>
      <c r="AS377" s="6" t="str">
        <f>HYPERLINK("https://creighton-primo.hosted.exlibrisgroup.com/primo-explore/search?tab=default_tab&amp;search_scope=EVERYTHING&amp;vid=01CRU&amp;lang=en_US&amp;offset=0&amp;query=any,contains,991001405939702656","Catalog Record")</f>
        <v>Catalog Record</v>
      </c>
      <c r="AT377" s="6" t="str">
        <f>HYPERLINK("http://www.worldcat.org/oclc/40990991","WorldCat Record")</f>
        <v>WorldCat Record</v>
      </c>
    </row>
    <row r="378" spans="1:46" ht="40.5" customHeight="1" x14ac:dyDescent="0.25">
      <c r="A378" s="8" t="s">
        <v>58</v>
      </c>
      <c r="B378" s="2" t="s">
        <v>3168</v>
      </c>
      <c r="C378" s="2" t="s">
        <v>3169</v>
      </c>
      <c r="D378" s="2" t="s">
        <v>3170</v>
      </c>
      <c r="F378" s="3" t="s">
        <v>58</v>
      </c>
      <c r="G378" s="3" t="s">
        <v>59</v>
      </c>
      <c r="H378" s="3" t="s">
        <v>58</v>
      </c>
      <c r="I378" s="3" t="s">
        <v>58</v>
      </c>
      <c r="J378" s="3" t="s">
        <v>60</v>
      </c>
      <c r="K378" s="2" t="s">
        <v>3171</v>
      </c>
      <c r="L378" s="2" t="s">
        <v>3172</v>
      </c>
      <c r="M378" s="3" t="s">
        <v>1864</v>
      </c>
      <c r="N378" s="2" t="s">
        <v>3173</v>
      </c>
      <c r="O378" s="3" t="s">
        <v>64</v>
      </c>
      <c r="P378" s="3" t="s">
        <v>113</v>
      </c>
      <c r="R378" s="3" t="s">
        <v>1907</v>
      </c>
      <c r="S378" s="4">
        <v>6</v>
      </c>
      <c r="T378" s="4">
        <v>6</v>
      </c>
      <c r="U378" s="5" t="s">
        <v>443</v>
      </c>
      <c r="V378" s="5" t="s">
        <v>443</v>
      </c>
      <c r="W378" s="5" t="s">
        <v>1923</v>
      </c>
      <c r="X378" s="5" t="s">
        <v>1923</v>
      </c>
      <c r="Y378" s="4">
        <v>169</v>
      </c>
      <c r="Z378" s="4">
        <v>87</v>
      </c>
      <c r="AA378" s="4">
        <v>131</v>
      </c>
      <c r="AB378" s="4">
        <v>1</v>
      </c>
      <c r="AC378" s="4">
        <v>1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3" t="s">
        <v>58</v>
      </c>
      <c r="AQ378" s="3" t="s">
        <v>69</v>
      </c>
      <c r="AR378" s="6" t="str">
        <f>HYPERLINK("http://catalog.hathitrust.org/Record/000251140","HathiTrust Record")</f>
        <v>HathiTrust Record</v>
      </c>
      <c r="AS378" s="6" t="str">
        <f>HYPERLINK("https://creighton-primo.hosted.exlibrisgroup.com/primo-explore/search?tab=default_tab&amp;search_scope=EVERYTHING&amp;vid=01CRU&amp;lang=en_US&amp;offset=0&amp;query=any,contains,991000998229702656","Catalog Record")</f>
        <v>Catalog Record</v>
      </c>
      <c r="AT378" s="6" t="str">
        <f>HYPERLINK("http://www.worldcat.org/oclc/3002061","WorldCat Record")</f>
        <v>WorldCat Record</v>
      </c>
    </row>
    <row r="379" spans="1:46" ht="40.5" customHeight="1" x14ac:dyDescent="0.25">
      <c r="A379" s="8" t="s">
        <v>58</v>
      </c>
      <c r="B379" s="2" t="s">
        <v>3174</v>
      </c>
      <c r="C379" s="2" t="s">
        <v>3175</v>
      </c>
      <c r="D379" s="2" t="s">
        <v>3176</v>
      </c>
      <c r="F379" s="3" t="s">
        <v>58</v>
      </c>
      <c r="G379" s="3" t="s">
        <v>59</v>
      </c>
      <c r="H379" s="3" t="s">
        <v>58</v>
      </c>
      <c r="I379" s="3" t="s">
        <v>69</v>
      </c>
      <c r="J379" s="3" t="s">
        <v>60</v>
      </c>
      <c r="L379" s="2" t="s">
        <v>3177</v>
      </c>
      <c r="M379" s="3" t="s">
        <v>82</v>
      </c>
      <c r="O379" s="3" t="s">
        <v>64</v>
      </c>
      <c r="P379" s="3" t="s">
        <v>97</v>
      </c>
      <c r="R379" s="3" t="s">
        <v>1907</v>
      </c>
      <c r="S379" s="4">
        <v>7</v>
      </c>
      <c r="T379" s="4">
        <v>7</v>
      </c>
      <c r="U379" s="5" t="s">
        <v>2943</v>
      </c>
      <c r="V379" s="5" t="s">
        <v>2943</v>
      </c>
      <c r="W379" s="5" t="s">
        <v>1943</v>
      </c>
      <c r="X379" s="5" t="s">
        <v>1943</v>
      </c>
      <c r="Y379" s="4">
        <v>154</v>
      </c>
      <c r="Z379" s="4">
        <v>112</v>
      </c>
      <c r="AA379" s="4">
        <v>472</v>
      </c>
      <c r="AB379" s="4">
        <v>1</v>
      </c>
      <c r="AC379" s="4">
        <v>4</v>
      </c>
      <c r="AD379" s="4">
        <v>2</v>
      </c>
      <c r="AE379" s="4">
        <v>15</v>
      </c>
      <c r="AF379" s="4">
        <v>1</v>
      </c>
      <c r="AG379" s="4">
        <v>6</v>
      </c>
      <c r="AH379" s="4">
        <v>0</v>
      </c>
      <c r="AI379" s="4">
        <v>4</v>
      </c>
      <c r="AJ379" s="4">
        <v>1</v>
      </c>
      <c r="AK379" s="4">
        <v>7</v>
      </c>
      <c r="AL379" s="4">
        <v>0</v>
      </c>
      <c r="AM379" s="4">
        <v>2</v>
      </c>
      <c r="AN379" s="4">
        <v>0</v>
      </c>
      <c r="AO379" s="4">
        <v>0</v>
      </c>
      <c r="AP379" s="3" t="s">
        <v>58</v>
      </c>
      <c r="AQ379" s="3" t="s">
        <v>69</v>
      </c>
      <c r="AR379" s="6" t="str">
        <f>HYPERLINK("http://catalog.hathitrust.org/Record/004421334","HathiTrust Record")</f>
        <v>HathiTrust Record</v>
      </c>
      <c r="AS379" s="6" t="str">
        <f>HYPERLINK("https://creighton-primo.hosted.exlibrisgroup.com/primo-explore/search?tab=default_tab&amp;search_scope=EVERYTHING&amp;vid=01CRU&amp;lang=en_US&amp;offset=0&amp;query=any,contains,991000999139702656","Catalog Record")</f>
        <v>Catalog Record</v>
      </c>
      <c r="AT379" s="6" t="str">
        <f>HYPERLINK("http://www.worldcat.org/oclc/5102088","WorldCat Record")</f>
        <v>WorldCat Record</v>
      </c>
    </row>
    <row r="380" spans="1:46" ht="40.5" customHeight="1" x14ac:dyDescent="0.25">
      <c r="A380" s="8" t="s">
        <v>58</v>
      </c>
      <c r="B380" s="2" t="s">
        <v>3178</v>
      </c>
      <c r="C380" s="2" t="s">
        <v>3179</v>
      </c>
      <c r="D380" s="2" t="s">
        <v>3180</v>
      </c>
      <c r="F380" s="3" t="s">
        <v>58</v>
      </c>
      <c r="G380" s="3" t="s">
        <v>59</v>
      </c>
      <c r="H380" s="3" t="s">
        <v>58</v>
      </c>
      <c r="I380" s="3" t="s">
        <v>58</v>
      </c>
      <c r="J380" s="3" t="s">
        <v>60</v>
      </c>
      <c r="L380" s="2" t="s">
        <v>3181</v>
      </c>
      <c r="M380" s="3" t="s">
        <v>185</v>
      </c>
      <c r="O380" s="3" t="s">
        <v>64</v>
      </c>
      <c r="P380" s="3" t="s">
        <v>113</v>
      </c>
      <c r="R380" s="3" t="s">
        <v>1907</v>
      </c>
      <c r="S380" s="4">
        <v>4</v>
      </c>
      <c r="T380" s="4">
        <v>4</v>
      </c>
      <c r="U380" s="5" t="s">
        <v>3182</v>
      </c>
      <c r="V380" s="5" t="s">
        <v>3182</v>
      </c>
      <c r="W380" s="5" t="s">
        <v>3183</v>
      </c>
      <c r="X380" s="5" t="s">
        <v>3183</v>
      </c>
      <c r="Y380" s="4">
        <v>61</v>
      </c>
      <c r="Z380" s="4">
        <v>26</v>
      </c>
      <c r="AA380" s="4">
        <v>26</v>
      </c>
      <c r="AB380" s="4">
        <v>1</v>
      </c>
      <c r="AC380" s="4">
        <v>1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3" t="s">
        <v>58</v>
      </c>
      <c r="AQ380" s="3" t="s">
        <v>58</v>
      </c>
      <c r="AS380" s="6" t="str">
        <f>HYPERLINK("https://creighton-primo.hosted.exlibrisgroup.com/primo-explore/search?tab=default_tab&amp;search_scope=EVERYTHING&amp;vid=01CRU&amp;lang=en_US&amp;offset=0&amp;query=any,contains,991000680699702656","Catalog Record")</f>
        <v>Catalog Record</v>
      </c>
      <c r="AT380" s="6" t="str">
        <f>HYPERLINK("http://www.worldcat.org/oclc/31208636","WorldCat Record")</f>
        <v>WorldCat Record</v>
      </c>
    </row>
    <row r="381" spans="1:46" ht="40.5" customHeight="1" x14ac:dyDescent="0.25">
      <c r="A381" s="8" t="s">
        <v>58</v>
      </c>
      <c r="B381" s="2" t="s">
        <v>3184</v>
      </c>
      <c r="C381" s="2" t="s">
        <v>3185</v>
      </c>
      <c r="D381" s="2" t="s">
        <v>3186</v>
      </c>
      <c r="F381" s="3" t="s">
        <v>58</v>
      </c>
      <c r="G381" s="3" t="s">
        <v>59</v>
      </c>
      <c r="H381" s="3" t="s">
        <v>58</v>
      </c>
      <c r="I381" s="3" t="s">
        <v>58</v>
      </c>
      <c r="J381" s="3" t="s">
        <v>60</v>
      </c>
      <c r="L381" s="2" t="s">
        <v>3187</v>
      </c>
      <c r="M381" s="3" t="s">
        <v>63</v>
      </c>
      <c r="O381" s="3" t="s">
        <v>64</v>
      </c>
      <c r="P381" s="3" t="s">
        <v>186</v>
      </c>
      <c r="Q381" s="2" t="s">
        <v>3188</v>
      </c>
      <c r="R381" s="3" t="s">
        <v>1907</v>
      </c>
      <c r="S381" s="4">
        <v>8</v>
      </c>
      <c r="T381" s="4">
        <v>8</v>
      </c>
      <c r="U381" s="5" t="s">
        <v>3189</v>
      </c>
      <c r="V381" s="5" t="s">
        <v>3189</v>
      </c>
      <c r="W381" s="5" t="s">
        <v>1923</v>
      </c>
      <c r="X381" s="5" t="s">
        <v>1923</v>
      </c>
      <c r="Y381" s="4">
        <v>115</v>
      </c>
      <c r="Z381" s="4">
        <v>92</v>
      </c>
      <c r="AA381" s="4">
        <v>94</v>
      </c>
      <c r="AB381" s="4">
        <v>1</v>
      </c>
      <c r="AC381" s="4">
        <v>1</v>
      </c>
      <c r="AD381" s="4">
        <v>1</v>
      </c>
      <c r="AE381" s="4">
        <v>1</v>
      </c>
      <c r="AF381" s="4">
        <v>1</v>
      </c>
      <c r="AG381" s="4">
        <v>1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3" t="s">
        <v>58</v>
      </c>
      <c r="AQ381" s="3" t="s">
        <v>69</v>
      </c>
      <c r="AR381" s="6" t="str">
        <f>HYPERLINK("http://catalog.hathitrust.org/Record/000576200","HathiTrust Record")</f>
        <v>HathiTrust Record</v>
      </c>
      <c r="AS381" s="6" t="str">
        <f>HYPERLINK("https://creighton-primo.hosted.exlibrisgroup.com/primo-explore/search?tab=default_tab&amp;search_scope=EVERYTHING&amp;vid=01CRU&amp;lang=en_US&amp;offset=0&amp;query=any,contains,991000998419702656","Catalog Record")</f>
        <v>Catalog Record</v>
      </c>
      <c r="AT381" s="6" t="str">
        <f>HYPERLINK("http://www.worldcat.org/oclc/11190365","WorldCat Record")</f>
        <v>WorldCat Record</v>
      </c>
    </row>
    <row r="382" spans="1:46" ht="40.5" customHeight="1" x14ac:dyDescent="0.25">
      <c r="A382" s="8" t="s">
        <v>58</v>
      </c>
      <c r="B382" s="2" t="s">
        <v>3190</v>
      </c>
      <c r="C382" s="2" t="s">
        <v>3191</v>
      </c>
      <c r="D382" s="2" t="s">
        <v>3192</v>
      </c>
      <c r="F382" s="3" t="s">
        <v>58</v>
      </c>
      <c r="G382" s="3" t="s">
        <v>59</v>
      </c>
      <c r="H382" s="3" t="s">
        <v>58</v>
      </c>
      <c r="I382" s="3" t="s">
        <v>58</v>
      </c>
      <c r="J382" s="3" t="s">
        <v>60</v>
      </c>
      <c r="L382" s="2" t="s">
        <v>3193</v>
      </c>
      <c r="M382" s="3" t="s">
        <v>1864</v>
      </c>
      <c r="O382" s="3" t="s">
        <v>64</v>
      </c>
      <c r="P382" s="3" t="s">
        <v>113</v>
      </c>
      <c r="R382" s="3" t="s">
        <v>1907</v>
      </c>
      <c r="S382" s="4">
        <v>4</v>
      </c>
      <c r="T382" s="4">
        <v>4</v>
      </c>
      <c r="U382" s="5" t="s">
        <v>3194</v>
      </c>
      <c r="V382" s="5" t="s">
        <v>3194</v>
      </c>
      <c r="W382" s="5" t="s">
        <v>1923</v>
      </c>
      <c r="X382" s="5" t="s">
        <v>1923</v>
      </c>
      <c r="Y382" s="4">
        <v>266</v>
      </c>
      <c r="Z382" s="4">
        <v>177</v>
      </c>
      <c r="AA382" s="4">
        <v>184</v>
      </c>
      <c r="AB382" s="4">
        <v>1</v>
      </c>
      <c r="AC382" s="4">
        <v>1</v>
      </c>
      <c r="AD382" s="4">
        <v>4</v>
      </c>
      <c r="AE382" s="4">
        <v>4</v>
      </c>
      <c r="AF382" s="4">
        <v>2</v>
      </c>
      <c r="AG382" s="4">
        <v>2</v>
      </c>
      <c r="AH382" s="4">
        <v>1</v>
      </c>
      <c r="AI382" s="4">
        <v>1</v>
      </c>
      <c r="AJ382" s="4">
        <v>3</v>
      </c>
      <c r="AK382" s="4">
        <v>3</v>
      </c>
      <c r="AL382" s="4">
        <v>0</v>
      </c>
      <c r="AM382" s="4">
        <v>0</v>
      </c>
      <c r="AN382" s="4">
        <v>0</v>
      </c>
      <c r="AO382" s="4">
        <v>0</v>
      </c>
      <c r="AP382" s="3" t="s">
        <v>58</v>
      </c>
      <c r="AQ382" s="3" t="s">
        <v>69</v>
      </c>
      <c r="AR382" s="6" t="str">
        <f>HYPERLINK("http://catalog.hathitrust.org/Record/000210590","HathiTrust Record")</f>
        <v>HathiTrust Record</v>
      </c>
      <c r="AS382" s="6" t="str">
        <f>HYPERLINK("https://creighton-primo.hosted.exlibrisgroup.com/primo-explore/search?tab=default_tab&amp;search_scope=EVERYTHING&amp;vid=01CRU&amp;lang=en_US&amp;offset=0&amp;query=any,contains,991000998459702656","Catalog Record")</f>
        <v>Catalog Record</v>
      </c>
      <c r="AT382" s="6" t="str">
        <f>HYPERLINK("http://www.worldcat.org/oclc/2818500","WorldCat Record")</f>
        <v>WorldCat Record</v>
      </c>
    </row>
    <row r="383" spans="1:46" ht="40.5" customHeight="1" x14ac:dyDescent="0.25">
      <c r="A383" s="8" t="s">
        <v>58</v>
      </c>
      <c r="B383" s="2" t="s">
        <v>3195</v>
      </c>
      <c r="C383" s="2" t="s">
        <v>3196</v>
      </c>
      <c r="D383" s="2" t="s">
        <v>3197</v>
      </c>
      <c r="F383" s="3" t="s">
        <v>58</v>
      </c>
      <c r="G383" s="3" t="s">
        <v>59</v>
      </c>
      <c r="H383" s="3" t="s">
        <v>58</v>
      </c>
      <c r="I383" s="3" t="s">
        <v>58</v>
      </c>
      <c r="J383" s="3" t="s">
        <v>60</v>
      </c>
      <c r="L383" s="2" t="s">
        <v>3198</v>
      </c>
      <c r="M383" s="3" t="s">
        <v>258</v>
      </c>
      <c r="O383" s="3" t="s">
        <v>64</v>
      </c>
      <c r="P383" s="3" t="s">
        <v>1921</v>
      </c>
      <c r="R383" s="3" t="s">
        <v>1907</v>
      </c>
      <c r="S383" s="4">
        <v>15</v>
      </c>
      <c r="T383" s="4">
        <v>15</v>
      </c>
      <c r="U383" s="5" t="s">
        <v>3199</v>
      </c>
      <c r="V383" s="5" t="s">
        <v>3199</v>
      </c>
      <c r="W383" s="5" t="s">
        <v>3200</v>
      </c>
      <c r="X383" s="5" t="s">
        <v>3200</v>
      </c>
      <c r="Y383" s="4">
        <v>205</v>
      </c>
      <c r="Z383" s="4">
        <v>152</v>
      </c>
      <c r="AA383" s="4">
        <v>152</v>
      </c>
      <c r="AB383" s="4">
        <v>1</v>
      </c>
      <c r="AC383" s="4">
        <v>1</v>
      </c>
      <c r="AD383" s="4">
        <v>4</v>
      </c>
      <c r="AE383" s="4">
        <v>4</v>
      </c>
      <c r="AF383" s="4">
        <v>0</v>
      </c>
      <c r="AG383" s="4">
        <v>0</v>
      </c>
      <c r="AH383" s="4">
        <v>2</v>
      </c>
      <c r="AI383" s="4">
        <v>2</v>
      </c>
      <c r="AJ383" s="4">
        <v>4</v>
      </c>
      <c r="AK383" s="4">
        <v>4</v>
      </c>
      <c r="AL383" s="4">
        <v>0</v>
      </c>
      <c r="AM383" s="4">
        <v>0</v>
      </c>
      <c r="AN383" s="4">
        <v>0</v>
      </c>
      <c r="AO383" s="4">
        <v>0</v>
      </c>
      <c r="AP383" s="3" t="s">
        <v>58</v>
      </c>
      <c r="AQ383" s="3" t="s">
        <v>58</v>
      </c>
      <c r="AS383" s="6" t="str">
        <f>HYPERLINK("https://creighton-primo.hosted.exlibrisgroup.com/primo-explore/search?tab=default_tab&amp;search_scope=EVERYTHING&amp;vid=01CRU&amp;lang=en_US&amp;offset=0&amp;query=any,contains,991001445369702656","Catalog Record")</f>
        <v>Catalog Record</v>
      </c>
      <c r="AT383" s="6" t="str">
        <f>HYPERLINK("http://www.worldcat.org/oclc/18521378","WorldCat Record")</f>
        <v>WorldCat Record</v>
      </c>
    </row>
    <row r="384" spans="1:46" ht="40.5" customHeight="1" x14ac:dyDescent="0.25">
      <c r="A384" s="8" t="s">
        <v>58</v>
      </c>
      <c r="B384" s="2" t="s">
        <v>3201</v>
      </c>
      <c r="C384" s="2" t="s">
        <v>3202</v>
      </c>
      <c r="D384" s="2" t="s">
        <v>3203</v>
      </c>
      <c r="F384" s="3" t="s">
        <v>58</v>
      </c>
      <c r="G384" s="3" t="s">
        <v>59</v>
      </c>
      <c r="H384" s="3" t="s">
        <v>58</v>
      </c>
      <c r="I384" s="3" t="s">
        <v>58</v>
      </c>
      <c r="J384" s="3" t="s">
        <v>60</v>
      </c>
      <c r="K384" s="2" t="s">
        <v>3204</v>
      </c>
      <c r="L384" s="2" t="s">
        <v>2457</v>
      </c>
      <c r="M384" s="3" t="s">
        <v>1632</v>
      </c>
      <c r="O384" s="3" t="s">
        <v>64</v>
      </c>
      <c r="P384" s="3" t="s">
        <v>1921</v>
      </c>
      <c r="R384" s="3" t="s">
        <v>1907</v>
      </c>
      <c r="S384" s="4">
        <v>29</v>
      </c>
      <c r="T384" s="4">
        <v>29</v>
      </c>
      <c r="U384" s="5" t="s">
        <v>3205</v>
      </c>
      <c r="V384" s="5" t="s">
        <v>3205</v>
      </c>
      <c r="W384" s="5" t="s">
        <v>3200</v>
      </c>
      <c r="X384" s="5" t="s">
        <v>3200</v>
      </c>
      <c r="Y384" s="4">
        <v>244</v>
      </c>
      <c r="Z384" s="4">
        <v>187</v>
      </c>
      <c r="AA384" s="4">
        <v>200</v>
      </c>
      <c r="AB384" s="4">
        <v>2</v>
      </c>
      <c r="AC384" s="4">
        <v>2</v>
      </c>
      <c r="AD384" s="4">
        <v>4</v>
      </c>
      <c r="AE384" s="4">
        <v>4</v>
      </c>
      <c r="AF384" s="4">
        <v>0</v>
      </c>
      <c r="AG384" s="4">
        <v>0</v>
      </c>
      <c r="AH384" s="4">
        <v>2</v>
      </c>
      <c r="AI384" s="4">
        <v>2</v>
      </c>
      <c r="AJ384" s="4">
        <v>4</v>
      </c>
      <c r="AK384" s="4">
        <v>4</v>
      </c>
      <c r="AL384" s="4">
        <v>0</v>
      </c>
      <c r="AM384" s="4">
        <v>0</v>
      </c>
      <c r="AN384" s="4">
        <v>0</v>
      </c>
      <c r="AO384" s="4">
        <v>0</v>
      </c>
      <c r="AP384" s="3" t="s">
        <v>58</v>
      </c>
      <c r="AQ384" s="3" t="s">
        <v>58</v>
      </c>
      <c r="AS384" s="6" t="str">
        <f>HYPERLINK("https://creighton-primo.hosted.exlibrisgroup.com/primo-explore/search?tab=default_tab&amp;search_scope=EVERYTHING&amp;vid=01CRU&amp;lang=en_US&amp;offset=0&amp;query=any,contains,991001445409702656","Catalog Record")</f>
        <v>Catalog Record</v>
      </c>
      <c r="AT384" s="6" t="str">
        <f>HYPERLINK("http://www.worldcat.org/oclc/16683217","WorldCat Record")</f>
        <v>WorldCat Record</v>
      </c>
    </row>
    <row r="385" spans="1:46" ht="40.5" customHeight="1" x14ac:dyDescent="0.25">
      <c r="A385" s="8" t="s">
        <v>58</v>
      </c>
      <c r="B385" s="2" t="s">
        <v>3206</v>
      </c>
      <c r="C385" s="2" t="s">
        <v>3207</v>
      </c>
      <c r="D385" s="2" t="s">
        <v>3208</v>
      </c>
      <c r="F385" s="3" t="s">
        <v>58</v>
      </c>
      <c r="G385" s="3" t="s">
        <v>59</v>
      </c>
      <c r="H385" s="3" t="s">
        <v>58</v>
      </c>
      <c r="I385" s="3" t="s">
        <v>58</v>
      </c>
      <c r="J385" s="3" t="s">
        <v>60</v>
      </c>
      <c r="K385" s="2" t="s">
        <v>3209</v>
      </c>
      <c r="L385" s="2" t="s">
        <v>3210</v>
      </c>
      <c r="M385" s="3" t="s">
        <v>1121</v>
      </c>
      <c r="O385" s="3" t="s">
        <v>64</v>
      </c>
      <c r="P385" s="3" t="s">
        <v>113</v>
      </c>
      <c r="Q385" s="2" t="s">
        <v>3211</v>
      </c>
      <c r="R385" s="3" t="s">
        <v>1907</v>
      </c>
      <c r="S385" s="4">
        <v>5</v>
      </c>
      <c r="T385" s="4">
        <v>5</v>
      </c>
      <c r="U385" s="5" t="s">
        <v>3212</v>
      </c>
      <c r="V385" s="5" t="s">
        <v>3212</v>
      </c>
      <c r="W385" s="5" t="s">
        <v>1923</v>
      </c>
      <c r="X385" s="5" t="s">
        <v>1923</v>
      </c>
      <c r="Y385" s="4">
        <v>357</v>
      </c>
      <c r="Z385" s="4">
        <v>250</v>
      </c>
      <c r="AA385" s="4">
        <v>253</v>
      </c>
      <c r="AB385" s="4">
        <v>1</v>
      </c>
      <c r="AC385" s="4">
        <v>1</v>
      </c>
      <c r="AD385" s="4">
        <v>8</v>
      </c>
      <c r="AE385" s="4">
        <v>8</v>
      </c>
      <c r="AF385" s="4">
        <v>2</v>
      </c>
      <c r="AG385" s="4">
        <v>2</v>
      </c>
      <c r="AH385" s="4">
        <v>5</v>
      </c>
      <c r="AI385" s="4">
        <v>5</v>
      </c>
      <c r="AJ385" s="4">
        <v>4</v>
      </c>
      <c r="AK385" s="4">
        <v>4</v>
      </c>
      <c r="AL385" s="4">
        <v>0</v>
      </c>
      <c r="AM385" s="4">
        <v>0</v>
      </c>
      <c r="AN385" s="4">
        <v>0</v>
      </c>
      <c r="AO385" s="4">
        <v>0</v>
      </c>
      <c r="AP385" s="3" t="s">
        <v>58</v>
      </c>
      <c r="AQ385" s="3" t="s">
        <v>69</v>
      </c>
      <c r="AR385" s="6" t="str">
        <f>HYPERLINK("http://catalog.hathitrust.org/Record/000709878","HathiTrust Record")</f>
        <v>HathiTrust Record</v>
      </c>
      <c r="AS385" s="6" t="str">
        <f>HYPERLINK("https://creighton-primo.hosted.exlibrisgroup.com/primo-explore/search?tab=default_tab&amp;search_scope=EVERYTHING&amp;vid=01CRU&amp;lang=en_US&amp;offset=0&amp;query=any,contains,991001329499702656","Catalog Record")</f>
        <v>Catalog Record</v>
      </c>
      <c r="AT385" s="6" t="str">
        <f>HYPERLINK("http://www.worldcat.org/oclc/6825693","WorldCat Record")</f>
        <v>WorldCat Record</v>
      </c>
    </row>
    <row r="386" spans="1:46" ht="40.5" customHeight="1" x14ac:dyDescent="0.25">
      <c r="A386" s="8" t="s">
        <v>58</v>
      </c>
      <c r="B386" s="2" t="s">
        <v>3213</v>
      </c>
      <c r="C386" s="2" t="s">
        <v>3214</v>
      </c>
      <c r="D386" s="2" t="s">
        <v>3215</v>
      </c>
      <c r="F386" s="3" t="s">
        <v>58</v>
      </c>
      <c r="G386" s="3" t="s">
        <v>59</v>
      </c>
      <c r="H386" s="3" t="s">
        <v>58</v>
      </c>
      <c r="I386" s="3" t="s">
        <v>58</v>
      </c>
      <c r="J386" s="3" t="s">
        <v>60</v>
      </c>
      <c r="L386" s="2" t="s">
        <v>3216</v>
      </c>
      <c r="M386" s="3" t="s">
        <v>270</v>
      </c>
      <c r="N386" s="2" t="s">
        <v>271</v>
      </c>
      <c r="O386" s="3" t="s">
        <v>64</v>
      </c>
      <c r="P386" s="3" t="s">
        <v>113</v>
      </c>
      <c r="Q386" s="2" t="s">
        <v>3217</v>
      </c>
      <c r="R386" s="3" t="s">
        <v>1907</v>
      </c>
      <c r="S386" s="4">
        <v>9</v>
      </c>
      <c r="T386" s="4">
        <v>9</v>
      </c>
      <c r="U386" s="5" t="s">
        <v>3218</v>
      </c>
      <c r="V386" s="5" t="s">
        <v>3218</v>
      </c>
      <c r="W386" s="5" t="s">
        <v>3219</v>
      </c>
      <c r="X386" s="5" t="s">
        <v>3219</v>
      </c>
      <c r="Y386" s="4">
        <v>266</v>
      </c>
      <c r="Z386" s="4">
        <v>159</v>
      </c>
      <c r="AA386" s="4">
        <v>260</v>
      </c>
      <c r="AB386" s="4">
        <v>1</v>
      </c>
      <c r="AC386" s="4">
        <v>1</v>
      </c>
      <c r="AD386" s="4">
        <v>5</v>
      </c>
      <c r="AE386" s="4">
        <v>10</v>
      </c>
      <c r="AF386" s="4">
        <v>0</v>
      </c>
      <c r="AG386" s="4">
        <v>2</v>
      </c>
      <c r="AH386" s="4">
        <v>4</v>
      </c>
      <c r="AI386" s="4">
        <v>5</v>
      </c>
      <c r="AJ386" s="4">
        <v>3</v>
      </c>
      <c r="AK386" s="4">
        <v>7</v>
      </c>
      <c r="AL386" s="4">
        <v>0</v>
      </c>
      <c r="AM386" s="4">
        <v>0</v>
      </c>
      <c r="AN386" s="4">
        <v>0</v>
      </c>
      <c r="AO386" s="4">
        <v>0</v>
      </c>
      <c r="AP386" s="3" t="s">
        <v>58</v>
      </c>
      <c r="AQ386" s="3" t="s">
        <v>69</v>
      </c>
      <c r="AR386" s="6" t="str">
        <f>HYPERLINK("http://catalog.hathitrust.org/Record/003054858","HathiTrust Record")</f>
        <v>HathiTrust Record</v>
      </c>
      <c r="AS386" s="6" t="str">
        <f>HYPERLINK("https://creighton-primo.hosted.exlibrisgroup.com/primo-explore/search?tab=default_tab&amp;search_scope=EVERYTHING&amp;vid=01CRU&amp;lang=en_US&amp;offset=0&amp;query=any,contains,991001558859702656","Catalog Record")</f>
        <v>Catalog Record</v>
      </c>
      <c r="AT386" s="6" t="str">
        <f>HYPERLINK("http://www.worldcat.org/oclc/32589202","WorldCat Record")</f>
        <v>WorldCat Record</v>
      </c>
    </row>
    <row r="387" spans="1:46" ht="40.5" customHeight="1" x14ac:dyDescent="0.25">
      <c r="A387" s="8" t="s">
        <v>58</v>
      </c>
      <c r="B387" s="2" t="s">
        <v>3220</v>
      </c>
      <c r="C387" s="2" t="s">
        <v>3221</v>
      </c>
      <c r="D387" s="2" t="s">
        <v>3222</v>
      </c>
      <c r="F387" s="3" t="s">
        <v>58</v>
      </c>
      <c r="G387" s="3" t="s">
        <v>59</v>
      </c>
      <c r="H387" s="3" t="s">
        <v>58</v>
      </c>
      <c r="I387" s="3" t="s">
        <v>58</v>
      </c>
      <c r="J387" s="3" t="s">
        <v>60</v>
      </c>
      <c r="K387" s="2" t="s">
        <v>3223</v>
      </c>
      <c r="L387" s="2" t="s">
        <v>3224</v>
      </c>
      <c r="M387" s="3" t="s">
        <v>540</v>
      </c>
      <c r="O387" s="3" t="s">
        <v>64</v>
      </c>
      <c r="P387" s="3" t="s">
        <v>83</v>
      </c>
      <c r="R387" s="3" t="s">
        <v>1907</v>
      </c>
      <c r="S387" s="4">
        <v>14</v>
      </c>
      <c r="T387" s="4">
        <v>14</v>
      </c>
      <c r="U387" s="5" t="s">
        <v>3225</v>
      </c>
      <c r="V387" s="5" t="s">
        <v>3225</v>
      </c>
      <c r="W387" s="5" t="s">
        <v>3226</v>
      </c>
      <c r="X387" s="5" t="s">
        <v>3226</v>
      </c>
      <c r="Y387" s="4">
        <v>134</v>
      </c>
      <c r="Z387" s="4">
        <v>88</v>
      </c>
      <c r="AA387" s="4">
        <v>88</v>
      </c>
      <c r="AB387" s="4">
        <v>1</v>
      </c>
      <c r="AC387" s="4">
        <v>1</v>
      </c>
      <c r="AD387" s="4">
        <v>1</v>
      </c>
      <c r="AE387" s="4">
        <v>1</v>
      </c>
      <c r="AF387" s="4">
        <v>0</v>
      </c>
      <c r="AG387" s="4">
        <v>0</v>
      </c>
      <c r="AH387" s="4">
        <v>1</v>
      </c>
      <c r="AI387" s="4">
        <v>1</v>
      </c>
      <c r="AJ387" s="4">
        <v>1</v>
      </c>
      <c r="AK387" s="4">
        <v>1</v>
      </c>
      <c r="AL387" s="4">
        <v>0</v>
      </c>
      <c r="AM387" s="4">
        <v>0</v>
      </c>
      <c r="AN387" s="4">
        <v>0</v>
      </c>
      <c r="AO387" s="4">
        <v>0</v>
      </c>
      <c r="AP387" s="3" t="s">
        <v>58</v>
      </c>
      <c r="AQ387" s="3" t="s">
        <v>58</v>
      </c>
      <c r="AS387" s="6" t="str">
        <f>HYPERLINK("https://creighton-primo.hosted.exlibrisgroup.com/primo-explore/search?tab=default_tab&amp;search_scope=EVERYTHING&amp;vid=01CRU&amp;lang=en_US&amp;offset=0&amp;query=any,contains,991001197079702656","Catalog Record")</f>
        <v>Catalog Record</v>
      </c>
      <c r="AT387" s="6" t="str">
        <f>HYPERLINK("http://www.worldcat.org/oclc/24795853","WorldCat Record")</f>
        <v>WorldCat Record</v>
      </c>
    </row>
    <row r="388" spans="1:46" ht="40.5" customHeight="1" x14ac:dyDescent="0.25">
      <c r="A388" s="8" t="s">
        <v>58</v>
      </c>
      <c r="B388" s="2" t="s">
        <v>3227</v>
      </c>
      <c r="C388" s="2" t="s">
        <v>3228</v>
      </c>
      <c r="D388" s="2" t="s">
        <v>3229</v>
      </c>
      <c r="F388" s="3" t="s">
        <v>58</v>
      </c>
      <c r="G388" s="3" t="s">
        <v>59</v>
      </c>
      <c r="H388" s="3" t="s">
        <v>58</v>
      </c>
      <c r="I388" s="3" t="s">
        <v>58</v>
      </c>
      <c r="J388" s="3" t="s">
        <v>60</v>
      </c>
      <c r="K388" s="2" t="s">
        <v>3230</v>
      </c>
      <c r="L388" s="2" t="s">
        <v>3231</v>
      </c>
      <c r="M388" s="3" t="s">
        <v>82</v>
      </c>
      <c r="N388" s="2" t="s">
        <v>271</v>
      </c>
      <c r="O388" s="3" t="s">
        <v>64</v>
      </c>
      <c r="P388" s="3" t="s">
        <v>83</v>
      </c>
      <c r="Q388" s="2" t="s">
        <v>3116</v>
      </c>
      <c r="R388" s="3" t="s">
        <v>1907</v>
      </c>
      <c r="S388" s="4">
        <v>9</v>
      </c>
      <c r="T388" s="4">
        <v>9</v>
      </c>
      <c r="U388" s="5" t="s">
        <v>3232</v>
      </c>
      <c r="V388" s="5" t="s">
        <v>3232</v>
      </c>
      <c r="W388" s="5" t="s">
        <v>1923</v>
      </c>
      <c r="X388" s="5" t="s">
        <v>1923</v>
      </c>
      <c r="Y388" s="4">
        <v>323</v>
      </c>
      <c r="Z388" s="4">
        <v>227</v>
      </c>
      <c r="AA388" s="4">
        <v>477</v>
      </c>
      <c r="AB388" s="4">
        <v>2</v>
      </c>
      <c r="AC388" s="4">
        <v>2</v>
      </c>
      <c r="AD388" s="4">
        <v>3</v>
      </c>
      <c r="AE388" s="4">
        <v>11</v>
      </c>
      <c r="AF388" s="4">
        <v>0</v>
      </c>
      <c r="AG388" s="4">
        <v>2</v>
      </c>
      <c r="AH388" s="4">
        <v>2</v>
      </c>
      <c r="AI388" s="4">
        <v>5</v>
      </c>
      <c r="AJ388" s="4">
        <v>3</v>
      </c>
      <c r="AK388" s="4">
        <v>8</v>
      </c>
      <c r="AL388" s="4">
        <v>0</v>
      </c>
      <c r="AM388" s="4">
        <v>0</v>
      </c>
      <c r="AN388" s="4">
        <v>0</v>
      </c>
      <c r="AO388" s="4">
        <v>0</v>
      </c>
      <c r="AP388" s="3" t="s">
        <v>58</v>
      </c>
      <c r="AQ388" s="3" t="s">
        <v>69</v>
      </c>
      <c r="AR388" s="6" t="str">
        <f>HYPERLINK("http://catalog.hathitrust.org/Record/000215969","HathiTrust Record")</f>
        <v>HathiTrust Record</v>
      </c>
      <c r="AS388" s="6" t="str">
        <f>HYPERLINK("https://creighton-primo.hosted.exlibrisgroup.com/primo-explore/search?tab=default_tab&amp;search_scope=EVERYTHING&amp;vid=01CRU&amp;lang=en_US&amp;offset=0&amp;query=any,contains,991000491529702656","Catalog Record")</f>
        <v>Catalog Record</v>
      </c>
      <c r="AT388" s="6" t="str">
        <f>HYPERLINK("http://www.worldcat.org/oclc/4194096","WorldCat Record")</f>
        <v>WorldCat Record</v>
      </c>
    </row>
    <row r="389" spans="1:46" ht="40.5" customHeight="1" x14ac:dyDescent="0.25">
      <c r="A389" s="8" t="s">
        <v>58</v>
      </c>
      <c r="B389" s="2" t="s">
        <v>3233</v>
      </c>
      <c r="C389" s="2" t="s">
        <v>3234</v>
      </c>
      <c r="D389" s="2" t="s">
        <v>3235</v>
      </c>
      <c r="E389" s="3" t="s">
        <v>1947</v>
      </c>
      <c r="F389" s="3" t="s">
        <v>69</v>
      </c>
      <c r="G389" s="3" t="s">
        <v>59</v>
      </c>
      <c r="H389" s="3" t="s">
        <v>58</v>
      </c>
      <c r="I389" s="3" t="s">
        <v>58</v>
      </c>
      <c r="J389" s="3" t="s">
        <v>60</v>
      </c>
      <c r="L389" s="2" t="s">
        <v>3236</v>
      </c>
      <c r="M389" s="3" t="s">
        <v>1094</v>
      </c>
      <c r="O389" s="3" t="s">
        <v>64</v>
      </c>
      <c r="P389" s="3" t="s">
        <v>113</v>
      </c>
      <c r="R389" s="3" t="s">
        <v>1907</v>
      </c>
      <c r="S389" s="4">
        <v>13</v>
      </c>
      <c r="T389" s="4">
        <v>31</v>
      </c>
      <c r="U389" s="5" t="s">
        <v>3237</v>
      </c>
      <c r="V389" s="5" t="s">
        <v>3237</v>
      </c>
      <c r="W389" s="5" t="s">
        <v>1923</v>
      </c>
      <c r="X389" s="5" t="s">
        <v>1923</v>
      </c>
      <c r="Y389" s="4">
        <v>329</v>
      </c>
      <c r="Z389" s="4">
        <v>235</v>
      </c>
      <c r="AA389" s="4">
        <v>243</v>
      </c>
      <c r="AB389" s="4">
        <v>1</v>
      </c>
      <c r="AC389" s="4">
        <v>1</v>
      </c>
      <c r="AD389" s="4">
        <v>6</v>
      </c>
      <c r="AE389" s="4">
        <v>6</v>
      </c>
      <c r="AF389" s="4">
        <v>1</v>
      </c>
      <c r="AG389" s="4">
        <v>1</v>
      </c>
      <c r="AH389" s="4">
        <v>2</v>
      </c>
      <c r="AI389" s="4">
        <v>2</v>
      </c>
      <c r="AJ389" s="4">
        <v>5</v>
      </c>
      <c r="AK389" s="4">
        <v>5</v>
      </c>
      <c r="AL389" s="4">
        <v>0</v>
      </c>
      <c r="AM389" s="4">
        <v>0</v>
      </c>
      <c r="AN389" s="4">
        <v>0</v>
      </c>
      <c r="AO389" s="4">
        <v>0</v>
      </c>
      <c r="AP389" s="3" t="s">
        <v>58</v>
      </c>
      <c r="AQ389" s="3" t="s">
        <v>69</v>
      </c>
      <c r="AR389" s="6" t="str">
        <f>HYPERLINK("http://catalog.hathitrust.org/Record/000767842","HathiTrust Record")</f>
        <v>HathiTrust Record</v>
      </c>
      <c r="AS389" s="6" t="str">
        <f>HYPERLINK("https://creighton-primo.hosted.exlibrisgroup.com/primo-explore/search?tab=default_tab&amp;search_scope=EVERYTHING&amp;vid=01CRU&amp;lang=en_US&amp;offset=0&amp;query=any,contains,991000998509702656","Catalog Record")</f>
        <v>Catalog Record</v>
      </c>
      <c r="AT389" s="6" t="str">
        <f>HYPERLINK("http://www.worldcat.org/oclc/10017952","WorldCat Record")</f>
        <v>WorldCat Record</v>
      </c>
    </row>
    <row r="390" spans="1:46" ht="40.5" customHeight="1" x14ac:dyDescent="0.25">
      <c r="A390" s="8" t="s">
        <v>58</v>
      </c>
      <c r="B390" s="2" t="s">
        <v>3233</v>
      </c>
      <c r="C390" s="2" t="s">
        <v>3234</v>
      </c>
      <c r="D390" s="2" t="s">
        <v>3235</v>
      </c>
      <c r="E390" s="3" t="s">
        <v>1952</v>
      </c>
      <c r="F390" s="3" t="s">
        <v>69</v>
      </c>
      <c r="G390" s="3" t="s">
        <v>59</v>
      </c>
      <c r="H390" s="3" t="s">
        <v>58</v>
      </c>
      <c r="I390" s="3" t="s">
        <v>58</v>
      </c>
      <c r="J390" s="3" t="s">
        <v>60</v>
      </c>
      <c r="L390" s="2" t="s">
        <v>3236</v>
      </c>
      <c r="M390" s="3" t="s">
        <v>1094</v>
      </c>
      <c r="O390" s="3" t="s">
        <v>64</v>
      </c>
      <c r="P390" s="3" t="s">
        <v>113</v>
      </c>
      <c r="R390" s="3" t="s">
        <v>1907</v>
      </c>
      <c r="S390" s="4">
        <v>18</v>
      </c>
      <c r="T390" s="4">
        <v>31</v>
      </c>
      <c r="U390" s="5" t="s">
        <v>3237</v>
      </c>
      <c r="V390" s="5" t="s">
        <v>3237</v>
      </c>
      <c r="W390" s="5" t="s">
        <v>1923</v>
      </c>
      <c r="X390" s="5" t="s">
        <v>1923</v>
      </c>
      <c r="Y390" s="4">
        <v>329</v>
      </c>
      <c r="Z390" s="4">
        <v>235</v>
      </c>
      <c r="AA390" s="4">
        <v>243</v>
      </c>
      <c r="AB390" s="4">
        <v>1</v>
      </c>
      <c r="AC390" s="4">
        <v>1</v>
      </c>
      <c r="AD390" s="4">
        <v>6</v>
      </c>
      <c r="AE390" s="4">
        <v>6</v>
      </c>
      <c r="AF390" s="4">
        <v>1</v>
      </c>
      <c r="AG390" s="4">
        <v>1</v>
      </c>
      <c r="AH390" s="4">
        <v>2</v>
      </c>
      <c r="AI390" s="4">
        <v>2</v>
      </c>
      <c r="AJ390" s="4">
        <v>5</v>
      </c>
      <c r="AK390" s="4">
        <v>5</v>
      </c>
      <c r="AL390" s="4">
        <v>0</v>
      </c>
      <c r="AM390" s="4">
        <v>0</v>
      </c>
      <c r="AN390" s="4">
        <v>0</v>
      </c>
      <c r="AO390" s="4">
        <v>0</v>
      </c>
      <c r="AP390" s="3" t="s">
        <v>58</v>
      </c>
      <c r="AQ390" s="3" t="s">
        <v>69</v>
      </c>
      <c r="AR390" s="6" t="str">
        <f>HYPERLINK("http://catalog.hathitrust.org/Record/000767842","HathiTrust Record")</f>
        <v>HathiTrust Record</v>
      </c>
      <c r="AS390" s="6" t="str">
        <f>HYPERLINK("https://creighton-primo.hosted.exlibrisgroup.com/primo-explore/search?tab=default_tab&amp;search_scope=EVERYTHING&amp;vid=01CRU&amp;lang=en_US&amp;offset=0&amp;query=any,contains,991000998509702656","Catalog Record")</f>
        <v>Catalog Record</v>
      </c>
      <c r="AT390" s="6" t="str">
        <f>HYPERLINK("http://www.worldcat.org/oclc/10017952","WorldCat Record")</f>
        <v>WorldCat Record</v>
      </c>
    </row>
    <row r="391" spans="1:46" ht="40.5" customHeight="1" x14ac:dyDescent="0.25">
      <c r="A391" s="8" t="s">
        <v>58</v>
      </c>
      <c r="B391" s="2" t="s">
        <v>3238</v>
      </c>
      <c r="C391" s="2" t="s">
        <v>3239</v>
      </c>
      <c r="D391" s="2" t="s">
        <v>3240</v>
      </c>
      <c r="E391" s="3" t="s">
        <v>2085</v>
      </c>
      <c r="F391" s="3" t="s">
        <v>58</v>
      </c>
      <c r="G391" s="3" t="s">
        <v>59</v>
      </c>
      <c r="H391" s="3" t="s">
        <v>58</v>
      </c>
      <c r="I391" s="3" t="s">
        <v>58</v>
      </c>
      <c r="J391" s="3" t="s">
        <v>60</v>
      </c>
      <c r="L391" s="2" t="s">
        <v>3241</v>
      </c>
      <c r="M391" s="3" t="s">
        <v>884</v>
      </c>
      <c r="O391" s="3" t="s">
        <v>64</v>
      </c>
      <c r="P391" s="3" t="s">
        <v>113</v>
      </c>
      <c r="R391" s="3" t="s">
        <v>1907</v>
      </c>
      <c r="S391" s="4">
        <v>12</v>
      </c>
      <c r="T391" s="4">
        <v>12</v>
      </c>
      <c r="U391" s="5" t="s">
        <v>3237</v>
      </c>
      <c r="V391" s="5" t="s">
        <v>3237</v>
      </c>
      <c r="W391" s="5" t="s">
        <v>3242</v>
      </c>
      <c r="X391" s="5" t="s">
        <v>3242</v>
      </c>
      <c r="Y391" s="4">
        <v>29</v>
      </c>
      <c r="Z391" s="4">
        <v>10</v>
      </c>
      <c r="AA391" s="4">
        <v>10</v>
      </c>
      <c r="AB391" s="4">
        <v>2</v>
      </c>
      <c r="AC391" s="4">
        <v>2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4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3" t="s">
        <v>58</v>
      </c>
      <c r="AQ391" s="3" t="s">
        <v>58</v>
      </c>
      <c r="AS391" s="6" t="str">
        <f>HYPERLINK("https://creighton-primo.hosted.exlibrisgroup.com/primo-explore/search?tab=default_tab&amp;search_scope=EVERYTHING&amp;vid=01CRU&amp;lang=en_US&amp;offset=0&amp;query=any,contains,991001425189702656","Catalog Record")</f>
        <v>Catalog Record</v>
      </c>
      <c r="AT391" s="6" t="str">
        <f>HYPERLINK("http://www.worldcat.org/oclc/16774764","WorldCat Record")</f>
        <v>WorldCat Record</v>
      </c>
    </row>
    <row r="392" spans="1:46" ht="40.5" customHeight="1" x14ac:dyDescent="0.25">
      <c r="A392" s="8" t="s">
        <v>58</v>
      </c>
      <c r="B392" s="2" t="s">
        <v>3243</v>
      </c>
      <c r="C392" s="2" t="s">
        <v>3244</v>
      </c>
      <c r="D392" s="2" t="s">
        <v>3245</v>
      </c>
      <c r="F392" s="3" t="s">
        <v>58</v>
      </c>
      <c r="G392" s="3" t="s">
        <v>59</v>
      </c>
      <c r="H392" s="3" t="s">
        <v>58</v>
      </c>
      <c r="I392" s="3" t="s">
        <v>58</v>
      </c>
      <c r="J392" s="3" t="s">
        <v>60</v>
      </c>
      <c r="K392" s="2" t="s">
        <v>3246</v>
      </c>
      <c r="L392" s="2" t="s">
        <v>3247</v>
      </c>
      <c r="M392" s="3" t="s">
        <v>1356</v>
      </c>
      <c r="O392" s="3" t="s">
        <v>64</v>
      </c>
      <c r="P392" s="3" t="s">
        <v>1607</v>
      </c>
      <c r="R392" s="3" t="s">
        <v>1907</v>
      </c>
      <c r="S392" s="4">
        <v>16</v>
      </c>
      <c r="T392" s="4">
        <v>16</v>
      </c>
      <c r="U392" s="5" t="s">
        <v>3248</v>
      </c>
      <c r="V392" s="5" t="s">
        <v>3248</v>
      </c>
      <c r="W392" s="5" t="s">
        <v>2433</v>
      </c>
      <c r="X392" s="5" t="s">
        <v>2433</v>
      </c>
      <c r="Y392" s="4">
        <v>240</v>
      </c>
      <c r="Z392" s="4">
        <v>144</v>
      </c>
      <c r="AA392" s="4">
        <v>146</v>
      </c>
      <c r="AB392" s="4">
        <v>2</v>
      </c>
      <c r="AC392" s="4">
        <v>2</v>
      </c>
      <c r="AD392" s="4">
        <v>2</v>
      </c>
      <c r="AE392" s="4">
        <v>2</v>
      </c>
      <c r="AF392" s="4">
        <v>0</v>
      </c>
      <c r="AG392" s="4">
        <v>0</v>
      </c>
      <c r="AH392" s="4">
        <v>1</v>
      </c>
      <c r="AI392" s="4">
        <v>1</v>
      </c>
      <c r="AJ392" s="4">
        <v>1</v>
      </c>
      <c r="AK392" s="4">
        <v>1</v>
      </c>
      <c r="AL392" s="4">
        <v>1</v>
      </c>
      <c r="AM392" s="4">
        <v>1</v>
      </c>
      <c r="AN392" s="4">
        <v>0</v>
      </c>
      <c r="AO392" s="4">
        <v>0</v>
      </c>
      <c r="AP392" s="3" t="s">
        <v>58</v>
      </c>
      <c r="AQ392" s="3" t="s">
        <v>69</v>
      </c>
      <c r="AR392" s="6" t="str">
        <f>HYPERLINK("http://catalog.hathitrust.org/Record/001556571","HathiTrust Record")</f>
        <v>HathiTrust Record</v>
      </c>
      <c r="AS392" s="6" t="str">
        <f>HYPERLINK("https://creighton-primo.hosted.exlibrisgroup.com/primo-explore/search?tab=default_tab&amp;search_scope=EVERYTHING&amp;vid=01CRU&amp;lang=en_US&amp;offset=0&amp;query=any,contains,991000998599702656","Catalog Record")</f>
        <v>Catalog Record</v>
      </c>
      <c r="AT392" s="6" t="str">
        <f>HYPERLINK("http://www.worldcat.org/oclc/219807","WorldCat Record")</f>
        <v>WorldCat Record</v>
      </c>
    </row>
    <row r="393" spans="1:46" ht="40.5" customHeight="1" x14ac:dyDescent="0.25">
      <c r="A393" s="8" t="s">
        <v>58</v>
      </c>
      <c r="B393" s="2" t="s">
        <v>3249</v>
      </c>
      <c r="C393" s="2" t="s">
        <v>3250</v>
      </c>
      <c r="D393" s="2" t="s">
        <v>3251</v>
      </c>
      <c r="E393" s="3" t="s">
        <v>1952</v>
      </c>
      <c r="F393" s="3" t="s">
        <v>69</v>
      </c>
      <c r="G393" s="3" t="s">
        <v>59</v>
      </c>
      <c r="H393" s="3" t="s">
        <v>58</v>
      </c>
      <c r="I393" s="3" t="s">
        <v>58</v>
      </c>
      <c r="J393" s="3" t="s">
        <v>60</v>
      </c>
      <c r="L393" s="2" t="s">
        <v>3252</v>
      </c>
      <c r="M393" s="3" t="s">
        <v>540</v>
      </c>
      <c r="O393" s="3" t="s">
        <v>64</v>
      </c>
      <c r="P393" s="3" t="s">
        <v>113</v>
      </c>
      <c r="R393" s="3" t="s">
        <v>1907</v>
      </c>
      <c r="S393" s="4">
        <v>4</v>
      </c>
      <c r="T393" s="4">
        <v>13</v>
      </c>
      <c r="U393" s="5" t="s">
        <v>3253</v>
      </c>
      <c r="V393" s="5" t="s">
        <v>3253</v>
      </c>
      <c r="W393" s="5" t="s">
        <v>1909</v>
      </c>
      <c r="X393" s="5" t="s">
        <v>1909</v>
      </c>
      <c r="Y393" s="4">
        <v>347</v>
      </c>
      <c r="Z393" s="4">
        <v>236</v>
      </c>
      <c r="AA393" s="4">
        <v>241</v>
      </c>
      <c r="AB393" s="4">
        <v>1</v>
      </c>
      <c r="AC393" s="4">
        <v>1</v>
      </c>
      <c r="AD393" s="4">
        <v>4</v>
      </c>
      <c r="AE393" s="4">
        <v>4</v>
      </c>
      <c r="AF393" s="4">
        <v>1</v>
      </c>
      <c r="AG393" s="4">
        <v>1</v>
      </c>
      <c r="AH393" s="4">
        <v>3</v>
      </c>
      <c r="AI393" s="4">
        <v>3</v>
      </c>
      <c r="AJ393" s="4">
        <v>1</v>
      </c>
      <c r="AK393" s="4">
        <v>1</v>
      </c>
      <c r="AL393" s="4">
        <v>0</v>
      </c>
      <c r="AM393" s="4">
        <v>0</v>
      </c>
      <c r="AN393" s="4">
        <v>0</v>
      </c>
      <c r="AO393" s="4">
        <v>0</v>
      </c>
      <c r="AP393" s="3" t="s">
        <v>58</v>
      </c>
      <c r="AQ393" s="3" t="s">
        <v>69</v>
      </c>
      <c r="AR393" s="6" t="str">
        <f>HYPERLINK("http://catalog.hathitrust.org/Record/002561254","HathiTrust Record")</f>
        <v>HathiTrust Record</v>
      </c>
      <c r="AS393" s="6" t="str">
        <f>HYPERLINK("https://creighton-primo.hosted.exlibrisgroup.com/primo-explore/search?tab=default_tab&amp;search_scope=EVERYTHING&amp;vid=01CRU&amp;lang=en_US&amp;offset=0&amp;query=any,contains,991000686099702656","Catalog Record")</f>
        <v>Catalog Record</v>
      </c>
      <c r="AT393" s="6" t="str">
        <f>HYPERLINK("http://www.worldcat.org/oclc/26934366","WorldCat Record")</f>
        <v>WorldCat Record</v>
      </c>
    </row>
    <row r="394" spans="1:46" ht="40.5" customHeight="1" x14ac:dyDescent="0.25">
      <c r="A394" s="8" t="s">
        <v>58</v>
      </c>
      <c r="B394" s="2" t="s">
        <v>3249</v>
      </c>
      <c r="C394" s="2" t="s">
        <v>3250</v>
      </c>
      <c r="D394" s="2" t="s">
        <v>3251</v>
      </c>
      <c r="E394" s="3" t="s">
        <v>1947</v>
      </c>
      <c r="F394" s="3" t="s">
        <v>69</v>
      </c>
      <c r="G394" s="3" t="s">
        <v>59</v>
      </c>
      <c r="H394" s="3" t="s">
        <v>58</v>
      </c>
      <c r="I394" s="3" t="s">
        <v>58</v>
      </c>
      <c r="J394" s="3" t="s">
        <v>60</v>
      </c>
      <c r="L394" s="2" t="s">
        <v>3252</v>
      </c>
      <c r="M394" s="3" t="s">
        <v>540</v>
      </c>
      <c r="O394" s="3" t="s">
        <v>64</v>
      </c>
      <c r="P394" s="3" t="s">
        <v>113</v>
      </c>
      <c r="R394" s="3" t="s">
        <v>1907</v>
      </c>
      <c r="S394" s="4">
        <v>6</v>
      </c>
      <c r="T394" s="4">
        <v>13</v>
      </c>
      <c r="U394" s="5" t="s">
        <v>3253</v>
      </c>
      <c r="V394" s="5" t="s">
        <v>3253</v>
      </c>
      <c r="W394" s="5" t="s">
        <v>1909</v>
      </c>
      <c r="X394" s="5" t="s">
        <v>1909</v>
      </c>
      <c r="Y394" s="4">
        <v>347</v>
      </c>
      <c r="Z394" s="4">
        <v>236</v>
      </c>
      <c r="AA394" s="4">
        <v>241</v>
      </c>
      <c r="AB394" s="4">
        <v>1</v>
      </c>
      <c r="AC394" s="4">
        <v>1</v>
      </c>
      <c r="AD394" s="4">
        <v>4</v>
      </c>
      <c r="AE394" s="4">
        <v>4</v>
      </c>
      <c r="AF394" s="4">
        <v>1</v>
      </c>
      <c r="AG394" s="4">
        <v>1</v>
      </c>
      <c r="AH394" s="4">
        <v>3</v>
      </c>
      <c r="AI394" s="4">
        <v>3</v>
      </c>
      <c r="AJ394" s="4">
        <v>1</v>
      </c>
      <c r="AK394" s="4">
        <v>1</v>
      </c>
      <c r="AL394" s="4">
        <v>0</v>
      </c>
      <c r="AM394" s="4">
        <v>0</v>
      </c>
      <c r="AN394" s="4">
        <v>0</v>
      </c>
      <c r="AO394" s="4">
        <v>0</v>
      </c>
      <c r="AP394" s="3" t="s">
        <v>58</v>
      </c>
      <c r="AQ394" s="3" t="s">
        <v>69</v>
      </c>
      <c r="AR394" s="6" t="str">
        <f>HYPERLINK("http://catalog.hathitrust.org/Record/002561254","HathiTrust Record")</f>
        <v>HathiTrust Record</v>
      </c>
      <c r="AS394" s="6" t="str">
        <f>HYPERLINK("https://creighton-primo.hosted.exlibrisgroup.com/primo-explore/search?tab=default_tab&amp;search_scope=EVERYTHING&amp;vid=01CRU&amp;lang=en_US&amp;offset=0&amp;query=any,contains,991000686099702656","Catalog Record")</f>
        <v>Catalog Record</v>
      </c>
      <c r="AT394" s="6" t="str">
        <f>HYPERLINK("http://www.worldcat.org/oclc/26934366","WorldCat Record")</f>
        <v>WorldCat Record</v>
      </c>
    </row>
    <row r="395" spans="1:46" ht="40.5" customHeight="1" x14ac:dyDescent="0.25">
      <c r="A395" s="8" t="s">
        <v>58</v>
      </c>
      <c r="B395" s="2" t="s">
        <v>3249</v>
      </c>
      <c r="C395" s="2" t="s">
        <v>3250</v>
      </c>
      <c r="D395" s="2" t="s">
        <v>3251</v>
      </c>
      <c r="E395" s="3" t="s">
        <v>1956</v>
      </c>
      <c r="F395" s="3" t="s">
        <v>69</v>
      </c>
      <c r="G395" s="3" t="s">
        <v>59</v>
      </c>
      <c r="H395" s="3" t="s">
        <v>58</v>
      </c>
      <c r="I395" s="3" t="s">
        <v>58</v>
      </c>
      <c r="J395" s="3" t="s">
        <v>60</v>
      </c>
      <c r="L395" s="2" t="s">
        <v>3252</v>
      </c>
      <c r="M395" s="3" t="s">
        <v>540</v>
      </c>
      <c r="O395" s="3" t="s">
        <v>64</v>
      </c>
      <c r="P395" s="3" t="s">
        <v>113</v>
      </c>
      <c r="R395" s="3" t="s">
        <v>1907</v>
      </c>
      <c r="S395" s="4">
        <v>3</v>
      </c>
      <c r="T395" s="4">
        <v>13</v>
      </c>
      <c r="U395" s="5" t="s">
        <v>3253</v>
      </c>
      <c r="V395" s="5" t="s">
        <v>3253</v>
      </c>
      <c r="W395" s="5" t="s">
        <v>1909</v>
      </c>
      <c r="X395" s="5" t="s">
        <v>1909</v>
      </c>
      <c r="Y395" s="4">
        <v>347</v>
      </c>
      <c r="Z395" s="4">
        <v>236</v>
      </c>
      <c r="AA395" s="4">
        <v>241</v>
      </c>
      <c r="AB395" s="4">
        <v>1</v>
      </c>
      <c r="AC395" s="4">
        <v>1</v>
      </c>
      <c r="AD395" s="4">
        <v>4</v>
      </c>
      <c r="AE395" s="4">
        <v>4</v>
      </c>
      <c r="AF395" s="4">
        <v>1</v>
      </c>
      <c r="AG395" s="4">
        <v>1</v>
      </c>
      <c r="AH395" s="4">
        <v>3</v>
      </c>
      <c r="AI395" s="4">
        <v>3</v>
      </c>
      <c r="AJ395" s="4">
        <v>1</v>
      </c>
      <c r="AK395" s="4">
        <v>1</v>
      </c>
      <c r="AL395" s="4">
        <v>0</v>
      </c>
      <c r="AM395" s="4">
        <v>0</v>
      </c>
      <c r="AN395" s="4">
        <v>0</v>
      </c>
      <c r="AO395" s="4">
        <v>0</v>
      </c>
      <c r="AP395" s="3" t="s">
        <v>58</v>
      </c>
      <c r="AQ395" s="3" t="s">
        <v>69</v>
      </c>
      <c r="AR395" s="6" t="str">
        <f>HYPERLINK("http://catalog.hathitrust.org/Record/002561254","HathiTrust Record")</f>
        <v>HathiTrust Record</v>
      </c>
      <c r="AS395" s="6" t="str">
        <f>HYPERLINK("https://creighton-primo.hosted.exlibrisgroup.com/primo-explore/search?tab=default_tab&amp;search_scope=EVERYTHING&amp;vid=01CRU&amp;lang=en_US&amp;offset=0&amp;query=any,contains,991000686099702656","Catalog Record")</f>
        <v>Catalog Record</v>
      </c>
      <c r="AT395" s="6" t="str">
        <f>HYPERLINK("http://www.worldcat.org/oclc/26934366","WorldCat Record")</f>
        <v>WorldCat Record</v>
      </c>
    </row>
    <row r="396" spans="1:46" ht="40.5" customHeight="1" x14ac:dyDescent="0.25">
      <c r="A396" s="8" t="s">
        <v>58</v>
      </c>
      <c r="B396" s="2" t="s">
        <v>3254</v>
      </c>
      <c r="C396" s="2" t="s">
        <v>3255</v>
      </c>
      <c r="D396" s="2" t="s">
        <v>3256</v>
      </c>
      <c r="F396" s="3" t="s">
        <v>58</v>
      </c>
      <c r="G396" s="3" t="s">
        <v>59</v>
      </c>
      <c r="H396" s="3" t="s">
        <v>58</v>
      </c>
      <c r="I396" s="3" t="s">
        <v>58</v>
      </c>
      <c r="J396" s="3" t="s">
        <v>60</v>
      </c>
      <c r="L396" s="2" t="s">
        <v>3257</v>
      </c>
      <c r="M396" s="3" t="s">
        <v>2383</v>
      </c>
      <c r="N396" s="2" t="s">
        <v>1606</v>
      </c>
      <c r="O396" s="3" t="s">
        <v>64</v>
      </c>
      <c r="P396" s="3" t="s">
        <v>97</v>
      </c>
      <c r="R396" s="3" t="s">
        <v>1907</v>
      </c>
      <c r="S396" s="4">
        <v>0</v>
      </c>
      <c r="T396" s="4">
        <v>0</v>
      </c>
      <c r="U396" s="5" t="s">
        <v>3258</v>
      </c>
      <c r="V396" s="5" t="s">
        <v>3258</v>
      </c>
      <c r="W396" s="5" t="s">
        <v>3258</v>
      </c>
      <c r="X396" s="5" t="s">
        <v>3258</v>
      </c>
      <c r="Y396" s="4">
        <v>136</v>
      </c>
      <c r="Z396" s="4">
        <v>84</v>
      </c>
      <c r="AA396" s="4">
        <v>87</v>
      </c>
      <c r="AB396" s="4">
        <v>1</v>
      </c>
      <c r="AC396" s="4">
        <v>1</v>
      </c>
      <c r="AD396" s="4">
        <v>3</v>
      </c>
      <c r="AE396" s="4">
        <v>3</v>
      </c>
      <c r="AF396" s="4">
        <v>2</v>
      </c>
      <c r="AG396" s="4">
        <v>2</v>
      </c>
      <c r="AH396" s="4">
        <v>0</v>
      </c>
      <c r="AI396" s="4">
        <v>0</v>
      </c>
      <c r="AJ396" s="4">
        <v>1</v>
      </c>
      <c r="AK396" s="4">
        <v>1</v>
      </c>
      <c r="AL396" s="4">
        <v>0</v>
      </c>
      <c r="AM396" s="4">
        <v>0</v>
      </c>
      <c r="AN396" s="4">
        <v>0</v>
      </c>
      <c r="AO396" s="4">
        <v>0</v>
      </c>
      <c r="AP396" s="3" t="s">
        <v>58</v>
      </c>
      <c r="AQ396" s="3" t="s">
        <v>58</v>
      </c>
      <c r="AS396" s="6" t="str">
        <f>HYPERLINK("https://creighton-primo.hosted.exlibrisgroup.com/primo-explore/search?tab=default_tab&amp;search_scope=EVERYTHING&amp;vid=01CRU&amp;lang=en_US&amp;offset=0&amp;query=any,contains,991001487449702656","Catalog Record")</f>
        <v>Catalog Record</v>
      </c>
      <c r="AT396" s="6" t="str">
        <f>HYPERLINK("http://www.worldcat.org/oclc/56567155","WorldCat Record")</f>
        <v>WorldCat Record</v>
      </c>
    </row>
    <row r="397" spans="1:46" ht="40.5" customHeight="1" x14ac:dyDescent="0.25">
      <c r="A397" s="8" t="s">
        <v>58</v>
      </c>
      <c r="B397" s="2" t="s">
        <v>3259</v>
      </c>
      <c r="C397" s="2" t="s">
        <v>3260</v>
      </c>
      <c r="D397" s="2" t="s">
        <v>3261</v>
      </c>
      <c r="F397" s="3" t="s">
        <v>58</v>
      </c>
      <c r="G397" s="3" t="s">
        <v>59</v>
      </c>
      <c r="H397" s="3" t="s">
        <v>58</v>
      </c>
      <c r="I397" s="3" t="s">
        <v>58</v>
      </c>
      <c r="J397" s="3" t="s">
        <v>60</v>
      </c>
      <c r="K397" s="2" t="s">
        <v>3262</v>
      </c>
      <c r="L397" s="2" t="s">
        <v>3263</v>
      </c>
      <c r="M397" s="3" t="s">
        <v>829</v>
      </c>
      <c r="N397" s="2" t="s">
        <v>271</v>
      </c>
      <c r="O397" s="3" t="s">
        <v>64</v>
      </c>
      <c r="P397" s="3" t="s">
        <v>1921</v>
      </c>
      <c r="R397" s="3" t="s">
        <v>1907</v>
      </c>
      <c r="S397" s="4">
        <v>4</v>
      </c>
      <c r="T397" s="4">
        <v>4</v>
      </c>
      <c r="U397" s="5" t="s">
        <v>3264</v>
      </c>
      <c r="V397" s="5" t="s">
        <v>3264</v>
      </c>
      <c r="W397" s="5" t="s">
        <v>3265</v>
      </c>
      <c r="X397" s="5" t="s">
        <v>3265</v>
      </c>
      <c r="Y397" s="4">
        <v>170</v>
      </c>
      <c r="Z397" s="4">
        <v>122</v>
      </c>
      <c r="AA397" s="4">
        <v>315</v>
      </c>
      <c r="AB397" s="4">
        <v>1</v>
      </c>
      <c r="AC397" s="4">
        <v>2</v>
      </c>
      <c r="AD397" s="4">
        <v>1</v>
      </c>
      <c r="AE397" s="4">
        <v>8</v>
      </c>
      <c r="AF397" s="4">
        <v>0</v>
      </c>
      <c r="AG397" s="4">
        <v>4</v>
      </c>
      <c r="AH397" s="4">
        <v>0</v>
      </c>
      <c r="AI397" s="4">
        <v>1</v>
      </c>
      <c r="AJ397" s="4">
        <v>0</v>
      </c>
      <c r="AK397" s="4">
        <v>4</v>
      </c>
      <c r="AL397" s="4">
        <v>0</v>
      </c>
      <c r="AM397" s="4">
        <v>1</v>
      </c>
      <c r="AN397" s="4">
        <v>1</v>
      </c>
      <c r="AO397" s="4">
        <v>1</v>
      </c>
      <c r="AP397" s="3" t="s">
        <v>58</v>
      </c>
      <c r="AQ397" s="3" t="s">
        <v>69</v>
      </c>
      <c r="AR397" s="6" t="str">
        <f>HYPERLINK("http://catalog.hathitrust.org/Record/000810440","HathiTrust Record")</f>
        <v>HathiTrust Record</v>
      </c>
      <c r="AS397" s="6" t="str">
        <f>HYPERLINK("https://creighton-primo.hosted.exlibrisgroup.com/primo-explore/search?tab=default_tab&amp;search_scope=EVERYTHING&amp;vid=01CRU&amp;lang=en_US&amp;offset=0&amp;query=any,contains,991001014039702656","Catalog Record")</f>
        <v>Catalog Record</v>
      </c>
      <c r="AT397" s="6" t="str">
        <f>HYPERLINK("http://www.worldcat.org/oclc/12133711","WorldCat Record")</f>
        <v>WorldCat Record</v>
      </c>
    </row>
    <row r="398" spans="1:46" ht="40.5" customHeight="1" x14ac:dyDescent="0.25">
      <c r="A398" s="8" t="s">
        <v>58</v>
      </c>
      <c r="B398" s="2" t="s">
        <v>3266</v>
      </c>
      <c r="C398" s="2" t="s">
        <v>3267</v>
      </c>
      <c r="D398" s="2" t="s">
        <v>3268</v>
      </c>
      <c r="F398" s="3" t="s">
        <v>58</v>
      </c>
      <c r="G398" s="3" t="s">
        <v>59</v>
      </c>
      <c r="H398" s="3" t="s">
        <v>58</v>
      </c>
      <c r="I398" s="3" t="s">
        <v>58</v>
      </c>
      <c r="J398" s="3" t="s">
        <v>60</v>
      </c>
      <c r="K398" s="2" t="s">
        <v>3269</v>
      </c>
      <c r="L398" s="2" t="s">
        <v>3270</v>
      </c>
      <c r="M398" s="3" t="s">
        <v>1121</v>
      </c>
      <c r="N398" s="2" t="s">
        <v>271</v>
      </c>
      <c r="O398" s="3" t="s">
        <v>64</v>
      </c>
      <c r="P398" s="3" t="s">
        <v>113</v>
      </c>
      <c r="R398" s="3" t="s">
        <v>1907</v>
      </c>
      <c r="S398" s="4">
        <v>8</v>
      </c>
      <c r="T398" s="4">
        <v>8</v>
      </c>
      <c r="U398" s="5" t="s">
        <v>2962</v>
      </c>
      <c r="V398" s="5" t="s">
        <v>2962</v>
      </c>
      <c r="W398" s="5" t="s">
        <v>3271</v>
      </c>
      <c r="X398" s="5" t="s">
        <v>3271</v>
      </c>
      <c r="Y398" s="4">
        <v>239</v>
      </c>
      <c r="Z398" s="4">
        <v>144</v>
      </c>
      <c r="AA398" s="4">
        <v>395</v>
      </c>
      <c r="AB398" s="4">
        <v>4</v>
      </c>
      <c r="AC398" s="4">
        <v>5</v>
      </c>
      <c r="AD398" s="4">
        <v>6</v>
      </c>
      <c r="AE398" s="4">
        <v>11</v>
      </c>
      <c r="AF398" s="4">
        <v>2</v>
      </c>
      <c r="AG398" s="4">
        <v>4</v>
      </c>
      <c r="AH398" s="4">
        <v>1</v>
      </c>
      <c r="AI398" s="4">
        <v>3</v>
      </c>
      <c r="AJ398" s="4">
        <v>2</v>
      </c>
      <c r="AK398" s="4">
        <v>4</v>
      </c>
      <c r="AL398" s="4">
        <v>2</v>
      </c>
      <c r="AM398" s="4">
        <v>3</v>
      </c>
      <c r="AN398" s="4">
        <v>0</v>
      </c>
      <c r="AO398" s="4">
        <v>0</v>
      </c>
      <c r="AP398" s="3" t="s">
        <v>58</v>
      </c>
      <c r="AQ398" s="3" t="s">
        <v>58</v>
      </c>
      <c r="AS398" s="6" t="str">
        <f>HYPERLINK("https://creighton-primo.hosted.exlibrisgroup.com/primo-explore/search?tab=default_tab&amp;search_scope=EVERYTHING&amp;vid=01CRU&amp;lang=en_US&amp;offset=0&amp;query=any,contains,991000975549702656","Catalog Record")</f>
        <v>Catalog Record</v>
      </c>
      <c r="AT398" s="6" t="str">
        <f>HYPERLINK("http://www.worldcat.org/oclc/7739506","WorldCat Record")</f>
        <v>WorldCat Record</v>
      </c>
    </row>
    <row r="399" spans="1:46" ht="40.5" customHeight="1" x14ac:dyDescent="0.25">
      <c r="A399" s="8" t="s">
        <v>58</v>
      </c>
      <c r="B399" s="2" t="s">
        <v>3272</v>
      </c>
      <c r="C399" s="2" t="s">
        <v>3273</v>
      </c>
      <c r="D399" s="2" t="s">
        <v>3274</v>
      </c>
      <c r="F399" s="3" t="s">
        <v>58</v>
      </c>
      <c r="G399" s="3" t="s">
        <v>59</v>
      </c>
      <c r="H399" s="3" t="s">
        <v>58</v>
      </c>
      <c r="I399" s="3" t="s">
        <v>58</v>
      </c>
      <c r="J399" s="3" t="s">
        <v>60</v>
      </c>
      <c r="K399" s="2" t="s">
        <v>3275</v>
      </c>
      <c r="L399" s="2" t="s">
        <v>3276</v>
      </c>
      <c r="M399" s="3" t="s">
        <v>243</v>
      </c>
      <c r="N399" s="2" t="s">
        <v>271</v>
      </c>
      <c r="O399" s="3" t="s">
        <v>64</v>
      </c>
      <c r="P399" s="3" t="s">
        <v>113</v>
      </c>
      <c r="R399" s="3" t="s">
        <v>1907</v>
      </c>
      <c r="S399" s="4">
        <v>9</v>
      </c>
      <c r="T399" s="4">
        <v>9</v>
      </c>
      <c r="U399" s="5" t="s">
        <v>2087</v>
      </c>
      <c r="V399" s="5" t="s">
        <v>2087</v>
      </c>
      <c r="W399" s="5" t="s">
        <v>3277</v>
      </c>
      <c r="X399" s="5" t="s">
        <v>3277</v>
      </c>
      <c r="Y399" s="4">
        <v>172</v>
      </c>
      <c r="Z399" s="4">
        <v>88</v>
      </c>
      <c r="AA399" s="4">
        <v>206</v>
      </c>
      <c r="AB399" s="4">
        <v>1</v>
      </c>
      <c r="AC399" s="4">
        <v>4</v>
      </c>
      <c r="AD399" s="4">
        <v>1</v>
      </c>
      <c r="AE399" s="4">
        <v>6</v>
      </c>
      <c r="AF399" s="4">
        <v>0</v>
      </c>
      <c r="AG399" s="4">
        <v>0</v>
      </c>
      <c r="AH399" s="4">
        <v>0</v>
      </c>
      <c r="AI399" s="4">
        <v>1</v>
      </c>
      <c r="AJ399" s="4">
        <v>1</v>
      </c>
      <c r="AK399" s="4">
        <v>3</v>
      </c>
      <c r="AL399" s="4">
        <v>0</v>
      </c>
      <c r="AM399" s="4">
        <v>2</v>
      </c>
      <c r="AN399" s="4">
        <v>0</v>
      </c>
      <c r="AO399" s="4">
        <v>0</v>
      </c>
      <c r="AP399" s="3" t="s">
        <v>58</v>
      </c>
      <c r="AQ399" s="3" t="s">
        <v>58</v>
      </c>
      <c r="AS399" s="6" t="str">
        <f>HYPERLINK("https://creighton-primo.hosted.exlibrisgroup.com/primo-explore/search?tab=default_tab&amp;search_scope=EVERYTHING&amp;vid=01CRU&amp;lang=en_US&amp;offset=0&amp;query=any,contains,991001184889702656","Catalog Record")</f>
        <v>Catalog Record</v>
      </c>
      <c r="AT399" s="6" t="str">
        <f>HYPERLINK("http://www.worldcat.org/oclc/18835049","WorldCat Record")</f>
        <v>WorldCat Record</v>
      </c>
    </row>
    <row r="400" spans="1:46" ht="40.5" customHeight="1" x14ac:dyDescent="0.25">
      <c r="A400" s="8" t="s">
        <v>58</v>
      </c>
      <c r="B400" s="2" t="s">
        <v>3278</v>
      </c>
      <c r="C400" s="2" t="s">
        <v>3279</v>
      </c>
      <c r="D400" s="2" t="s">
        <v>3280</v>
      </c>
      <c r="F400" s="3" t="s">
        <v>58</v>
      </c>
      <c r="G400" s="3" t="s">
        <v>59</v>
      </c>
      <c r="H400" s="3" t="s">
        <v>58</v>
      </c>
      <c r="I400" s="3" t="s">
        <v>69</v>
      </c>
      <c r="J400" s="3" t="s">
        <v>60</v>
      </c>
      <c r="K400" s="2" t="s">
        <v>3281</v>
      </c>
      <c r="L400" s="2" t="s">
        <v>3282</v>
      </c>
      <c r="M400" s="3" t="s">
        <v>1785</v>
      </c>
      <c r="O400" s="3" t="s">
        <v>64</v>
      </c>
      <c r="P400" s="3" t="s">
        <v>83</v>
      </c>
      <c r="R400" s="3" t="s">
        <v>1907</v>
      </c>
      <c r="S400" s="4">
        <v>1</v>
      </c>
      <c r="T400" s="4">
        <v>1</v>
      </c>
      <c r="U400" s="5" t="s">
        <v>2005</v>
      </c>
      <c r="V400" s="5" t="s">
        <v>2005</v>
      </c>
      <c r="W400" s="5" t="s">
        <v>2433</v>
      </c>
      <c r="X400" s="5" t="s">
        <v>2433</v>
      </c>
      <c r="Y400" s="4">
        <v>253</v>
      </c>
      <c r="Z400" s="4">
        <v>206</v>
      </c>
      <c r="AA400" s="4">
        <v>526</v>
      </c>
      <c r="AB400" s="4">
        <v>1</v>
      </c>
      <c r="AC400" s="4">
        <v>5</v>
      </c>
      <c r="AD400" s="4">
        <v>9</v>
      </c>
      <c r="AE400" s="4">
        <v>19</v>
      </c>
      <c r="AF400" s="4">
        <v>2</v>
      </c>
      <c r="AG400" s="4">
        <v>4</v>
      </c>
      <c r="AH400" s="4">
        <v>2</v>
      </c>
      <c r="AI400" s="4">
        <v>4</v>
      </c>
      <c r="AJ400" s="4">
        <v>8</v>
      </c>
      <c r="AK400" s="4">
        <v>12</v>
      </c>
      <c r="AL400" s="4">
        <v>0</v>
      </c>
      <c r="AM400" s="4">
        <v>3</v>
      </c>
      <c r="AN400" s="4">
        <v>0</v>
      </c>
      <c r="AO400" s="4">
        <v>0</v>
      </c>
      <c r="AP400" s="3" t="s">
        <v>69</v>
      </c>
      <c r="AQ400" s="3" t="s">
        <v>69</v>
      </c>
      <c r="AR400" s="6" t="str">
        <f>HYPERLINK("http://catalog.hathitrust.org/Record/000227028","HathiTrust Record")</f>
        <v>HathiTrust Record</v>
      </c>
      <c r="AS400" s="6" t="str">
        <f>HYPERLINK("https://creighton-primo.hosted.exlibrisgroup.com/primo-explore/search?tab=default_tab&amp;search_scope=EVERYTHING&amp;vid=01CRU&amp;lang=en_US&amp;offset=0&amp;query=any,contains,991000975569702656","Catalog Record")</f>
        <v>Catalog Record</v>
      </c>
      <c r="AT400" s="6" t="str">
        <f>HYPERLINK("http://www.worldcat.org/oclc/562528","WorldCat Record")</f>
        <v>WorldCat Record</v>
      </c>
    </row>
    <row r="401" spans="1:46" ht="40.5" customHeight="1" x14ac:dyDescent="0.25">
      <c r="A401" s="8" t="s">
        <v>58</v>
      </c>
      <c r="B401" s="2" t="s">
        <v>3283</v>
      </c>
      <c r="C401" s="2" t="s">
        <v>3284</v>
      </c>
      <c r="D401" s="2" t="s">
        <v>3285</v>
      </c>
      <c r="F401" s="3" t="s">
        <v>58</v>
      </c>
      <c r="G401" s="3" t="s">
        <v>59</v>
      </c>
      <c r="H401" s="3" t="s">
        <v>58</v>
      </c>
      <c r="I401" s="3" t="s">
        <v>58</v>
      </c>
      <c r="J401" s="3" t="s">
        <v>60</v>
      </c>
      <c r="K401" s="2" t="s">
        <v>3286</v>
      </c>
      <c r="L401" s="2" t="s">
        <v>3287</v>
      </c>
      <c r="M401" s="3" t="s">
        <v>2046</v>
      </c>
      <c r="N401" s="2" t="s">
        <v>1606</v>
      </c>
      <c r="O401" s="3" t="s">
        <v>64</v>
      </c>
      <c r="P401" s="3" t="s">
        <v>1358</v>
      </c>
      <c r="R401" s="3" t="s">
        <v>1907</v>
      </c>
      <c r="S401" s="4">
        <v>3</v>
      </c>
      <c r="T401" s="4">
        <v>3</v>
      </c>
      <c r="U401" s="5" t="s">
        <v>3288</v>
      </c>
      <c r="V401" s="5" t="s">
        <v>3288</v>
      </c>
      <c r="W401" s="5" t="s">
        <v>3289</v>
      </c>
      <c r="X401" s="5" t="s">
        <v>3289</v>
      </c>
      <c r="Y401" s="4">
        <v>212</v>
      </c>
      <c r="Z401" s="4">
        <v>171</v>
      </c>
      <c r="AA401" s="4">
        <v>489</v>
      </c>
      <c r="AB401" s="4">
        <v>1</v>
      </c>
      <c r="AC401" s="4">
        <v>3</v>
      </c>
      <c r="AD401" s="4">
        <v>3</v>
      </c>
      <c r="AE401" s="4">
        <v>8</v>
      </c>
      <c r="AF401" s="4">
        <v>1</v>
      </c>
      <c r="AG401" s="4">
        <v>4</v>
      </c>
      <c r="AH401" s="4">
        <v>1</v>
      </c>
      <c r="AI401" s="4">
        <v>2</v>
      </c>
      <c r="AJ401" s="4">
        <v>2</v>
      </c>
      <c r="AK401" s="4">
        <v>4</v>
      </c>
      <c r="AL401" s="4">
        <v>0</v>
      </c>
      <c r="AM401" s="4">
        <v>1</v>
      </c>
      <c r="AN401" s="4">
        <v>0</v>
      </c>
      <c r="AO401" s="4">
        <v>0</v>
      </c>
      <c r="AP401" s="3" t="s">
        <v>58</v>
      </c>
      <c r="AQ401" s="3" t="s">
        <v>69</v>
      </c>
      <c r="AR401" s="6" t="str">
        <f>HYPERLINK("http://catalog.hathitrust.org/Record/004321163","HathiTrust Record")</f>
        <v>HathiTrust Record</v>
      </c>
      <c r="AS401" s="6" t="str">
        <f>HYPERLINK("https://creighton-primo.hosted.exlibrisgroup.com/primo-explore/search?tab=default_tab&amp;search_scope=EVERYTHING&amp;vid=01CRU&amp;lang=en_US&amp;offset=0&amp;query=any,contains,991000456329702656","Catalog Record")</f>
        <v>Catalog Record</v>
      </c>
      <c r="AT401" s="6" t="str">
        <f>HYPERLINK("http://www.worldcat.org/oclc/51278445","WorldCat Record")</f>
        <v>WorldCat Record</v>
      </c>
    </row>
    <row r="402" spans="1:46" ht="40.5" customHeight="1" x14ac:dyDescent="0.25">
      <c r="A402" s="8" t="s">
        <v>58</v>
      </c>
      <c r="B402" s="2" t="s">
        <v>3290</v>
      </c>
      <c r="C402" s="2" t="s">
        <v>3291</v>
      </c>
      <c r="D402" s="2" t="s">
        <v>3292</v>
      </c>
      <c r="F402" s="3" t="s">
        <v>58</v>
      </c>
      <c r="G402" s="3" t="s">
        <v>59</v>
      </c>
      <c r="H402" s="3" t="s">
        <v>58</v>
      </c>
      <c r="I402" s="3" t="s">
        <v>58</v>
      </c>
      <c r="J402" s="3" t="s">
        <v>60</v>
      </c>
      <c r="K402" s="2" t="s">
        <v>3293</v>
      </c>
      <c r="L402" s="2" t="s">
        <v>3294</v>
      </c>
      <c r="M402" s="3" t="s">
        <v>201</v>
      </c>
      <c r="O402" s="3" t="s">
        <v>64</v>
      </c>
      <c r="P402" s="3" t="s">
        <v>97</v>
      </c>
      <c r="R402" s="3" t="s">
        <v>1907</v>
      </c>
      <c r="S402" s="4">
        <v>5</v>
      </c>
      <c r="T402" s="4">
        <v>5</v>
      </c>
      <c r="U402" s="5" t="s">
        <v>3295</v>
      </c>
      <c r="V402" s="5" t="s">
        <v>3295</v>
      </c>
      <c r="W402" s="5" t="s">
        <v>3296</v>
      </c>
      <c r="X402" s="5" t="s">
        <v>3296</v>
      </c>
      <c r="Y402" s="4">
        <v>75</v>
      </c>
      <c r="Z402" s="4">
        <v>54</v>
      </c>
      <c r="AA402" s="4">
        <v>54</v>
      </c>
      <c r="AB402" s="4">
        <v>1</v>
      </c>
      <c r="AC402" s="4">
        <v>1</v>
      </c>
      <c r="AD402" s="4">
        <v>2</v>
      </c>
      <c r="AE402" s="4">
        <v>2</v>
      </c>
      <c r="AF402" s="4">
        <v>0</v>
      </c>
      <c r="AG402" s="4">
        <v>0</v>
      </c>
      <c r="AH402" s="4">
        <v>0</v>
      </c>
      <c r="AI402" s="4">
        <v>0</v>
      </c>
      <c r="AJ402" s="4">
        <v>2</v>
      </c>
      <c r="AK402" s="4">
        <v>2</v>
      </c>
      <c r="AL402" s="4">
        <v>0</v>
      </c>
      <c r="AM402" s="4">
        <v>0</v>
      </c>
      <c r="AN402" s="4">
        <v>0</v>
      </c>
      <c r="AO402" s="4">
        <v>0</v>
      </c>
      <c r="AP402" s="3" t="s">
        <v>58</v>
      </c>
      <c r="AQ402" s="3" t="s">
        <v>58</v>
      </c>
      <c r="AS402" s="6" t="str">
        <f>HYPERLINK("https://creighton-primo.hosted.exlibrisgroup.com/primo-explore/search?tab=default_tab&amp;search_scope=EVERYTHING&amp;vid=01CRU&amp;lang=en_US&amp;offset=0&amp;query=any,contains,991000783489702656","Catalog Record")</f>
        <v>Catalog Record</v>
      </c>
      <c r="AT402" s="6" t="str">
        <f>HYPERLINK("http://www.worldcat.org/oclc/39625424","WorldCat Record")</f>
        <v>WorldCat Record</v>
      </c>
    </row>
    <row r="403" spans="1:46" ht="40.5" customHeight="1" x14ac:dyDescent="0.25">
      <c r="A403" s="8" t="s">
        <v>58</v>
      </c>
      <c r="B403" s="2" t="s">
        <v>3297</v>
      </c>
      <c r="C403" s="2" t="s">
        <v>3298</v>
      </c>
      <c r="D403" s="2" t="s">
        <v>3013</v>
      </c>
      <c r="F403" s="3" t="s">
        <v>58</v>
      </c>
      <c r="G403" s="3" t="s">
        <v>59</v>
      </c>
      <c r="H403" s="3" t="s">
        <v>58</v>
      </c>
      <c r="I403" s="3" t="s">
        <v>69</v>
      </c>
      <c r="J403" s="3" t="s">
        <v>60</v>
      </c>
      <c r="L403" s="2" t="s">
        <v>3299</v>
      </c>
      <c r="M403" s="3" t="s">
        <v>201</v>
      </c>
      <c r="N403" s="2" t="s">
        <v>1759</v>
      </c>
      <c r="O403" s="3" t="s">
        <v>64</v>
      </c>
      <c r="P403" s="3" t="s">
        <v>97</v>
      </c>
      <c r="R403" s="3" t="s">
        <v>1907</v>
      </c>
      <c r="S403" s="4">
        <v>4</v>
      </c>
      <c r="T403" s="4">
        <v>4</v>
      </c>
      <c r="U403" s="5" t="s">
        <v>3300</v>
      </c>
      <c r="V403" s="5" t="s">
        <v>3300</v>
      </c>
      <c r="W403" s="5" t="s">
        <v>3301</v>
      </c>
      <c r="X403" s="5" t="s">
        <v>3301</v>
      </c>
      <c r="Y403" s="4">
        <v>300</v>
      </c>
      <c r="Z403" s="4">
        <v>219</v>
      </c>
      <c r="AA403" s="4">
        <v>1228</v>
      </c>
      <c r="AB403" s="4">
        <v>1</v>
      </c>
      <c r="AC403" s="4">
        <v>13</v>
      </c>
      <c r="AD403" s="4">
        <v>4</v>
      </c>
      <c r="AE403" s="4">
        <v>47</v>
      </c>
      <c r="AF403" s="4">
        <v>2</v>
      </c>
      <c r="AG403" s="4">
        <v>17</v>
      </c>
      <c r="AH403" s="4">
        <v>1</v>
      </c>
      <c r="AI403" s="4">
        <v>11</v>
      </c>
      <c r="AJ403" s="4">
        <v>2</v>
      </c>
      <c r="AK403" s="4">
        <v>13</v>
      </c>
      <c r="AL403" s="4">
        <v>0</v>
      </c>
      <c r="AM403" s="4">
        <v>10</v>
      </c>
      <c r="AN403" s="4">
        <v>0</v>
      </c>
      <c r="AO403" s="4">
        <v>1</v>
      </c>
      <c r="AP403" s="3" t="s">
        <v>58</v>
      </c>
      <c r="AQ403" s="3" t="s">
        <v>58</v>
      </c>
      <c r="AS403" s="6" t="str">
        <f>HYPERLINK("https://creighton-primo.hosted.exlibrisgroup.com/primo-explore/search?tab=default_tab&amp;search_scope=EVERYTHING&amp;vid=01CRU&amp;lang=en_US&amp;offset=0&amp;query=any,contains,991000333849702656","Catalog Record")</f>
        <v>Catalog Record</v>
      </c>
      <c r="AT403" s="6" t="str">
        <f>HYPERLINK("http://www.worldcat.org/oclc/38757937","WorldCat Record")</f>
        <v>WorldCat Record</v>
      </c>
    </row>
    <row r="404" spans="1:46" ht="40.5" customHeight="1" x14ac:dyDescent="0.25">
      <c r="A404" s="8" t="s">
        <v>58</v>
      </c>
      <c r="B404" s="2" t="s">
        <v>3302</v>
      </c>
      <c r="C404" s="2" t="s">
        <v>3303</v>
      </c>
      <c r="D404" s="2" t="s">
        <v>3013</v>
      </c>
      <c r="F404" s="3" t="s">
        <v>58</v>
      </c>
      <c r="G404" s="3" t="s">
        <v>59</v>
      </c>
      <c r="H404" s="3" t="s">
        <v>58</v>
      </c>
      <c r="I404" s="3" t="s">
        <v>69</v>
      </c>
      <c r="J404" s="3" t="s">
        <v>60</v>
      </c>
      <c r="L404" s="2" t="s">
        <v>3304</v>
      </c>
      <c r="M404" s="3" t="s">
        <v>2046</v>
      </c>
      <c r="N404" s="2" t="s">
        <v>1315</v>
      </c>
      <c r="O404" s="3" t="s">
        <v>64</v>
      </c>
      <c r="P404" s="3" t="s">
        <v>97</v>
      </c>
      <c r="R404" s="3" t="s">
        <v>1907</v>
      </c>
      <c r="S404" s="4">
        <v>7</v>
      </c>
      <c r="T404" s="4">
        <v>7</v>
      </c>
      <c r="U404" s="5" t="s">
        <v>3102</v>
      </c>
      <c r="V404" s="5" t="s">
        <v>3102</v>
      </c>
      <c r="W404" s="5" t="s">
        <v>3305</v>
      </c>
      <c r="X404" s="5" t="s">
        <v>3305</v>
      </c>
      <c r="Y404" s="4">
        <v>363</v>
      </c>
      <c r="Z404" s="4">
        <v>266</v>
      </c>
      <c r="AA404" s="4">
        <v>1228</v>
      </c>
      <c r="AB404" s="4">
        <v>2</v>
      </c>
      <c r="AC404" s="4">
        <v>13</v>
      </c>
      <c r="AD404" s="4">
        <v>7</v>
      </c>
      <c r="AE404" s="4">
        <v>47</v>
      </c>
      <c r="AF404" s="4">
        <v>2</v>
      </c>
      <c r="AG404" s="4">
        <v>17</v>
      </c>
      <c r="AH404" s="4">
        <v>2</v>
      </c>
      <c r="AI404" s="4">
        <v>11</v>
      </c>
      <c r="AJ404" s="4">
        <v>4</v>
      </c>
      <c r="AK404" s="4">
        <v>13</v>
      </c>
      <c r="AL404" s="4">
        <v>0</v>
      </c>
      <c r="AM404" s="4">
        <v>10</v>
      </c>
      <c r="AN404" s="4">
        <v>0</v>
      </c>
      <c r="AO404" s="4">
        <v>1</v>
      </c>
      <c r="AP404" s="3" t="s">
        <v>58</v>
      </c>
      <c r="AQ404" s="3" t="s">
        <v>58</v>
      </c>
      <c r="AS404" s="6" t="str">
        <f>HYPERLINK("https://creighton-primo.hosted.exlibrisgroup.com/primo-explore/search?tab=default_tab&amp;search_scope=EVERYTHING&amp;vid=01CRU&amp;lang=en_US&amp;offset=0&amp;query=any,contains,991000414079702656","Catalog Record")</f>
        <v>Catalog Record</v>
      </c>
      <c r="AT404" s="6" t="str">
        <f>HYPERLINK("http://www.worldcat.org/oclc/51804795","WorldCat Record")</f>
        <v>WorldCat Record</v>
      </c>
    </row>
    <row r="405" spans="1:46" ht="40.5" customHeight="1" x14ac:dyDescent="0.25">
      <c r="A405" s="8" t="s">
        <v>58</v>
      </c>
      <c r="B405" s="2" t="s">
        <v>3306</v>
      </c>
      <c r="C405" s="2" t="s">
        <v>3307</v>
      </c>
      <c r="D405" s="2" t="s">
        <v>3308</v>
      </c>
      <c r="F405" s="3" t="s">
        <v>58</v>
      </c>
      <c r="G405" s="3" t="s">
        <v>59</v>
      </c>
      <c r="H405" s="3" t="s">
        <v>58</v>
      </c>
      <c r="I405" s="3" t="s">
        <v>58</v>
      </c>
      <c r="J405" s="3" t="s">
        <v>59</v>
      </c>
      <c r="L405" s="2" t="s">
        <v>3309</v>
      </c>
      <c r="M405" s="3" t="s">
        <v>2753</v>
      </c>
      <c r="O405" s="3" t="s">
        <v>64</v>
      </c>
      <c r="P405" s="3" t="s">
        <v>83</v>
      </c>
      <c r="Q405" s="2" t="s">
        <v>2763</v>
      </c>
      <c r="R405" s="3" t="s">
        <v>1907</v>
      </c>
      <c r="S405" s="4">
        <v>0</v>
      </c>
      <c r="T405" s="4">
        <v>0</v>
      </c>
      <c r="U405" s="5" t="s">
        <v>3310</v>
      </c>
      <c r="V405" s="5" t="s">
        <v>3310</v>
      </c>
      <c r="W405" s="5" t="s">
        <v>3311</v>
      </c>
      <c r="X405" s="5" t="s">
        <v>3311</v>
      </c>
      <c r="Y405" s="4">
        <v>102</v>
      </c>
      <c r="Z405" s="4">
        <v>71</v>
      </c>
      <c r="AA405" s="4">
        <v>308</v>
      </c>
      <c r="AB405" s="4">
        <v>2</v>
      </c>
      <c r="AC405" s="4">
        <v>3</v>
      </c>
      <c r="AD405" s="4">
        <v>2</v>
      </c>
      <c r="AE405" s="4">
        <v>6</v>
      </c>
      <c r="AF405" s="4">
        <v>1</v>
      </c>
      <c r="AG405" s="4">
        <v>3</v>
      </c>
      <c r="AH405" s="4">
        <v>0</v>
      </c>
      <c r="AI405" s="4">
        <v>1</v>
      </c>
      <c r="AJ405" s="4">
        <v>0</v>
      </c>
      <c r="AK405" s="4">
        <v>4</v>
      </c>
      <c r="AL405" s="4">
        <v>1</v>
      </c>
      <c r="AM405" s="4">
        <v>1</v>
      </c>
      <c r="AN405" s="4">
        <v>0</v>
      </c>
      <c r="AO405" s="4">
        <v>0</v>
      </c>
      <c r="AP405" s="3" t="s">
        <v>58</v>
      </c>
      <c r="AQ405" s="3" t="s">
        <v>58</v>
      </c>
      <c r="AS405" s="6" t="str">
        <f>HYPERLINK("https://creighton-primo.hosted.exlibrisgroup.com/primo-explore/search?tab=default_tab&amp;search_scope=EVERYTHING&amp;vid=01CRU&amp;lang=en_US&amp;offset=0&amp;query=any,contains,991000592669702656","Catalog Record")</f>
        <v>Catalog Record</v>
      </c>
      <c r="AT405" s="6" t="str">
        <f>HYPERLINK("http://www.worldcat.org/oclc/55955709","WorldCat Record")</f>
        <v>WorldCat Record</v>
      </c>
    </row>
    <row r="406" spans="1:46" ht="40.5" customHeight="1" x14ac:dyDescent="0.25">
      <c r="A406" s="8" t="s">
        <v>58</v>
      </c>
      <c r="B406" s="2" t="s">
        <v>3312</v>
      </c>
      <c r="C406" s="2" t="s">
        <v>3313</v>
      </c>
      <c r="D406" s="2" t="s">
        <v>3314</v>
      </c>
      <c r="F406" s="3" t="s">
        <v>58</v>
      </c>
      <c r="G406" s="3" t="s">
        <v>59</v>
      </c>
      <c r="H406" s="3" t="s">
        <v>58</v>
      </c>
      <c r="I406" s="3" t="s">
        <v>58</v>
      </c>
      <c r="J406" s="3" t="s">
        <v>60</v>
      </c>
      <c r="K406" s="2" t="s">
        <v>3315</v>
      </c>
      <c r="L406" s="2" t="s">
        <v>3316</v>
      </c>
      <c r="M406" s="3" t="s">
        <v>171</v>
      </c>
      <c r="O406" s="3" t="s">
        <v>64</v>
      </c>
      <c r="P406" s="3" t="s">
        <v>400</v>
      </c>
      <c r="R406" s="3" t="s">
        <v>1907</v>
      </c>
      <c r="S406" s="4">
        <v>47</v>
      </c>
      <c r="T406" s="4">
        <v>47</v>
      </c>
      <c r="U406" s="5" t="s">
        <v>2979</v>
      </c>
      <c r="V406" s="5" t="s">
        <v>2979</v>
      </c>
      <c r="W406" s="5" t="s">
        <v>3317</v>
      </c>
      <c r="X406" s="5" t="s">
        <v>3317</v>
      </c>
      <c r="Y406" s="4">
        <v>226</v>
      </c>
      <c r="Z406" s="4">
        <v>172</v>
      </c>
      <c r="AA406" s="4">
        <v>174</v>
      </c>
      <c r="AB406" s="4">
        <v>1</v>
      </c>
      <c r="AC406" s="4">
        <v>1</v>
      </c>
      <c r="AD406" s="4">
        <v>6</v>
      </c>
      <c r="AE406" s="4">
        <v>6</v>
      </c>
      <c r="AF406" s="4">
        <v>1</v>
      </c>
      <c r="AG406" s="4">
        <v>1</v>
      </c>
      <c r="AH406" s="4">
        <v>2</v>
      </c>
      <c r="AI406" s="4">
        <v>2</v>
      </c>
      <c r="AJ406" s="4">
        <v>4</v>
      </c>
      <c r="AK406" s="4">
        <v>4</v>
      </c>
      <c r="AL406" s="4">
        <v>0</v>
      </c>
      <c r="AM406" s="4">
        <v>0</v>
      </c>
      <c r="AN406" s="4">
        <v>0</v>
      </c>
      <c r="AO406" s="4">
        <v>0</v>
      </c>
      <c r="AP406" s="3" t="s">
        <v>58</v>
      </c>
      <c r="AQ406" s="3" t="s">
        <v>69</v>
      </c>
      <c r="AR406" s="6" t="str">
        <f>HYPERLINK("http://catalog.hathitrust.org/Record/003304815","HathiTrust Record")</f>
        <v>HathiTrust Record</v>
      </c>
      <c r="AS406" s="6" t="str">
        <f>HYPERLINK("https://creighton-primo.hosted.exlibrisgroup.com/primo-explore/search?tab=default_tab&amp;search_scope=EVERYTHING&amp;vid=01CRU&amp;lang=en_US&amp;offset=0&amp;query=any,contains,991000822429702656","Catalog Record")</f>
        <v>Catalog Record</v>
      </c>
      <c r="AT406" s="6" t="str">
        <f>HYPERLINK("http://www.worldcat.org/oclc/37616764","WorldCat Record")</f>
        <v>WorldCat Record</v>
      </c>
    </row>
    <row r="407" spans="1:46" ht="40.5" customHeight="1" x14ac:dyDescent="0.25">
      <c r="A407" s="8" t="s">
        <v>58</v>
      </c>
      <c r="B407" s="2" t="s">
        <v>3318</v>
      </c>
      <c r="C407" s="2" t="s">
        <v>3319</v>
      </c>
      <c r="D407" s="2" t="s">
        <v>3320</v>
      </c>
      <c r="F407" s="3" t="s">
        <v>58</v>
      </c>
      <c r="G407" s="3" t="s">
        <v>59</v>
      </c>
      <c r="H407" s="3" t="s">
        <v>58</v>
      </c>
      <c r="I407" s="3" t="s">
        <v>58</v>
      </c>
      <c r="J407" s="3" t="s">
        <v>60</v>
      </c>
      <c r="L407" s="2" t="s">
        <v>3321</v>
      </c>
      <c r="M407" s="3" t="s">
        <v>815</v>
      </c>
      <c r="O407" s="3" t="s">
        <v>64</v>
      </c>
      <c r="P407" s="3" t="s">
        <v>83</v>
      </c>
      <c r="R407" s="3" t="s">
        <v>1907</v>
      </c>
      <c r="S407" s="4">
        <v>2</v>
      </c>
      <c r="T407" s="4">
        <v>2</v>
      </c>
      <c r="U407" s="5" t="s">
        <v>3322</v>
      </c>
      <c r="V407" s="5" t="s">
        <v>3322</v>
      </c>
      <c r="W407" s="5" t="s">
        <v>3322</v>
      </c>
      <c r="X407" s="5" t="s">
        <v>3322</v>
      </c>
      <c r="Y407" s="4">
        <v>33</v>
      </c>
      <c r="Z407" s="4">
        <v>20</v>
      </c>
      <c r="AA407" s="4">
        <v>20</v>
      </c>
      <c r="AB407" s="4">
        <v>1</v>
      </c>
      <c r="AC407" s="4">
        <v>1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4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3" t="s">
        <v>58</v>
      </c>
      <c r="AQ407" s="3" t="s">
        <v>58</v>
      </c>
      <c r="AS407" s="6" t="str">
        <f>HYPERLINK("https://creighton-primo.hosted.exlibrisgroup.com/primo-explore/search?tab=default_tab&amp;search_scope=EVERYTHING&amp;vid=01CRU&amp;lang=en_US&amp;offset=0&amp;query=any,contains,991001462349702656","Catalog Record")</f>
        <v>Catalog Record</v>
      </c>
      <c r="AT407" s="6" t="str">
        <f>HYPERLINK("http://www.worldcat.org/oclc/213480096","WorldCat Record")</f>
        <v>WorldCat Record</v>
      </c>
    </row>
    <row r="408" spans="1:46" ht="40.5" customHeight="1" x14ac:dyDescent="0.25">
      <c r="A408" s="8" t="s">
        <v>58</v>
      </c>
      <c r="B408" s="2" t="s">
        <v>3323</v>
      </c>
      <c r="C408" s="2" t="s">
        <v>3324</v>
      </c>
      <c r="D408" s="2" t="s">
        <v>3325</v>
      </c>
      <c r="F408" s="3" t="s">
        <v>58</v>
      </c>
      <c r="G408" s="3" t="s">
        <v>59</v>
      </c>
      <c r="H408" s="3" t="s">
        <v>58</v>
      </c>
      <c r="I408" s="3" t="s">
        <v>58</v>
      </c>
      <c r="J408" s="3" t="s">
        <v>60</v>
      </c>
      <c r="L408" s="2" t="s">
        <v>3326</v>
      </c>
      <c r="M408" s="3" t="s">
        <v>82</v>
      </c>
      <c r="O408" s="3" t="s">
        <v>64</v>
      </c>
      <c r="P408" s="3" t="s">
        <v>83</v>
      </c>
      <c r="R408" s="3" t="s">
        <v>1907</v>
      </c>
      <c r="S408" s="4">
        <v>4</v>
      </c>
      <c r="T408" s="4">
        <v>4</v>
      </c>
      <c r="U408" s="5" t="s">
        <v>3327</v>
      </c>
      <c r="V408" s="5" t="s">
        <v>3327</v>
      </c>
      <c r="W408" s="5" t="s">
        <v>3271</v>
      </c>
      <c r="X408" s="5" t="s">
        <v>3271</v>
      </c>
      <c r="Y408" s="4">
        <v>263</v>
      </c>
      <c r="Z408" s="4">
        <v>201</v>
      </c>
      <c r="AA408" s="4">
        <v>245</v>
      </c>
      <c r="AB408" s="4">
        <v>3</v>
      </c>
      <c r="AC408" s="4">
        <v>3</v>
      </c>
      <c r="AD408" s="4">
        <v>5</v>
      </c>
      <c r="AE408" s="4">
        <v>7</v>
      </c>
      <c r="AF408" s="4">
        <v>0</v>
      </c>
      <c r="AG408" s="4">
        <v>1</v>
      </c>
      <c r="AH408" s="4">
        <v>1</v>
      </c>
      <c r="AI408" s="4">
        <v>2</v>
      </c>
      <c r="AJ408" s="4">
        <v>3</v>
      </c>
      <c r="AK408" s="4">
        <v>3</v>
      </c>
      <c r="AL408" s="4">
        <v>2</v>
      </c>
      <c r="AM408" s="4">
        <v>2</v>
      </c>
      <c r="AN408" s="4">
        <v>0</v>
      </c>
      <c r="AO408" s="4">
        <v>0</v>
      </c>
      <c r="AP408" s="3" t="s">
        <v>58</v>
      </c>
      <c r="AQ408" s="3" t="s">
        <v>69</v>
      </c>
      <c r="AR408" s="6" t="str">
        <f>HYPERLINK("http://catalog.hathitrust.org/Record/000029551","HathiTrust Record")</f>
        <v>HathiTrust Record</v>
      </c>
      <c r="AS408" s="6" t="str">
        <f>HYPERLINK("https://creighton-primo.hosted.exlibrisgroup.com/primo-explore/search?tab=default_tab&amp;search_scope=EVERYTHING&amp;vid=01CRU&amp;lang=en_US&amp;offset=0&amp;query=any,contains,991000975679702656","Catalog Record")</f>
        <v>Catalog Record</v>
      </c>
      <c r="AT408" s="6" t="str">
        <f>HYPERLINK("http://www.worldcat.org/oclc/4835266","WorldCat Record")</f>
        <v>WorldCat Record</v>
      </c>
    </row>
    <row r="409" spans="1:46" ht="40.5" customHeight="1" x14ac:dyDescent="0.25">
      <c r="A409" s="8" t="s">
        <v>58</v>
      </c>
      <c r="B409" s="2" t="s">
        <v>3328</v>
      </c>
      <c r="C409" s="2" t="s">
        <v>3329</v>
      </c>
      <c r="D409" s="2" t="s">
        <v>3330</v>
      </c>
      <c r="F409" s="3" t="s">
        <v>58</v>
      </c>
      <c r="G409" s="3" t="s">
        <v>59</v>
      </c>
      <c r="H409" s="3" t="s">
        <v>58</v>
      </c>
      <c r="I409" s="3" t="s">
        <v>58</v>
      </c>
      <c r="J409" s="3" t="s">
        <v>60</v>
      </c>
      <c r="L409" s="2" t="s">
        <v>3331</v>
      </c>
      <c r="M409" s="3" t="s">
        <v>185</v>
      </c>
      <c r="O409" s="3" t="s">
        <v>64</v>
      </c>
      <c r="P409" s="3" t="s">
        <v>83</v>
      </c>
      <c r="R409" s="3" t="s">
        <v>1907</v>
      </c>
      <c r="S409" s="4">
        <v>11</v>
      </c>
      <c r="T409" s="4">
        <v>11</v>
      </c>
      <c r="U409" s="5" t="s">
        <v>3332</v>
      </c>
      <c r="V409" s="5" t="s">
        <v>3332</v>
      </c>
      <c r="W409" s="5" t="s">
        <v>3333</v>
      </c>
      <c r="X409" s="5" t="s">
        <v>3333</v>
      </c>
      <c r="Y409" s="4">
        <v>136</v>
      </c>
      <c r="Z409" s="4">
        <v>88</v>
      </c>
      <c r="AA409" s="4">
        <v>92</v>
      </c>
      <c r="AB409" s="4">
        <v>1</v>
      </c>
      <c r="AC409" s="4">
        <v>1</v>
      </c>
      <c r="AD409" s="4">
        <v>2</v>
      </c>
      <c r="AE409" s="4">
        <v>2</v>
      </c>
      <c r="AF409" s="4">
        <v>0</v>
      </c>
      <c r="AG409" s="4">
        <v>0</v>
      </c>
      <c r="AH409" s="4">
        <v>1</v>
      </c>
      <c r="AI409" s="4">
        <v>1</v>
      </c>
      <c r="AJ409" s="4">
        <v>1</v>
      </c>
      <c r="AK409" s="4">
        <v>1</v>
      </c>
      <c r="AL409" s="4">
        <v>0</v>
      </c>
      <c r="AM409" s="4">
        <v>0</v>
      </c>
      <c r="AN409" s="4">
        <v>0</v>
      </c>
      <c r="AO409" s="4">
        <v>0</v>
      </c>
      <c r="AP409" s="3" t="s">
        <v>58</v>
      </c>
      <c r="AQ409" s="3" t="s">
        <v>69</v>
      </c>
      <c r="AR409" s="6" t="str">
        <f>HYPERLINK("http://catalog.hathitrust.org/Record/002794785","HathiTrust Record")</f>
        <v>HathiTrust Record</v>
      </c>
      <c r="AS409" s="6" t="str">
        <f>HYPERLINK("https://creighton-primo.hosted.exlibrisgroup.com/primo-explore/search?tab=default_tab&amp;search_scope=EVERYTHING&amp;vid=01CRU&amp;lang=en_US&amp;offset=0&amp;query=any,contains,991000552789702656","Catalog Record")</f>
        <v>Catalog Record</v>
      </c>
      <c r="AT409" s="6" t="str">
        <f>HYPERLINK("http://www.worldcat.org/oclc/27036251","WorldCat Record")</f>
        <v>WorldCat Record</v>
      </c>
    </row>
    <row r="410" spans="1:46" ht="40.5" customHeight="1" x14ac:dyDescent="0.25">
      <c r="A410" s="8" t="s">
        <v>58</v>
      </c>
      <c r="B410" s="2" t="s">
        <v>3334</v>
      </c>
      <c r="C410" s="2" t="s">
        <v>3335</v>
      </c>
      <c r="D410" s="2" t="s">
        <v>3336</v>
      </c>
      <c r="F410" s="3" t="s">
        <v>58</v>
      </c>
      <c r="G410" s="3" t="s">
        <v>59</v>
      </c>
      <c r="H410" s="3" t="s">
        <v>58</v>
      </c>
      <c r="I410" s="3" t="s">
        <v>58</v>
      </c>
      <c r="J410" s="3" t="s">
        <v>60</v>
      </c>
      <c r="L410" s="2" t="s">
        <v>2509</v>
      </c>
      <c r="M410" s="3" t="s">
        <v>171</v>
      </c>
      <c r="O410" s="3" t="s">
        <v>64</v>
      </c>
      <c r="P410" s="3" t="s">
        <v>1501</v>
      </c>
      <c r="Q410" s="2" t="s">
        <v>3337</v>
      </c>
      <c r="R410" s="3" t="s">
        <v>1907</v>
      </c>
      <c r="S410" s="4">
        <v>8</v>
      </c>
      <c r="T410" s="4">
        <v>8</v>
      </c>
      <c r="U410" s="5" t="s">
        <v>3338</v>
      </c>
      <c r="V410" s="5" t="s">
        <v>3338</v>
      </c>
      <c r="W410" s="5" t="s">
        <v>1236</v>
      </c>
      <c r="X410" s="5" t="s">
        <v>1236</v>
      </c>
      <c r="Y410" s="4">
        <v>137</v>
      </c>
      <c r="Z410" s="4">
        <v>103</v>
      </c>
      <c r="AA410" s="4">
        <v>131</v>
      </c>
      <c r="AB410" s="4">
        <v>1</v>
      </c>
      <c r="AC410" s="4">
        <v>1</v>
      </c>
      <c r="AD410" s="4">
        <v>0</v>
      </c>
      <c r="AE410" s="4">
        <v>1</v>
      </c>
      <c r="AF410" s="4">
        <v>0</v>
      </c>
      <c r="AG410" s="4">
        <v>0</v>
      </c>
      <c r="AH410" s="4">
        <v>0</v>
      </c>
      <c r="AI410" s="4">
        <v>0</v>
      </c>
      <c r="AJ410" s="4">
        <v>0</v>
      </c>
      <c r="AK410" s="4">
        <v>1</v>
      </c>
      <c r="AL410" s="4">
        <v>0</v>
      </c>
      <c r="AM410" s="4">
        <v>0</v>
      </c>
      <c r="AN410" s="4">
        <v>0</v>
      </c>
      <c r="AO410" s="4">
        <v>0</v>
      </c>
      <c r="AP410" s="3" t="s">
        <v>58</v>
      </c>
      <c r="AQ410" s="3" t="s">
        <v>69</v>
      </c>
      <c r="AR410" s="6" t="str">
        <f>HYPERLINK("http://catalog.hathitrust.org/Record/003243468","HathiTrust Record")</f>
        <v>HathiTrust Record</v>
      </c>
      <c r="AS410" s="6" t="str">
        <f>HYPERLINK("https://creighton-primo.hosted.exlibrisgroup.com/primo-explore/search?tab=default_tab&amp;search_scope=EVERYTHING&amp;vid=01CRU&amp;lang=en_US&amp;offset=0&amp;query=any,contains,991000782479702656","Catalog Record")</f>
        <v>Catalog Record</v>
      </c>
      <c r="AT410" s="6" t="str">
        <f>HYPERLINK("http://www.worldcat.org/oclc/37616751","WorldCat Record")</f>
        <v>WorldCat Record</v>
      </c>
    </row>
    <row r="411" spans="1:46" ht="40.5" customHeight="1" x14ac:dyDescent="0.25">
      <c r="A411" s="8" t="s">
        <v>58</v>
      </c>
      <c r="B411" s="2" t="s">
        <v>3339</v>
      </c>
      <c r="C411" s="2" t="s">
        <v>3340</v>
      </c>
      <c r="D411" s="2" t="s">
        <v>3341</v>
      </c>
      <c r="F411" s="3" t="s">
        <v>58</v>
      </c>
      <c r="G411" s="3" t="s">
        <v>59</v>
      </c>
      <c r="H411" s="3" t="s">
        <v>58</v>
      </c>
      <c r="I411" s="3" t="s">
        <v>58</v>
      </c>
      <c r="J411" s="3" t="s">
        <v>60</v>
      </c>
      <c r="L411" s="2" t="s">
        <v>170</v>
      </c>
      <c r="M411" s="3" t="s">
        <v>171</v>
      </c>
      <c r="O411" s="3" t="s">
        <v>64</v>
      </c>
      <c r="P411" s="3" t="s">
        <v>172</v>
      </c>
      <c r="R411" s="3" t="s">
        <v>1907</v>
      </c>
      <c r="S411" s="4">
        <v>27</v>
      </c>
      <c r="T411" s="4">
        <v>27</v>
      </c>
      <c r="U411" s="5" t="s">
        <v>3342</v>
      </c>
      <c r="V411" s="5" t="s">
        <v>3342</v>
      </c>
      <c r="W411" s="5" t="s">
        <v>3343</v>
      </c>
      <c r="X411" s="5" t="s">
        <v>3343</v>
      </c>
      <c r="Y411" s="4">
        <v>211</v>
      </c>
      <c r="Z411" s="4">
        <v>145</v>
      </c>
      <c r="AA411" s="4">
        <v>208</v>
      </c>
      <c r="AB411" s="4">
        <v>1</v>
      </c>
      <c r="AC411" s="4">
        <v>1</v>
      </c>
      <c r="AD411" s="4">
        <v>4</v>
      </c>
      <c r="AE411" s="4">
        <v>6</v>
      </c>
      <c r="AF411" s="4">
        <v>1</v>
      </c>
      <c r="AG411" s="4">
        <v>2</v>
      </c>
      <c r="AH411" s="4">
        <v>3</v>
      </c>
      <c r="AI411" s="4">
        <v>4</v>
      </c>
      <c r="AJ411" s="4">
        <v>1</v>
      </c>
      <c r="AK411" s="4">
        <v>1</v>
      </c>
      <c r="AL411" s="4">
        <v>0</v>
      </c>
      <c r="AM411" s="4">
        <v>0</v>
      </c>
      <c r="AN411" s="4">
        <v>0</v>
      </c>
      <c r="AO411" s="4">
        <v>0</v>
      </c>
      <c r="AP411" s="3" t="s">
        <v>58</v>
      </c>
      <c r="AQ411" s="3" t="s">
        <v>69</v>
      </c>
      <c r="AR411" s="6" t="str">
        <f>HYPERLINK("http://catalog.hathitrust.org/Record/003979352","HathiTrust Record")</f>
        <v>HathiTrust Record</v>
      </c>
      <c r="AS411" s="6" t="str">
        <f>HYPERLINK("https://creighton-primo.hosted.exlibrisgroup.com/primo-explore/search?tab=default_tab&amp;search_scope=EVERYTHING&amp;vid=01CRU&amp;lang=en_US&amp;offset=0&amp;query=any,contains,991001569609702656","Catalog Record")</f>
        <v>Catalog Record</v>
      </c>
      <c r="AT411" s="6" t="str">
        <f>HYPERLINK("http://www.worldcat.org/oclc/39305338","WorldCat Record")</f>
        <v>WorldCat Record</v>
      </c>
    </row>
    <row r="412" spans="1:46" ht="40.5" customHeight="1" x14ac:dyDescent="0.25">
      <c r="A412" s="8" t="s">
        <v>58</v>
      </c>
      <c r="B412" s="2" t="s">
        <v>3344</v>
      </c>
      <c r="C412" s="2" t="s">
        <v>3345</v>
      </c>
      <c r="D412" s="2" t="s">
        <v>3346</v>
      </c>
      <c r="F412" s="3" t="s">
        <v>58</v>
      </c>
      <c r="G412" s="3" t="s">
        <v>59</v>
      </c>
      <c r="H412" s="3" t="s">
        <v>58</v>
      </c>
      <c r="I412" s="3" t="s">
        <v>58</v>
      </c>
      <c r="J412" s="3" t="s">
        <v>60</v>
      </c>
      <c r="L412" s="2" t="s">
        <v>3347</v>
      </c>
      <c r="M412" s="3" t="s">
        <v>270</v>
      </c>
      <c r="O412" s="3" t="s">
        <v>64</v>
      </c>
      <c r="P412" s="3" t="s">
        <v>607</v>
      </c>
      <c r="R412" s="3" t="s">
        <v>1907</v>
      </c>
      <c r="S412" s="4">
        <v>11</v>
      </c>
      <c r="T412" s="4">
        <v>11</v>
      </c>
      <c r="U412" s="5" t="s">
        <v>3338</v>
      </c>
      <c r="V412" s="5" t="s">
        <v>3338</v>
      </c>
      <c r="W412" s="5" t="s">
        <v>3348</v>
      </c>
      <c r="X412" s="5" t="s">
        <v>3348</v>
      </c>
      <c r="Y412" s="4">
        <v>174</v>
      </c>
      <c r="Z412" s="4">
        <v>132</v>
      </c>
      <c r="AA412" s="4">
        <v>219</v>
      </c>
      <c r="AB412" s="4">
        <v>2</v>
      </c>
      <c r="AC412" s="4">
        <v>3</v>
      </c>
      <c r="AD412" s="4">
        <v>6</v>
      </c>
      <c r="AE412" s="4">
        <v>10</v>
      </c>
      <c r="AF412" s="4">
        <v>2</v>
      </c>
      <c r="AG412" s="4">
        <v>3</v>
      </c>
      <c r="AH412" s="4">
        <v>3</v>
      </c>
      <c r="AI412" s="4">
        <v>3</v>
      </c>
      <c r="AJ412" s="4">
        <v>4</v>
      </c>
      <c r="AK412" s="4">
        <v>6</v>
      </c>
      <c r="AL412" s="4">
        <v>1</v>
      </c>
      <c r="AM412" s="4">
        <v>2</v>
      </c>
      <c r="AN412" s="4">
        <v>0</v>
      </c>
      <c r="AO412" s="4">
        <v>0</v>
      </c>
      <c r="AP412" s="3" t="s">
        <v>58</v>
      </c>
      <c r="AQ412" s="3" t="s">
        <v>58</v>
      </c>
      <c r="AS412" s="6" t="str">
        <f>HYPERLINK("https://creighton-primo.hosted.exlibrisgroup.com/primo-explore/search?tab=default_tab&amp;search_scope=EVERYTHING&amp;vid=01CRU&amp;lang=en_US&amp;offset=0&amp;query=any,contains,991001262299702656","Catalog Record")</f>
        <v>Catalog Record</v>
      </c>
      <c r="AT412" s="6" t="str">
        <f>HYPERLINK("http://www.worldcat.org/oclc/33009527","WorldCat Record")</f>
        <v>WorldCat Record</v>
      </c>
    </row>
    <row r="413" spans="1:46" ht="40.5" customHeight="1" x14ac:dyDescent="0.25">
      <c r="A413" s="8" t="s">
        <v>58</v>
      </c>
      <c r="B413" s="2" t="s">
        <v>3349</v>
      </c>
      <c r="C413" s="2" t="s">
        <v>3350</v>
      </c>
      <c r="D413" s="2" t="s">
        <v>3351</v>
      </c>
      <c r="E413" s="3" t="s">
        <v>1947</v>
      </c>
      <c r="F413" s="3" t="s">
        <v>69</v>
      </c>
      <c r="G413" s="3" t="s">
        <v>59</v>
      </c>
      <c r="H413" s="3" t="s">
        <v>58</v>
      </c>
      <c r="I413" s="3" t="s">
        <v>58</v>
      </c>
      <c r="J413" s="3" t="s">
        <v>60</v>
      </c>
      <c r="L413" s="2" t="s">
        <v>2457</v>
      </c>
      <c r="M413" s="3" t="s">
        <v>1632</v>
      </c>
      <c r="O413" s="3" t="s">
        <v>64</v>
      </c>
      <c r="P413" s="3" t="s">
        <v>1921</v>
      </c>
      <c r="R413" s="3" t="s">
        <v>1907</v>
      </c>
      <c r="S413" s="4">
        <v>5</v>
      </c>
      <c r="T413" s="4">
        <v>11</v>
      </c>
      <c r="U413" s="5" t="s">
        <v>3189</v>
      </c>
      <c r="V413" s="5" t="s">
        <v>3189</v>
      </c>
      <c r="W413" s="5" t="s">
        <v>3352</v>
      </c>
      <c r="X413" s="5" t="s">
        <v>3352</v>
      </c>
      <c r="Y413" s="4">
        <v>92</v>
      </c>
      <c r="Z413" s="4">
        <v>73</v>
      </c>
      <c r="AA413" s="4">
        <v>107</v>
      </c>
      <c r="AB413" s="4">
        <v>1</v>
      </c>
      <c r="AC413" s="4">
        <v>1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4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3" t="s">
        <v>58</v>
      </c>
      <c r="AQ413" s="3" t="s">
        <v>58</v>
      </c>
      <c r="AS413" s="6" t="str">
        <f>HYPERLINK("https://creighton-primo.hosted.exlibrisgroup.com/primo-explore/search?tab=default_tab&amp;search_scope=EVERYTHING&amp;vid=01CRU&amp;lang=en_US&amp;offset=0&amp;query=any,contains,991001238129702656","Catalog Record")</f>
        <v>Catalog Record</v>
      </c>
      <c r="AT413" s="6" t="str">
        <f>HYPERLINK("http://www.worldcat.org/oclc/16523320","WorldCat Record")</f>
        <v>WorldCat Record</v>
      </c>
    </row>
    <row r="414" spans="1:46" ht="40.5" customHeight="1" x14ac:dyDescent="0.25">
      <c r="A414" s="8" t="s">
        <v>58</v>
      </c>
      <c r="B414" s="2" t="s">
        <v>3349</v>
      </c>
      <c r="C414" s="2" t="s">
        <v>3350</v>
      </c>
      <c r="D414" s="2" t="s">
        <v>3351</v>
      </c>
      <c r="E414" s="3" t="s">
        <v>1952</v>
      </c>
      <c r="F414" s="3" t="s">
        <v>69</v>
      </c>
      <c r="G414" s="3" t="s">
        <v>59</v>
      </c>
      <c r="H414" s="3" t="s">
        <v>58</v>
      </c>
      <c r="I414" s="3" t="s">
        <v>58</v>
      </c>
      <c r="J414" s="3" t="s">
        <v>60</v>
      </c>
      <c r="L414" s="2" t="s">
        <v>2457</v>
      </c>
      <c r="M414" s="3" t="s">
        <v>1632</v>
      </c>
      <c r="O414" s="3" t="s">
        <v>64</v>
      </c>
      <c r="P414" s="3" t="s">
        <v>1921</v>
      </c>
      <c r="R414" s="3" t="s">
        <v>1907</v>
      </c>
      <c r="S414" s="4">
        <v>6</v>
      </c>
      <c r="T414" s="4">
        <v>11</v>
      </c>
      <c r="U414" s="5" t="s">
        <v>3189</v>
      </c>
      <c r="V414" s="5" t="s">
        <v>3189</v>
      </c>
      <c r="W414" s="5" t="s">
        <v>3352</v>
      </c>
      <c r="X414" s="5" t="s">
        <v>3352</v>
      </c>
      <c r="Y414" s="4">
        <v>92</v>
      </c>
      <c r="Z414" s="4">
        <v>73</v>
      </c>
      <c r="AA414" s="4">
        <v>107</v>
      </c>
      <c r="AB414" s="4">
        <v>1</v>
      </c>
      <c r="AC414" s="4">
        <v>1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4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3" t="s">
        <v>58</v>
      </c>
      <c r="AQ414" s="3" t="s">
        <v>58</v>
      </c>
      <c r="AS414" s="6" t="str">
        <f>HYPERLINK("https://creighton-primo.hosted.exlibrisgroup.com/primo-explore/search?tab=default_tab&amp;search_scope=EVERYTHING&amp;vid=01CRU&amp;lang=en_US&amp;offset=0&amp;query=any,contains,991001238129702656","Catalog Record")</f>
        <v>Catalog Record</v>
      </c>
      <c r="AT414" s="6" t="str">
        <f>HYPERLINK("http://www.worldcat.org/oclc/16523320","WorldCat Record")</f>
        <v>WorldCat Record</v>
      </c>
    </row>
    <row r="415" spans="1:46" ht="40.5" customHeight="1" x14ac:dyDescent="0.25">
      <c r="A415" s="8" t="s">
        <v>58</v>
      </c>
      <c r="B415" s="2" t="s">
        <v>3353</v>
      </c>
      <c r="C415" s="2" t="s">
        <v>3354</v>
      </c>
      <c r="D415" s="2" t="s">
        <v>3355</v>
      </c>
      <c r="F415" s="3" t="s">
        <v>58</v>
      </c>
      <c r="G415" s="3" t="s">
        <v>59</v>
      </c>
      <c r="H415" s="3" t="s">
        <v>58</v>
      </c>
      <c r="I415" s="3" t="s">
        <v>69</v>
      </c>
      <c r="J415" s="3" t="s">
        <v>60</v>
      </c>
      <c r="L415" s="2" t="s">
        <v>3356</v>
      </c>
      <c r="M415" s="3" t="s">
        <v>676</v>
      </c>
      <c r="N415" s="2" t="s">
        <v>271</v>
      </c>
      <c r="O415" s="3" t="s">
        <v>64</v>
      </c>
      <c r="P415" s="3" t="s">
        <v>172</v>
      </c>
      <c r="R415" s="3" t="s">
        <v>1907</v>
      </c>
      <c r="S415" s="4">
        <v>25</v>
      </c>
      <c r="T415" s="4">
        <v>25</v>
      </c>
      <c r="U415" s="5" t="s">
        <v>3357</v>
      </c>
      <c r="V415" s="5" t="s">
        <v>3357</v>
      </c>
      <c r="W415" s="5" t="s">
        <v>3358</v>
      </c>
      <c r="X415" s="5" t="s">
        <v>3358</v>
      </c>
      <c r="Y415" s="4">
        <v>131</v>
      </c>
      <c r="Z415" s="4">
        <v>91</v>
      </c>
      <c r="AA415" s="4">
        <v>237</v>
      </c>
      <c r="AB415" s="4">
        <v>1</v>
      </c>
      <c r="AC415" s="4">
        <v>1</v>
      </c>
      <c r="AD415" s="4">
        <v>4</v>
      </c>
      <c r="AE415" s="4">
        <v>6</v>
      </c>
      <c r="AF415" s="4">
        <v>0</v>
      </c>
      <c r="AG415" s="4">
        <v>1</v>
      </c>
      <c r="AH415" s="4">
        <v>3</v>
      </c>
      <c r="AI415" s="4">
        <v>4</v>
      </c>
      <c r="AJ415" s="4">
        <v>2</v>
      </c>
      <c r="AK415" s="4">
        <v>2</v>
      </c>
      <c r="AL415" s="4">
        <v>0</v>
      </c>
      <c r="AM415" s="4">
        <v>0</v>
      </c>
      <c r="AN415" s="4">
        <v>0</v>
      </c>
      <c r="AO415" s="4">
        <v>0</v>
      </c>
      <c r="AP415" s="3" t="s">
        <v>58</v>
      </c>
      <c r="AQ415" s="3" t="s">
        <v>58</v>
      </c>
      <c r="AS415" s="6" t="str">
        <f>HYPERLINK("https://creighton-primo.hosted.exlibrisgroup.com/primo-explore/search?tab=default_tab&amp;search_scope=EVERYTHING&amp;vid=01CRU&amp;lang=en_US&amp;offset=0&amp;query=any,contains,991000343549702656","Catalog Record")</f>
        <v>Catalog Record</v>
      </c>
      <c r="AT415" s="6" t="str">
        <f>HYPERLINK("http://www.worldcat.org/oclc/47902092","WorldCat Record")</f>
        <v>WorldCat Record</v>
      </c>
    </row>
    <row r="416" spans="1:46" ht="40.5" customHeight="1" x14ac:dyDescent="0.25">
      <c r="A416" s="8" t="s">
        <v>58</v>
      </c>
      <c r="B416" s="2" t="s">
        <v>3359</v>
      </c>
      <c r="C416" s="2" t="s">
        <v>3360</v>
      </c>
      <c r="D416" s="2" t="s">
        <v>3355</v>
      </c>
      <c r="F416" s="3" t="s">
        <v>58</v>
      </c>
      <c r="G416" s="3" t="s">
        <v>59</v>
      </c>
      <c r="H416" s="3" t="s">
        <v>58</v>
      </c>
      <c r="I416" s="3" t="s">
        <v>69</v>
      </c>
      <c r="J416" s="3" t="s">
        <v>60</v>
      </c>
      <c r="L416" s="2" t="s">
        <v>3361</v>
      </c>
      <c r="M416" s="3" t="s">
        <v>201</v>
      </c>
      <c r="O416" s="3" t="s">
        <v>64</v>
      </c>
      <c r="P416" s="3" t="s">
        <v>172</v>
      </c>
      <c r="R416" s="3" t="s">
        <v>1907</v>
      </c>
      <c r="S416" s="4">
        <v>7</v>
      </c>
      <c r="T416" s="4">
        <v>7</v>
      </c>
      <c r="U416" s="5" t="s">
        <v>3362</v>
      </c>
      <c r="V416" s="5" t="s">
        <v>3362</v>
      </c>
      <c r="W416" s="5" t="s">
        <v>3363</v>
      </c>
      <c r="X416" s="5" t="s">
        <v>3363</v>
      </c>
      <c r="Y416" s="4">
        <v>163</v>
      </c>
      <c r="Z416" s="4">
        <v>124</v>
      </c>
      <c r="AA416" s="4">
        <v>237</v>
      </c>
      <c r="AB416" s="4">
        <v>1</v>
      </c>
      <c r="AC416" s="4">
        <v>1</v>
      </c>
      <c r="AD416" s="4">
        <v>1</v>
      </c>
      <c r="AE416" s="4">
        <v>6</v>
      </c>
      <c r="AF416" s="4">
        <v>0</v>
      </c>
      <c r="AG416" s="4">
        <v>1</v>
      </c>
      <c r="AH416" s="4">
        <v>0</v>
      </c>
      <c r="AI416" s="4">
        <v>4</v>
      </c>
      <c r="AJ416" s="4">
        <v>1</v>
      </c>
      <c r="AK416" s="4">
        <v>2</v>
      </c>
      <c r="AL416" s="4">
        <v>0</v>
      </c>
      <c r="AM416" s="4">
        <v>0</v>
      </c>
      <c r="AN416" s="4">
        <v>0</v>
      </c>
      <c r="AO416" s="4">
        <v>0</v>
      </c>
      <c r="AP416" s="3" t="s">
        <v>58</v>
      </c>
      <c r="AQ416" s="3" t="s">
        <v>69</v>
      </c>
      <c r="AR416" s="6" t="str">
        <f>HYPERLINK("http://catalog.hathitrust.org/Record/004008526","HathiTrust Record")</f>
        <v>HathiTrust Record</v>
      </c>
      <c r="AS416" s="6" t="str">
        <f>HYPERLINK("https://creighton-primo.hosted.exlibrisgroup.com/primo-explore/search?tab=default_tab&amp;search_scope=EVERYTHING&amp;vid=01CRU&amp;lang=en_US&amp;offset=0&amp;query=any,contains,991001573349702656","Catalog Record")</f>
        <v>Catalog Record</v>
      </c>
      <c r="AT416" s="6" t="str">
        <f>HYPERLINK("http://www.worldcat.org/oclc/40265334","WorldCat Record")</f>
        <v>WorldCat Record</v>
      </c>
    </row>
    <row r="417" spans="1:46" ht="40.5" customHeight="1" x14ac:dyDescent="0.25">
      <c r="A417" s="8" t="s">
        <v>58</v>
      </c>
      <c r="B417" s="2" t="s">
        <v>3364</v>
      </c>
      <c r="C417" s="2" t="s">
        <v>3365</v>
      </c>
      <c r="D417" s="2" t="s">
        <v>3366</v>
      </c>
      <c r="F417" s="3" t="s">
        <v>58</v>
      </c>
      <c r="G417" s="3" t="s">
        <v>59</v>
      </c>
      <c r="H417" s="3" t="s">
        <v>58</v>
      </c>
      <c r="I417" s="3" t="s">
        <v>58</v>
      </c>
      <c r="J417" s="3" t="s">
        <v>60</v>
      </c>
      <c r="L417" s="2" t="s">
        <v>3367</v>
      </c>
      <c r="M417" s="3" t="s">
        <v>2263</v>
      </c>
      <c r="O417" s="3" t="s">
        <v>64</v>
      </c>
      <c r="P417" s="3" t="s">
        <v>607</v>
      </c>
      <c r="R417" s="3" t="s">
        <v>1907</v>
      </c>
      <c r="S417" s="4">
        <v>7</v>
      </c>
      <c r="T417" s="4">
        <v>7</v>
      </c>
      <c r="U417" s="5" t="s">
        <v>3368</v>
      </c>
      <c r="V417" s="5" t="s">
        <v>3368</v>
      </c>
      <c r="W417" s="5" t="s">
        <v>2512</v>
      </c>
      <c r="X417" s="5" t="s">
        <v>2512</v>
      </c>
      <c r="Y417" s="4">
        <v>323</v>
      </c>
      <c r="Z417" s="4">
        <v>244</v>
      </c>
      <c r="AA417" s="4">
        <v>341</v>
      </c>
      <c r="AB417" s="4">
        <v>2</v>
      </c>
      <c r="AC417" s="4">
        <v>4</v>
      </c>
      <c r="AD417" s="4">
        <v>10</v>
      </c>
      <c r="AE417" s="4">
        <v>15</v>
      </c>
      <c r="AF417" s="4">
        <v>2</v>
      </c>
      <c r="AG417" s="4">
        <v>3</v>
      </c>
      <c r="AH417" s="4">
        <v>4</v>
      </c>
      <c r="AI417" s="4">
        <v>5</v>
      </c>
      <c r="AJ417" s="4">
        <v>4</v>
      </c>
      <c r="AK417" s="4">
        <v>5</v>
      </c>
      <c r="AL417" s="4">
        <v>1</v>
      </c>
      <c r="AM417" s="4">
        <v>3</v>
      </c>
      <c r="AN417" s="4">
        <v>0</v>
      </c>
      <c r="AO417" s="4">
        <v>0</v>
      </c>
      <c r="AP417" s="3" t="s">
        <v>58</v>
      </c>
      <c r="AQ417" s="3" t="s">
        <v>58</v>
      </c>
      <c r="AS417" s="6" t="str">
        <f>HYPERLINK("https://creighton-primo.hosted.exlibrisgroup.com/primo-explore/search?tab=default_tab&amp;search_scope=EVERYTHING&amp;vid=01CRU&amp;lang=en_US&amp;offset=0&amp;query=any,contains,991001534459702656","Catalog Record")</f>
        <v>Catalog Record</v>
      </c>
      <c r="AT417" s="6" t="str">
        <f>HYPERLINK("http://www.worldcat.org/oclc/35836737","WorldCat Record")</f>
        <v>WorldCat Record</v>
      </c>
    </row>
    <row r="418" spans="1:46" ht="40.5" customHeight="1" x14ac:dyDescent="0.25">
      <c r="A418" s="8" t="s">
        <v>58</v>
      </c>
      <c r="B418" s="2" t="s">
        <v>3369</v>
      </c>
      <c r="C418" s="2" t="s">
        <v>3370</v>
      </c>
      <c r="D418" s="2" t="s">
        <v>3371</v>
      </c>
      <c r="F418" s="3" t="s">
        <v>58</v>
      </c>
      <c r="G418" s="3" t="s">
        <v>59</v>
      </c>
      <c r="H418" s="3" t="s">
        <v>58</v>
      </c>
      <c r="I418" s="3" t="s">
        <v>58</v>
      </c>
      <c r="J418" s="3" t="s">
        <v>60</v>
      </c>
      <c r="L418" s="2" t="s">
        <v>3372</v>
      </c>
      <c r="M418" s="3" t="s">
        <v>540</v>
      </c>
      <c r="O418" s="3" t="s">
        <v>64</v>
      </c>
      <c r="P418" s="3" t="s">
        <v>83</v>
      </c>
      <c r="Q418" s="2" t="s">
        <v>3373</v>
      </c>
      <c r="R418" s="3" t="s">
        <v>1907</v>
      </c>
      <c r="S418" s="4">
        <v>6</v>
      </c>
      <c r="T418" s="4">
        <v>6</v>
      </c>
      <c r="U418" s="5" t="s">
        <v>3374</v>
      </c>
      <c r="V418" s="5" t="s">
        <v>3374</v>
      </c>
      <c r="W418" s="5" t="s">
        <v>3375</v>
      </c>
      <c r="X418" s="5" t="s">
        <v>3375</v>
      </c>
      <c r="Y418" s="4">
        <v>51</v>
      </c>
      <c r="Z418" s="4">
        <v>39</v>
      </c>
      <c r="AA418" s="4">
        <v>41</v>
      </c>
      <c r="AB418" s="4">
        <v>1</v>
      </c>
      <c r="AC418" s="4">
        <v>1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3" t="s">
        <v>58</v>
      </c>
      <c r="AQ418" s="3" t="s">
        <v>69</v>
      </c>
      <c r="AR418" s="6" t="str">
        <f>HYPERLINK("http://catalog.hathitrust.org/Record/002698726","HathiTrust Record")</f>
        <v>HathiTrust Record</v>
      </c>
      <c r="AS418" s="6" t="str">
        <f>HYPERLINK("https://creighton-primo.hosted.exlibrisgroup.com/primo-explore/search?tab=default_tab&amp;search_scope=EVERYTHING&amp;vid=01CRU&amp;lang=en_US&amp;offset=0&amp;query=any,contains,991001511159702656","Catalog Record")</f>
        <v>Catalog Record</v>
      </c>
      <c r="AT418" s="6" t="str">
        <f>HYPERLINK("http://www.worldcat.org/oclc/27436536","WorldCat Record")</f>
        <v>WorldCat Record</v>
      </c>
    </row>
    <row r="419" spans="1:46" ht="40.5" customHeight="1" x14ac:dyDescent="0.25">
      <c r="A419" s="8" t="s">
        <v>58</v>
      </c>
      <c r="B419" s="2" t="s">
        <v>3376</v>
      </c>
      <c r="C419" s="2" t="s">
        <v>3377</v>
      </c>
      <c r="D419" s="2" t="s">
        <v>3378</v>
      </c>
      <c r="E419" s="3" t="s">
        <v>1947</v>
      </c>
      <c r="F419" s="3" t="s">
        <v>69</v>
      </c>
      <c r="G419" s="3" t="s">
        <v>59</v>
      </c>
      <c r="H419" s="3" t="s">
        <v>58</v>
      </c>
      <c r="I419" s="3" t="s">
        <v>58</v>
      </c>
      <c r="J419" s="3" t="s">
        <v>60</v>
      </c>
      <c r="L419" s="2" t="s">
        <v>3379</v>
      </c>
      <c r="M419" s="3" t="s">
        <v>829</v>
      </c>
      <c r="O419" s="3" t="s">
        <v>64</v>
      </c>
      <c r="P419" s="3" t="s">
        <v>1921</v>
      </c>
      <c r="R419" s="3" t="s">
        <v>1907</v>
      </c>
      <c r="S419" s="4">
        <v>2</v>
      </c>
      <c r="T419" s="4">
        <v>2</v>
      </c>
      <c r="U419" s="5" t="s">
        <v>2743</v>
      </c>
      <c r="V419" s="5" t="s">
        <v>2743</v>
      </c>
      <c r="W419" s="5" t="s">
        <v>3271</v>
      </c>
      <c r="X419" s="5" t="s">
        <v>3271</v>
      </c>
      <c r="Y419" s="4">
        <v>239</v>
      </c>
      <c r="Z419" s="4">
        <v>194</v>
      </c>
      <c r="AA419" s="4">
        <v>196</v>
      </c>
      <c r="AB419" s="4">
        <v>1</v>
      </c>
      <c r="AC419" s="4">
        <v>1</v>
      </c>
      <c r="AD419" s="4">
        <v>5</v>
      </c>
      <c r="AE419" s="4">
        <v>5</v>
      </c>
      <c r="AF419" s="4">
        <v>1</v>
      </c>
      <c r="AG419" s="4">
        <v>1</v>
      </c>
      <c r="AH419" s="4">
        <v>3</v>
      </c>
      <c r="AI419" s="4">
        <v>3</v>
      </c>
      <c r="AJ419" s="4">
        <v>4</v>
      </c>
      <c r="AK419" s="4">
        <v>4</v>
      </c>
      <c r="AL419" s="4">
        <v>0</v>
      </c>
      <c r="AM419" s="4">
        <v>0</v>
      </c>
      <c r="AN419" s="4">
        <v>0</v>
      </c>
      <c r="AO419" s="4">
        <v>0</v>
      </c>
      <c r="AP419" s="3" t="s">
        <v>58</v>
      </c>
      <c r="AQ419" s="3" t="s">
        <v>69</v>
      </c>
      <c r="AR419" s="6" t="str">
        <f>HYPERLINK("http://catalog.hathitrust.org/Record/000480142","HathiTrust Record")</f>
        <v>HathiTrust Record</v>
      </c>
      <c r="AS419" s="6" t="str">
        <f>HYPERLINK("https://creighton-primo.hosted.exlibrisgroup.com/primo-explore/search?tab=default_tab&amp;search_scope=EVERYTHING&amp;vid=01CRU&amp;lang=en_US&amp;offset=0&amp;query=any,contains,991001475549702656","Catalog Record")</f>
        <v>Catalog Record</v>
      </c>
      <c r="AT419" s="6" t="str">
        <f>HYPERLINK("http://www.worldcat.org/oclc/12108057","WorldCat Record")</f>
        <v>WorldCat Record</v>
      </c>
    </row>
    <row r="420" spans="1:46" ht="40.5" customHeight="1" x14ac:dyDescent="0.25">
      <c r="A420" s="8" t="s">
        <v>58</v>
      </c>
      <c r="B420" s="2" t="s">
        <v>3376</v>
      </c>
      <c r="C420" s="2" t="s">
        <v>3377</v>
      </c>
      <c r="D420" s="2" t="s">
        <v>3378</v>
      </c>
      <c r="E420" s="3" t="s">
        <v>1952</v>
      </c>
      <c r="F420" s="3" t="s">
        <v>69</v>
      </c>
      <c r="G420" s="3" t="s">
        <v>59</v>
      </c>
      <c r="H420" s="3" t="s">
        <v>58</v>
      </c>
      <c r="I420" s="3" t="s">
        <v>58</v>
      </c>
      <c r="J420" s="3" t="s">
        <v>60</v>
      </c>
      <c r="L420" s="2" t="s">
        <v>3379</v>
      </c>
      <c r="M420" s="3" t="s">
        <v>829</v>
      </c>
      <c r="O420" s="3" t="s">
        <v>64</v>
      </c>
      <c r="P420" s="3" t="s">
        <v>1921</v>
      </c>
      <c r="R420" s="3" t="s">
        <v>1907</v>
      </c>
      <c r="S420" s="4">
        <v>0</v>
      </c>
      <c r="T420" s="4">
        <v>2</v>
      </c>
      <c r="V420" s="5" t="s">
        <v>2743</v>
      </c>
      <c r="W420" s="5" t="s">
        <v>3271</v>
      </c>
      <c r="X420" s="5" t="s">
        <v>3271</v>
      </c>
      <c r="Y420" s="4">
        <v>239</v>
      </c>
      <c r="Z420" s="4">
        <v>194</v>
      </c>
      <c r="AA420" s="4">
        <v>196</v>
      </c>
      <c r="AB420" s="4">
        <v>1</v>
      </c>
      <c r="AC420" s="4">
        <v>1</v>
      </c>
      <c r="AD420" s="4">
        <v>5</v>
      </c>
      <c r="AE420" s="4">
        <v>5</v>
      </c>
      <c r="AF420" s="4">
        <v>1</v>
      </c>
      <c r="AG420" s="4">
        <v>1</v>
      </c>
      <c r="AH420" s="4">
        <v>3</v>
      </c>
      <c r="AI420" s="4">
        <v>3</v>
      </c>
      <c r="AJ420" s="4">
        <v>4</v>
      </c>
      <c r="AK420" s="4">
        <v>4</v>
      </c>
      <c r="AL420" s="4">
        <v>0</v>
      </c>
      <c r="AM420" s="4">
        <v>0</v>
      </c>
      <c r="AN420" s="4">
        <v>0</v>
      </c>
      <c r="AO420" s="4">
        <v>0</v>
      </c>
      <c r="AP420" s="3" t="s">
        <v>58</v>
      </c>
      <c r="AQ420" s="3" t="s">
        <v>69</v>
      </c>
      <c r="AR420" s="6" t="str">
        <f>HYPERLINK("http://catalog.hathitrust.org/Record/000480142","HathiTrust Record")</f>
        <v>HathiTrust Record</v>
      </c>
      <c r="AS420" s="6" t="str">
        <f>HYPERLINK("https://creighton-primo.hosted.exlibrisgroup.com/primo-explore/search?tab=default_tab&amp;search_scope=EVERYTHING&amp;vid=01CRU&amp;lang=en_US&amp;offset=0&amp;query=any,contains,991001475549702656","Catalog Record")</f>
        <v>Catalog Record</v>
      </c>
      <c r="AT420" s="6" t="str">
        <f>HYPERLINK("http://www.worldcat.org/oclc/12108057","WorldCat Record")</f>
        <v>WorldCat Record</v>
      </c>
    </row>
    <row r="421" spans="1:46" ht="40.5" customHeight="1" x14ac:dyDescent="0.25">
      <c r="A421" s="8" t="s">
        <v>58</v>
      </c>
      <c r="B421" s="2" t="s">
        <v>3380</v>
      </c>
      <c r="C421" s="2" t="s">
        <v>3381</v>
      </c>
      <c r="D421" s="2" t="s">
        <v>3382</v>
      </c>
      <c r="F421" s="3" t="s">
        <v>58</v>
      </c>
      <c r="G421" s="3" t="s">
        <v>59</v>
      </c>
      <c r="H421" s="3" t="s">
        <v>58</v>
      </c>
      <c r="I421" s="3" t="s">
        <v>58</v>
      </c>
      <c r="J421" s="3" t="s">
        <v>60</v>
      </c>
      <c r="L421" s="2" t="s">
        <v>3383</v>
      </c>
      <c r="M421" s="3" t="s">
        <v>258</v>
      </c>
      <c r="O421" s="3" t="s">
        <v>64</v>
      </c>
      <c r="P421" s="3" t="s">
        <v>1501</v>
      </c>
      <c r="Q421" s="2" t="s">
        <v>3337</v>
      </c>
      <c r="R421" s="3" t="s">
        <v>1907</v>
      </c>
      <c r="S421" s="4">
        <v>3</v>
      </c>
      <c r="T421" s="4">
        <v>3</v>
      </c>
      <c r="U421" s="5" t="s">
        <v>2743</v>
      </c>
      <c r="V421" s="5" t="s">
        <v>2743</v>
      </c>
      <c r="W421" s="5" t="s">
        <v>3384</v>
      </c>
      <c r="X421" s="5" t="s">
        <v>3384</v>
      </c>
      <c r="Y421" s="4">
        <v>74</v>
      </c>
      <c r="Z421" s="4">
        <v>49</v>
      </c>
      <c r="AA421" s="4">
        <v>70</v>
      </c>
      <c r="AB421" s="4">
        <v>1</v>
      </c>
      <c r="AC421" s="4">
        <v>1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4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3" t="s">
        <v>58</v>
      </c>
      <c r="AQ421" s="3" t="s">
        <v>69</v>
      </c>
      <c r="AR421" s="6" t="str">
        <f>HYPERLINK("http://catalog.hathitrust.org/Record/002227813","HathiTrust Record")</f>
        <v>HathiTrust Record</v>
      </c>
      <c r="AS421" s="6" t="str">
        <f>HYPERLINK("https://creighton-primo.hosted.exlibrisgroup.com/primo-explore/search?tab=default_tab&amp;search_scope=EVERYTHING&amp;vid=01CRU&amp;lang=en_US&amp;offset=0&amp;query=any,contains,991001299359702656","Catalog Record")</f>
        <v>Catalog Record</v>
      </c>
      <c r="AT421" s="6" t="str">
        <f>HYPERLINK("http://www.worldcat.org/oclc/19554160","WorldCat Record")</f>
        <v>WorldCat Record</v>
      </c>
    </row>
    <row r="422" spans="1:46" ht="40.5" customHeight="1" x14ac:dyDescent="0.25">
      <c r="A422" s="8" t="s">
        <v>58</v>
      </c>
      <c r="B422" s="2" t="s">
        <v>3385</v>
      </c>
      <c r="C422" s="2" t="s">
        <v>3386</v>
      </c>
      <c r="D422" s="2" t="s">
        <v>3387</v>
      </c>
      <c r="F422" s="3" t="s">
        <v>58</v>
      </c>
      <c r="G422" s="3" t="s">
        <v>59</v>
      </c>
      <c r="H422" s="3" t="s">
        <v>58</v>
      </c>
      <c r="I422" s="3" t="s">
        <v>58</v>
      </c>
      <c r="J422" s="3" t="s">
        <v>60</v>
      </c>
      <c r="K422" s="2" t="s">
        <v>3388</v>
      </c>
      <c r="L422" s="2" t="s">
        <v>3389</v>
      </c>
      <c r="M422" s="3" t="s">
        <v>1980</v>
      </c>
      <c r="O422" s="3" t="s">
        <v>64</v>
      </c>
      <c r="P422" s="3" t="s">
        <v>83</v>
      </c>
      <c r="R422" s="3" t="s">
        <v>1907</v>
      </c>
      <c r="S422" s="4">
        <v>9</v>
      </c>
      <c r="T422" s="4">
        <v>9</v>
      </c>
      <c r="U422" s="5" t="s">
        <v>3390</v>
      </c>
      <c r="V422" s="5" t="s">
        <v>3390</v>
      </c>
      <c r="W422" s="5" t="s">
        <v>3271</v>
      </c>
      <c r="X422" s="5" t="s">
        <v>3271</v>
      </c>
      <c r="Y422" s="4">
        <v>193</v>
      </c>
      <c r="Z422" s="4">
        <v>157</v>
      </c>
      <c r="AA422" s="4">
        <v>158</v>
      </c>
      <c r="AB422" s="4">
        <v>1</v>
      </c>
      <c r="AC422" s="4">
        <v>1</v>
      </c>
      <c r="AD422" s="4">
        <v>5</v>
      </c>
      <c r="AE422" s="4">
        <v>5</v>
      </c>
      <c r="AF422" s="4">
        <v>1</v>
      </c>
      <c r="AG422" s="4">
        <v>1</v>
      </c>
      <c r="AH422" s="4">
        <v>4</v>
      </c>
      <c r="AI422" s="4">
        <v>4</v>
      </c>
      <c r="AJ422" s="4">
        <v>3</v>
      </c>
      <c r="AK422" s="4">
        <v>3</v>
      </c>
      <c r="AL422" s="4">
        <v>0</v>
      </c>
      <c r="AM422" s="4">
        <v>0</v>
      </c>
      <c r="AN422" s="4">
        <v>0</v>
      </c>
      <c r="AO422" s="4">
        <v>0</v>
      </c>
      <c r="AP422" s="3" t="s">
        <v>58</v>
      </c>
      <c r="AQ422" s="3" t="s">
        <v>69</v>
      </c>
      <c r="AR422" s="6" t="str">
        <f>HYPERLINK("http://catalog.hathitrust.org/Record/006249699","HathiTrust Record")</f>
        <v>HathiTrust Record</v>
      </c>
      <c r="AS422" s="6" t="str">
        <f>HYPERLINK("https://creighton-primo.hosted.exlibrisgroup.com/primo-explore/search?tab=default_tab&amp;search_scope=EVERYTHING&amp;vid=01CRU&amp;lang=en_US&amp;offset=0&amp;query=any,contains,991000975769702656","Catalog Record")</f>
        <v>Catalog Record</v>
      </c>
      <c r="AT422" s="6" t="str">
        <f>HYPERLINK("http://www.worldcat.org/oclc/9256095","WorldCat Record")</f>
        <v>WorldCat Record</v>
      </c>
    </row>
    <row r="423" spans="1:46" ht="40.5" customHeight="1" x14ac:dyDescent="0.25">
      <c r="A423" s="8" t="s">
        <v>58</v>
      </c>
      <c r="B423" s="2" t="s">
        <v>3391</v>
      </c>
      <c r="C423" s="2" t="s">
        <v>3392</v>
      </c>
      <c r="D423" s="2" t="s">
        <v>3393</v>
      </c>
      <c r="F423" s="3" t="s">
        <v>58</v>
      </c>
      <c r="G423" s="3" t="s">
        <v>59</v>
      </c>
      <c r="H423" s="3" t="s">
        <v>58</v>
      </c>
      <c r="I423" s="3" t="s">
        <v>58</v>
      </c>
      <c r="J423" s="3" t="s">
        <v>60</v>
      </c>
      <c r="L423" s="2" t="s">
        <v>2516</v>
      </c>
      <c r="M423" s="3" t="s">
        <v>1632</v>
      </c>
      <c r="O423" s="3" t="s">
        <v>64</v>
      </c>
      <c r="P423" s="3" t="s">
        <v>1921</v>
      </c>
      <c r="R423" s="3" t="s">
        <v>1907</v>
      </c>
      <c r="S423" s="4">
        <v>12</v>
      </c>
      <c r="T423" s="4">
        <v>12</v>
      </c>
      <c r="U423" s="5" t="s">
        <v>3394</v>
      </c>
      <c r="V423" s="5" t="s">
        <v>3394</v>
      </c>
      <c r="W423" s="5" t="s">
        <v>3352</v>
      </c>
      <c r="X423" s="5" t="s">
        <v>3352</v>
      </c>
      <c r="Y423" s="4">
        <v>225</v>
      </c>
      <c r="Z423" s="4">
        <v>180</v>
      </c>
      <c r="AA423" s="4">
        <v>229</v>
      </c>
      <c r="AB423" s="4">
        <v>2</v>
      </c>
      <c r="AC423" s="4">
        <v>2</v>
      </c>
      <c r="AD423" s="4">
        <v>8</v>
      </c>
      <c r="AE423" s="4">
        <v>11</v>
      </c>
      <c r="AF423" s="4">
        <v>0</v>
      </c>
      <c r="AG423" s="4">
        <v>2</v>
      </c>
      <c r="AH423" s="4">
        <v>4</v>
      </c>
      <c r="AI423" s="4">
        <v>6</v>
      </c>
      <c r="AJ423" s="4">
        <v>5</v>
      </c>
      <c r="AK423" s="4">
        <v>5</v>
      </c>
      <c r="AL423" s="4">
        <v>1</v>
      </c>
      <c r="AM423" s="4">
        <v>1</v>
      </c>
      <c r="AN423" s="4">
        <v>0</v>
      </c>
      <c r="AO423" s="4">
        <v>0</v>
      </c>
      <c r="AP423" s="3" t="s">
        <v>58</v>
      </c>
      <c r="AQ423" s="3" t="s">
        <v>69</v>
      </c>
      <c r="AR423" s="6" t="str">
        <f>HYPERLINK("http://catalog.hathitrust.org/Record/000944907","HathiTrust Record")</f>
        <v>HathiTrust Record</v>
      </c>
      <c r="AS423" s="6" t="str">
        <f>HYPERLINK("https://creighton-primo.hosted.exlibrisgroup.com/primo-explore/search?tab=default_tab&amp;search_scope=EVERYTHING&amp;vid=01CRU&amp;lang=en_US&amp;offset=0&amp;query=any,contains,991001239269702656","Catalog Record")</f>
        <v>Catalog Record</v>
      </c>
      <c r="AT423" s="6" t="str">
        <f>HYPERLINK("http://www.worldcat.org/oclc/16985498","WorldCat Record")</f>
        <v>WorldCat Record</v>
      </c>
    </row>
    <row r="424" spans="1:46" ht="40.5" customHeight="1" x14ac:dyDescent="0.25">
      <c r="A424" s="8" t="s">
        <v>58</v>
      </c>
      <c r="B424" s="2" t="s">
        <v>3395</v>
      </c>
      <c r="C424" s="2" t="s">
        <v>3396</v>
      </c>
      <c r="D424" s="2" t="s">
        <v>3397</v>
      </c>
      <c r="F424" s="3" t="s">
        <v>58</v>
      </c>
      <c r="G424" s="3" t="s">
        <v>59</v>
      </c>
      <c r="H424" s="3" t="s">
        <v>58</v>
      </c>
      <c r="I424" s="3" t="s">
        <v>58</v>
      </c>
      <c r="J424" s="3" t="s">
        <v>60</v>
      </c>
      <c r="L424" s="2" t="s">
        <v>3398</v>
      </c>
      <c r="M424" s="3" t="s">
        <v>126</v>
      </c>
      <c r="O424" s="3" t="s">
        <v>64</v>
      </c>
      <c r="P424" s="3" t="s">
        <v>83</v>
      </c>
      <c r="Q424" s="2" t="s">
        <v>3399</v>
      </c>
      <c r="R424" s="3" t="s">
        <v>1907</v>
      </c>
      <c r="S424" s="4">
        <v>8</v>
      </c>
      <c r="T424" s="4">
        <v>8</v>
      </c>
      <c r="U424" s="5" t="s">
        <v>3400</v>
      </c>
      <c r="V424" s="5" t="s">
        <v>3400</v>
      </c>
      <c r="W424" s="5" t="s">
        <v>3183</v>
      </c>
      <c r="X424" s="5" t="s">
        <v>3183</v>
      </c>
      <c r="Y424" s="4">
        <v>82</v>
      </c>
      <c r="Z424" s="4">
        <v>54</v>
      </c>
      <c r="AA424" s="4">
        <v>59</v>
      </c>
      <c r="AB424" s="4">
        <v>1</v>
      </c>
      <c r="AC424" s="4">
        <v>1</v>
      </c>
      <c r="AD424" s="4">
        <v>1</v>
      </c>
      <c r="AE424" s="4">
        <v>1</v>
      </c>
      <c r="AF424" s="4">
        <v>0</v>
      </c>
      <c r="AG424" s="4">
        <v>0</v>
      </c>
      <c r="AH424" s="4">
        <v>1</v>
      </c>
      <c r="AI424" s="4">
        <v>1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3" t="s">
        <v>58</v>
      </c>
      <c r="AQ424" s="3" t="s">
        <v>58</v>
      </c>
      <c r="AS424" s="6" t="str">
        <f>HYPERLINK("https://creighton-primo.hosted.exlibrisgroup.com/primo-explore/search?tab=default_tab&amp;search_scope=EVERYTHING&amp;vid=01CRU&amp;lang=en_US&amp;offset=0&amp;query=any,contains,991000678879702656","Catalog Record")</f>
        <v>Catalog Record</v>
      </c>
      <c r="AT424" s="6" t="str">
        <f>HYPERLINK("http://www.worldcat.org/oclc/29877505","WorldCat Record")</f>
        <v>WorldCat Record</v>
      </c>
    </row>
    <row r="425" spans="1:46" ht="40.5" customHeight="1" x14ac:dyDescent="0.25">
      <c r="A425" s="8" t="s">
        <v>58</v>
      </c>
      <c r="B425" s="2" t="s">
        <v>3401</v>
      </c>
      <c r="C425" s="2" t="s">
        <v>3402</v>
      </c>
      <c r="D425" s="2" t="s">
        <v>3403</v>
      </c>
      <c r="F425" s="3" t="s">
        <v>58</v>
      </c>
      <c r="G425" s="3" t="s">
        <v>59</v>
      </c>
      <c r="H425" s="3" t="s">
        <v>58</v>
      </c>
      <c r="I425" s="3" t="s">
        <v>58</v>
      </c>
      <c r="J425" s="3" t="s">
        <v>60</v>
      </c>
      <c r="L425" s="2" t="s">
        <v>3404</v>
      </c>
      <c r="M425" s="3" t="s">
        <v>1632</v>
      </c>
      <c r="O425" s="3" t="s">
        <v>64</v>
      </c>
      <c r="P425" s="3" t="s">
        <v>1921</v>
      </c>
      <c r="R425" s="3" t="s">
        <v>1907</v>
      </c>
      <c r="S425" s="4">
        <v>5</v>
      </c>
      <c r="T425" s="4">
        <v>5</v>
      </c>
      <c r="U425" s="5" t="s">
        <v>2743</v>
      </c>
      <c r="V425" s="5" t="s">
        <v>2743</v>
      </c>
      <c r="W425" s="5" t="s">
        <v>3405</v>
      </c>
      <c r="X425" s="5" t="s">
        <v>3405</v>
      </c>
      <c r="Y425" s="4">
        <v>239</v>
      </c>
      <c r="Z425" s="4">
        <v>179</v>
      </c>
      <c r="AA425" s="4">
        <v>204</v>
      </c>
      <c r="AB425" s="4">
        <v>2</v>
      </c>
      <c r="AC425" s="4">
        <v>2</v>
      </c>
      <c r="AD425" s="4">
        <v>6</v>
      </c>
      <c r="AE425" s="4">
        <v>7</v>
      </c>
      <c r="AF425" s="4">
        <v>1</v>
      </c>
      <c r="AG425" s="4">
        <v>2</v>
      </c>
      <c r="AH425" s="4">
        <v>2</v>
      </c>
      <c r="AI425" s="4">
        <v>2</v>
      </c>
      <c r="AJ425" s="4">
        <v>3</v>
      </c>
      <c r="AK425" s="4">
        <v>4</v>
      </c>
      <c r="AL425" s="4">
        <v>1</v>
      </c>
      <c r="AM425" s="4">
        <v>1</v>
      </c>
      <c r="AN425" s="4">
        <v>0</v>
      </c>
      <c r="AO425" s="4">
        <v>0</v>
      </c>
      <c r="AP425" s="3" t="s">
        <v>58</v>
      </c>
      <c r="AQ425" s="3" t="s">
        <v>69</v>
      </c>
      <c r="AR425" s="6" t="str">
        <f>HYPERLINK("http://catalog.hathitrust.org/Record/000927138","HathiTrust Record")</f>
        <v>HathiTrust Record</v>
      </c>
      <c r="AS425" s="6" t="str">
        <f>HYPERLINK("https://creighton-primo.hosted.exlibrisgroup.com/primo-explore/search?tab=default_tab&amp;search_scope=EVERYTHING&amp;vid=01CRU&amp;lang=en_US&amp;offset=0&amp;query=any,contains,991001113009702656","Catalog Record")</f>
        <v>Catalog Record</v>
      </c>
      <c r="AT425" s="6" t="str">
        <f>HYPERLINK("http://www.worldcat.org/oclc/17354236","WorldCat Record")</f>
        <v>WorldCat Record</v>
      </c>
    </row>
    <row r="426" spans="1:46" ht="40.5" customHeight="1" x14ac:dyDescent="0.25">
      <c r="A426" s="8" t="s">
        <v>58</v>
      </c>
      <c r="B426" s="2" t="s">
        <v>3406</v>
      </c>
      <c r="C426" s="2" t="s">
        <v>3407</v>
      </c>
      <c r="D426" s="2" t="s">
        <v>3408</v>
      </c>
      <c r="F426" s="3" t="s">
        <v>58</v>
      </c>
      <c r="G426" s="3" t="s">
        <v>59</v>
      </c>
      <c r="H426" s="3" t="s">
        <v>58</v>
      </c>
      <c r="I426" s="3" t="s">
        <v>58</v>
      </c>
      <c r="J426" s="3" t="s">
        <v>60</v>
      </c>
      <c r="K426" s="2" t="s">
        <v>3262</v>
      </c>
      <c r="L426" s="2" t="s">
        <v>3409</v>
      </c>
      <c r="M426" s="3" t="s">
        <v>1094</v>
      </c>
      <c r="N426" s="2" t="s">
        <v>271</v>
      </c>
      <c r="O426" s="3" t="s">
        <v>64</v>
      </c>
      <c r="P426" s="3" t="s">
        <v>1921</v>
      </c>
      <c r="R426" s="3" t="s">
        <v>1907</v>
      </c>
      <c r="S426" s="4">
        <v>5</v>
      </c>
      <c r="T426" s="4">
        <v>5</v>
      </c>
      <c r="U426" s="5" t="s">
        <v>3410</v>
      </c>
      <c r="V426" s="5" t="s">
        <v>3410</v>
      </c>
      <c r="W426" s="5" t="s">
        <v>2011</v>
      </c>
      <c r="X426" s="5" t="s">
        <v>2011</v>
      </c>
      <c r="Y426" s="4">
        <v>175</v>
      </c>
      <c r="Z426" s="4">
        <v>135</v>
      </c>
      <c r="AA426" s="4">
        <v>269</v>
      </c>
      <c r="AB426" s="4">
        <v>1</v>
      </c>
      <c r="AC426" s="4">
        <v>3</v>
      </c>
      <c r="AD426" s="4">
        <v>3</v>
      </c>
      <c r="AE426" s="4">
        <v>9</v>
      </c>
      <c r="AF426" s="4">
        <v>3</v>
      </c>
      <c r="AG426" s="4">
        <v>4</v>
      </c>
      <c r="AH426" s="4">
        <v>0</v>
      </c>
      <c r="AI426" s="4">
        <v>2</v>
      </c>
      <c r="AJ426" s="4">
        <v>1</v>
      </c>
      <c r="AK426" s="4">
        <v>4</v>
      </c>
      <c r="AL426" s="4">
        <v>0</v>
      </c>
      <c r="AM426" s="4">
        <v>2</v>
      </c>
      <c r="AN426" s="4">
        <v>0</v>
      </c>
      <c r="AO426" s="4">
        <v>0</v>
      </c>
      <c r="AP426" s="3" t="s">
        <v>58</v>
      </c>
      <c r="AQ426" s="3" t="s">
        <v>58</v>
      </c>
      <c r="AS426" s="6" t="str">
        <f>HYPERLINK("https://creighton-primo.hosted.exlibrisgroup.com/primo-explore/search?tab=default_tab&amp;search_scope=EVERYTHING&amp;vid=01CRU&amp;lang=en_US&amp;offset=0&amp;query=any,contains,991000748619702656","Catalog Record")</f>
        <v>Catalog Record</v>
      </c>
      <c r="AT426" s="6" t="str">
        <f>HYPERLINK("http://www.worldcat.org/oclc/7571980","WorldCat Record")</f>
        <v>WorldCat Record</v>
      </c>
    </row>
    <row r="427" spans="1:46" ht="40.5" customHeight="1" x14ac:dyDescent="0.25">
      <c r="A427" s="8" t="s">
        <v>58</v>
      </c>
      <c r="B427" s="2" t="s">
        <v>3411</v>
      </c>
      <c r="C427" s="2" t="s">
        <v>3412</v>
      </c>
      <c r="D427" s="2" t="s">
        <v>3413</v>
      </c>
      <c r="F427" s="3" t="s">
        <v>58</v>
      </c>
      <c r="G427" s="3" t="s">
        <v>59</v>
      </c>
      <c r="H427" s="3" t="s">
        <v>58</v>
      </c>
      <c r="I427" s="3" t="s">
        <v>58</v>
      </c>
      <c r="J427" s="3" t="s">
        <v>60</v>
      </c>
      <c r="K427" s="2" t="s">
        <v>341</v>
      </c>
      <c r="L427" s="2" t="s">
        <v>3414</v>
      </c>
      <c r="M427" s="3" t="s">
        <v>3415</v>
      </c>
      <c r="O427" s="3" t="s">
        <v>64</v>
      </c>
      <c r="P427" s="3" t="s">
        <v>113</v>
      </c>
      <c r="R427" s="3" t="s">
        <v>1907</v>
      </c>
      <c r="S427" s="4">
        <v>8</v>
      </c>
      <c r="T427" s="4">
        <v>8</v>
      </c>
      <c r="U427" s="5" t="s">
        <v>2649</v>
      </c>
      <c r="V427" s="5" t="s">
        <v>2649</v>
      </c>
      <c r="W427" s="5" t="s">
        <v>2433</v>
      </c>
      <c r="X427" s="5" t="s">
        <v>2433</v>
      </c>
      <c r="Y427" s="4">
        <v>277</v>
      </c>
      <c r="Z427" s="4">
        <v>199</v>
      </c>
      <c r="AA427" s="4">
        <v>234</v>
      </c>
      <c r="AB427" s="4">
        <v>3</v>
      </c>
      <c r="AC427" s="4">
        <v>3</v>
      </c>
      <c r="AD427" s="4">
        <v>13</v>
      </c>
      <c r="AE427" s="4">
        <v>16</v>
      </c>
      <c r="AF427" s="4">
        <v>4</v>
      </c>
      <c r="AG427" s="4">
        <v>5</v>
      </c>
      <c r="AH427" s="4">
        <v>3</v>
      </c>
      <c r="AI427" s="4">
        <v>3</v>
      </c>
      <c r="AJ427" s="4">
        <v>7</v>
      </c>
      <c r="AK427" s="4">
        <v>10</v>
      </c>
      <c r="AL427" s="4">
        <v>2</v>
      </c>
      <c r="AM427" s="4">
        <v>2</v>
      </c>
      <c r="AN427" s="4">
        <v>0</v>
      </c>
      <c r="AO427" s="4">
        <v>0</v>
      </c>
      <c r="AP427" s="3" t="s">
        <v>58</v>
      </c>
      <c r="AQ427" s="3" t="s">
        <v>69</v>
      </c>
      <c r="AR427" s="6" t="str">
        <f>HYPERLINK("http://catalog.hathitrust.org/Record/002077549","HathiTrust Record")</f>
        <v>HathiTrust Record</v>
      </c>
      <c r="AS427" s="6" t="str">
        <f>HYPERLINK("https://creighton-primo.hosted.exlibrisgroup.com/primo-explore/search?tab=default_tab&amp;search_scope=EVERYTHING&amp;vid=01CRU&amp;lang=en_US&amp;offset=0&amp;query=any,contains,991000975859702656","Catalog Record")</f>
        <v>Catalog Record</v>
      </c>
      <c r="AT427" s="6" t="str">
        <f>HYPERLINK("http://www.worldcat.org/oclc/1560542","WorldCat Record")</f>
        <v>WorldCat Record</v>
      </c>
    </row>
    <row r="428" spans="1:46" ht="40.5" customHeight="1" x14ac:dyDescent="0.25">
      <c r="A428" s="8" t="s">
        <v>58</v>
      </c>
      <c r="B428" s="2" t="s">
        <v>3416</v>
      </c>
      <c r="C428" s="2" t="s">
        <v>3417</v>
      </c>
      <c r="D428" s="2" t="s">
        <v>3418</v>
      </c>
      <c r="F428" s="3" t="s">
        <v>58</v>
      </c>
      <c r="G428" s="3" t="s">
        <v>59</v>
      </c>
      <c r="H428" s="3" t="s">
        <v>58</v>
      </c>
      <c r="I428" s="3" t="s">
        <v>58</v>
      </c>
      <c r="J428" s="3" t="s">
        <v>60</v>
      </c>
      <c r="K428" s="2" t="s">
        <v>3419</v>
      </c>
      <c r="L428" s="2" t="s">
        <v>3420</v>
      </c>
      <c r="M428" s="3" t="s">
        <v>1172</v>
      </c>
      <c r="O428" s="3" t="s">
        <v>64</v>
      </c>
      <c r="P428" s="3" t="s">
        <v>939</v>
      </c>
      <c r="R428" s="3" t="s">
        <v>1907</v>
      </c>
      <c r="S428" s="4">
        <v>1</v>
      </c>
      <c r="T428" s="4">
        <v>1</v>
      </c>
      <c r="U428" s="5" t="s">
        <v>3421</v>
      </c>
      <c r="V428" s="5" t="s">
        <v>3421</v>
      </c>
      <c r="W428" s="5" t="s">
        <v>2433</v>
      </c>
      <c r="X428" s="5" t="s">
        <v>2433</v>
      </c>
      <c r="Y428" s="4">
        <v>103</v>
      </c>
      <c r="Z428" s="4">
        <v>98</v>
      </c>
      <c r="AA428" s="4">
        <v>114</v>
      </c>
      <c r="AB428" s="4">
        <v>2</v>
      </c>
      <c r="AC428" s="4">
        <v>2</v>
      </c>
      <c r="AD428" s="4">
        <v>5</v>
      </c>
      <c r="AE428" s="4">
        <v>6</v>
      </c>
      <c r="AF428" s="4">
        <v>2</v>
      </c>
      <c r="AG428" s="4">
        <v>2</v>
      </c>
      <c r="AH428" s="4">
        <v>1</v>
      </c>
      <c r="AI428" s="4">
        <v>1</v>
      </c>
      <c r="AJ428" s="4">
        <v>3</v>
      </c>
      <c r="AK428" s="4">
        <v>4</v>
      </c>
      <c r="AL428" s="4">
        <v>1</v>
      </c>
      <c r="AM428" s="4">
        <v>1</v>
      </c>
      <c r="AN428" s="4">
        <v>0</v>
      </c>
      <c r="AO428" s="4">
        <v>0</v>
      </c>
      <c r="AP428" s="3" t="s">
        <v>58</v>
      </c>
      <c r="AQ428" s="3" t="s">
        <v>69</v>
      </c>
      <c r="AR428" s="6" t="str">
        <f>HYPERLINK("http://catalog.hathitrust.org/Record/002067705","HathiTrust Record")</f>
        <v>HathiTrust Record</v>
      </c>
      <c r="AS428" s="6" t="str">
        <f>HYPERLINK("https://creighton-primo.hosted.exlibrisgroup.com/primo-explore/search?tab=default_tab&amp;search_scope=EVERYTHING&amp;vid=01CRU&amp;lang=en_US&amp;offset=0&amp;query=any,contains,991000975749702656","Catalog Record")</f>
        <v>Catalog Record</v>
      </c>
      <c r="AT428" s="6" t="str">
        <f>HYPERLINK("http://www.worldcat.org/oclc/1293354","WorldCat Record")</f>
        <v>WorldCat Record</v>
      </c>
    </row>
    <row r="429" spans="1:46" ht="40.5" customHeight="1" x14ac:dyDescent="0.25">
      <c r="A429" s="8" t="s">
        <v>58</v>
      </c>
      <c r="B429" s="2" t="s">
        <v>3422</v>
      </c>
      <c r="C429" s="2" t="s">
        <v>3423</v>
      </c>
      <c r="D429" s="2" t="s">
        <v>3424</v>
      </c>
      <c r="F429" s="3" t="s">
        <v>58</v>
      </c>
      <c r="G429" s="3" t="s">
        <v>59</v>
      </c>
      <c r="H429" s="3" t="s">
        <v>58</v>
      </c>
      <c r="I429" s="3" t="s">
        <v>58</v>
      </c>
      <c r="J429" s="3" t="s">
        <v>60</v>
      </c>
      <c r="K429" s="2" t="s">
        <v>3425</v>
      </c>
      <c r="L429" s="2" t="s">
        <v>3426</v>
      </c>
      <c r="M429" s="3" t="s">
        <v>1980</v>
      </c>
      <c r="O429" s="3" t="s">
        <v>64</v>
      </c>
      <c r="P429" s="3" t="s">
        <v>1921</v>
      </c>
      <c r="R429" s="3" t="s">
        <v>1907</v>
      </c>
      <c r="S429" s="4">
        <v>5</v>
      </c>
      <c r="T429" s="4">
        <v>5</v>
      </c>
      <c r="U429" s="5" t="s">
        <v>3427</v>
      </c>
      <c r="V429" s="5" t="s">
        <v>3427</v>
      </c>
      <c r="W429" s="5" t="s">
        <v>2459</v>
      </c>
      <c r="X429" s="5" t="s">
        <v>2459</v>
      </c>
      <c r="Y429" s="4">
        <v>141</v>
      </c>
      <c r="Z429" s="4">
        <v>101</v>
      </c>
      <c r="AA429" s="4">
        <v>103</v>
      </c>
      <c r="AB429" s="4">
        <v>1</v>
      </c>
      <c r="AC429" s="4">
        <v>1</v>
      </c>
      <c r="AD429" s="4">
        <v>2</v>
      </c>
      <c r="AE429" s="4">
        <v>2</v>
      </c>
      <c r="AF429" s="4">
        <v>1</v>
      </c>
      <c r="AG429" s="4">
        <v>1</v>
      </c>
      <c r="AH429" s="4">
        <v>0</v>
      </c>
      <c r="AI429" s="4">
        <v>0</v>
      </c>
      <c r="AJ429" s="4">
        <v>1</v>
      </c>
      <c r="AK429" s="4">
        <v>1</v>
      </c>
      <c r="AL429" s="4">
        <v>0</v>
      </c>
      <c r="AM429" s="4">
        <v>0</v>
      </c>
      <c r="AN429" s="4">
        <v>0</v>
      </c>
      <c r="AO429" s="4">
        <v>0</v>
      </c>
      <c r="AP429" s="3" t="s">
        <v>58</v>
      </c>
      <c r="AQ429" s="3" t="s">
        <v>69</v>
      </c>
      <c r="AR429" s="6" t="str">
        <f>HYPERLINK("http://catalog.hathitrust.org/Record/000157589","HathiTrust Record")</f>
        <v>HathiTrust Record</v>
      </c>
      <c r="AS429" s="6" t="str">
        <f>HYPERLINK("https://creighton-primo.hosted.exlibrisgroup.com/primo-explore/search?tab=default_tab&amp;search_scope=EVERYTHING&amp;vid=01CRU&amp;lang=en_US&amp;offset=0&amp;query=any,contains,991000976059702656","Catalog Record")</f>
        <v>Catalog Record</v>
      </c>
      <c r="AT429" s="6" t="str">
        <f>HYPERLINK("http://www.worldcat.org/oclc/9324407","WorldCat Record")</f>
        <v>WorldCat Record</v>
      </c>
    </row>
    <row r="430" spans="1:46" ht="40.5" customHeight="1" x14ac:dyDescent="0.25">
      <c r="A430" s="8" t="s">
        <v>58</v>
      </c>
      <c r="B430" s="2" t="s">
        <v>3428</v>
      </c>
      <c r="C430" s="2" t="s">
        <v>3429</v>
      </c>
      <c r="D430" s="2" t="s">
        <v>3430</v>
      </c>
      <c r="F430" s="3" t="s">
        <v>58</v>
      </c>
      <c r="G430" s="3" t="s">
        <v>59</v>
      </c>
      <c r="H430" s="3" t="s">
        <v>58</v>
      </c>
      <c r="I430" s="3" t="s">
        <v>58</v>
      </c>
      <c r="J430" s="3" t="s">
        <v>60</v>
      </c>
      <c r="L430" s="2" t="s">
        <v>3431</v>
      </c>
      <c r="M430" s="3" t="s">
        <v>1094</v>
      </c>
      <c r="O430" s="3" t="s">
        <v>64</v>
      </c>
      <c r="P430" s="3" t="s">
        <v>202</v>
      </c>
      <c r="R430" s="3" t="s">
        <v>1907</v>
      </c>
      <c r="S430" s="4">
        <v>1</v>
      </c>
      <c r="T430" s="4">
        <v>1</v>
      </c>
      <c r="U430" s="5" t="s">
        <v>3432</v>
      </c>
      <c r="V430" s="5" t="s">
        <v>3432</v>
      </c>
      <c r="W430" s="5" t="s">
        <v>3271</v>
      </c>
      <c r="X430" s="5" t="s">
        <v>3271</v>
      </c>
      <c r="Y430" s="4">
        <v>170</v>
      </c>
      <c r="Z430" s="4">
        <v>120</v>
      </c>
      <c r="AA430" s="4">
        <v>121</v>
      </c>
      <c r="AB430" s="4">
        <v>1</v>
      </c>
      <c r="AC430" s="4">
        <v>1</v>
      </c>
      <c r="AD430" s="4">
        <v>4</v>
      </c>
      <c r="AE430" s="4">
        <v>4</v>
      </c>
      <c r="AF430" s="4">
        <v>3</v>
      </c>
      <c r="AG430" s="4">
        <v>3</v>
      </c>
      <c r="AH430" s="4">
        <v>1</v>
      </c>
      <c r="AI430" s="4">
        <v>1</v>
      </c>
      <c r="AJ430" s="4">
        <v>2</v>
      </c>
      <c r="AK430" s="4">
        <v>2</v>
      </c>
      <c r="AL430" s="4">
        <v>0</v>
      </c>
      <c r="AM430" s="4">
        <v>0</v>
      </c>
      <c r="AN430" s="4">
        <v>0</v>
      </c>
      <c r="AO430" s="4">
        <v>0</v>
      </c>
      <c r="AP430" s="3" t="s">
        <v>58</v>
      </c>
      <c r="AQ430" s="3" t="s">
        <v>69</v>
      </c>
      <c r="AR430" s="6" t="str">
        <f>HYPERLINK("http://catalog.hathitrust.org/Record/000241881","HathiTrust Record")</f>
        <v>HathiTrust Record</v>
      </c>
      <c r="AS430" s="6" t="str">
        <f>HYPERLINK("https://creighton-primo.hosted.exlibrisgroup.com/primo-explore/search?tab=default_tab&amp;search_scope=EVERYTHING&amp;vid=01CRU&amp;lang=en_US&amp;offset=0&amp;query=any,contains,991000976019702656","Catalog Record")</f>
        <v>Catalog Record</v>
      </c>
      <c r="AT430" s="6" t="str">
        <f>HYPERLINK("http://www.worldcat.org/oclc/8667580","WorldCat Record")</f>
        <v>WorldCat Record</v>
      </c>
    </row>
    <row r="431" spans="1:46" ht="40.5" customHeight="1" x14ac:dyDescent="0.25">
      <c r="A431" s="8" t="s">
        <v>58</v>
      </c>
      <c r="B431" s="2" t="s">
        <v>3433</v>
      </c>
      <c r="C431" s="2" t="s">
        <v>3434</v>
      </c>
      <c r="D431" s="2" t="s">
        <v>3435</v>
      </c>
      <c r="F431" s="3" t="s">
        <v>58</v>
      </c>
      <c r="G431" s="3" t="s">
        <v>59</v>
      </c>
      <c r="H431" s="3" t="s">
        <v>58</v>
      </c>
      <c r="I431" s="3" t="s">
        <v>58</v>
      </c>
      <c r="J431" s="3" t="s">
        <v>60</v>
      </c>
      <c r="K431" s="2" t="s">
        <v>3436</v>
      </c>
      <c r="L431" s="2" t="s">
        <v>3437</v>
      </c>
      <c r="M431" s="3" t="s">
        <v>2446</v>
      </c>
      <c r="O431" s="3" t="s">
        <v>64</v>
      </c>
      <c r="P431" s="3" t="s">
        <v>939</v>
      </c>
      <c r="R431" s="3" t="s">
        <v>1907</v>
      </c>
      <c r="S431" s="4">
        <v>2</v>
      </c>
      <c r="T431" s="4">
        <v>2</v>
      </c>
      <c r="U431" s="5" t="s">
        <v>3438</v>
      </c>
      <c r="V431" s="5" t="s">
        <v>3438</v>
      </c>
      <c r="W431" s="5" t="s">
        <v>2433</v>
      </c>
      <c r="X431" s="5" t="s">
        <v>2433</v>
      </c>
      <c r="Y431" s="4">
        <v>15</v>
      </c>
      <c r="Z431" s="4">
        <v>11</v>
      </c>
      <c r="AA431" s="4">
        <v>11</v>
      </c>
      <c r="AB431" s="4">
        <v>1</v>
      </c>
      <c r="AC431" s="4">
        <v>1</v>
      </c>
      <c r="AD431" s="4">
        <v>0</v>
      </c>
      <c r="AE431" s="4">
        <v>0</v>
      </c>
      <c r="AF431" s="4">
        <v>0</v>
      </c>
      <c r="AG431" s="4">
        <v>0</v>
      </c>
      <c r="AH431" s="4">
        <v>0</v>
      </c>
      <c r="AI431" s="4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3" t="s">
        <v>58</v>
      </c>
      <c r="AQ431" s="3" t="s">
        <v>58</v>
      </c>
      <c r="AS431" s="6" t="str">
        <f>HYPERLINK("https://creighton-primo.hosted.exlibrisgroup.com/primo-explore/search?tab=default_tab&amp;search_scope=EVERYTHING&amp;vid=01CRU&amp;lang=en_US&amp;offset=0&amp;query=any,contains,991000976089702656","Catalog Record")</f>
        <v>Catalog Record</v>
      </c>
      <c r="AT431" s="6" t="str">
        <f>HYPERLINK("http://www.worldcat.org/oclc/14420561","WorldCat Record")</f>
        <v>WorldCat Record</v>
      </c>
    </row>
    <row r="432" spans="1:46" ht="40.5" customHeight="1" x14ac:dyDescent="0.25">
      <c r="A432" s="8" t="s">
        <v>58</v>
      </c>
      <c r="B432" s="2" t="s">
        <v>3439</v>
      </c>
      <c r="C432" s="2" t="s">
        <v>3440</v>
      </c>
      <c r="D432" s="2" t="s">
        <v>3441</v>
      </c>
      <c r="F432" s="3" t="s">
        <v>58</v>
      </c>
      <c r="G432" s="3" t="s">
        <v>59</v>
      </c>
      <c r="H432" s="3" t="s">
        <v>58</v>
      </c>
      <c r="I432" s="3" t="s">
        <v>58</v>
      </c>
      <c r="J432" s="3" t="s">
        <v>60</v>
      </c>
      <c r="K432" s="2" t="s">
        <v>3442</v>
      </c>
      <c r="L432" s="2" t="s">
        <v>3443</v>
      </c>
      <c r="M432" s="3" t="s">
        <v>343</v>
      </c>
      <c r="N432" s="2" t="s">
        <v>3444</v>
      </c>
      <c r="O432" s="3" t="s">
        <v>64</v>
      </c>
      <c r="P432" s="3" t="s">
        <v>83</v>
      </c>
      <c r="R432" s="3" t="s">
        <v>1907</v>
      </c>
      <c r="S432" s="4">
        <v>3</v>
      </c>
      <c r="T432" s="4">
        <v>3</v>
      </c>
      <c r="U432" s="5" t="s">
        <v>3445</v>
      </c>
      <c r="V432" s="5" t="s">
        <v>3445</v>
      </c>
      <c r="W432" s="5" t="s">
        <v>3271</v>
      </c>
      <c r="X432" s="5" t="s">
        <v>3271</v>
      </c>
      <c r="Y432" s="4">
        <v>358</v>
      </c>
      <c r="Z432" s="4">
        <v>306</v>
      </c>
      <c r="AA432" s="4">
        <v>510</v>
      </c>
      <c r="AB432" s="4">
        <v>2</v>
      </c>
      <c r="AC432" s="4">
        <v>2</v>
      </c>
      <c r="AD432" s="4">
        <v>14</v>
      </c>
      <c r="AE432" s="4">
        <v>17</v>
      </c>
      <c r="AF432" s="4">
        <v>4</v>
      </c>
      <c r="AG432" s="4">
        <v>5</v>
      </c>
      <c r="AH432" s="4">
        <v>3</v>
      </c>
      <c r="AI432" s="4">
        <v>5</v>
      </c>
      <c r="AJ432" s="4">
        <v>10</v>
      </c>
      <c r="AK432" s="4">
        <v>11</v>
      </c>
      <c r="AL432" s="4">
        <v>1</v>
      </c>
      <c r="AM432" s="4">
        <v>1</v>
      </c>
      <c r="AN432" s="4">
        <v>0</v>
      </c>
      <c r="AO432" s="4">
        <v>0</v>
      </c>
      <c r="AP432" s="3" t="s">
        <v>58</v>
      </c>
      <c r="AQ432" s="3" t="s">
        <v>69</v>
      </c>
      <c r="AR432" s="6" t="str">
        <f>HYPERLINK("http://catalog.hathitrust.org/Record/001556562","HathiTrust Record")</f>
        <v>HathiTrust Record</v>
      </c>
      <c r="AS432" s="6" t="str">
        <f>HYPERLINK("https://creighton-primo.hosted.exlibrisgroup.com/primo-explore/search?tab=default_tab&amp;search_scope=EVERYTHING&amp;vid=01CRU&amp;lang=en_US&amp;offset=0&amp;query=any,contains,991000976139702656","Catalog Record")</f>
        <v>Catalog Record</v>
      </c>
      <c r="AT432" s="6" t="str">
        <f>HYPERLINK("http://www.worldcat.org/oclc/562498","WorldCat Record")</f>
        <v>WorldCat Record</v>
      </c>
    </row>
    <row r="433" spans="1:46" ht="40.5" customHeight="1" x14ac:dyDescent="0.25">
      <c r="A433" s="8" t="s">
        <v>58</v>
      </c>
      <c r="B433" s="2" t="s">
        <v>3446</v>
      </c>
      <c r="C433" s="2" t="s">
        <v>3447</v>
      </c>
      <c r="D433" s="2" t="s">
        <v>3448</v>
      </c>
      <c r="F433" s="3" t="s">
        <v>58</v>
      </c>
      <c r="G433" s="3" t="s">
        <v>59</v>
      </c>
      <c r="H433" s="3" t="s">
        <v>58</v>
      </c>
      <c r="I433" s="3" t="s">
        <v>58</v>
      </c>
      <c r="J433" s="3" t="s">
        <v>60</v>
      </c>
      <c r="K433" s="2" t="s">
        <v>3449</v>
      </c>
      <c r="L433" s="2" t="s">
        <v>3450</v>
      </c>
      <c r="M433" s="3" t="s">
        <v>950</v>
      </c>
      <c r="O433" s="3" t="s">
        <v>64</v>
      </c>
      <c r="P433" s="3" t="s">
        <v>83</v>
      </c>
      <c r="Q433" s="2" t="s">
        <v>3451</v>
      </c>
      <c r="R433" s="3" t="s">
        <v>1907</v>
      </c>
      <c r="S433" s="4">
        <v>3</v>
      </c>
      <c r="T433" s="4">
        <v>3</v>
      </c>
      <c r="U433" s="5" t="s">
        <v>3452</v>
      </c>
      <c r="V433" s="5" t="s">
        <v>3452</v>
      </c>
      <c r="W433" s="5" t="s">
        <v>2433</v>
      </c>
      <c r="X433" s="5" t="s">
        <v>2433</v>
      </c>
      <c r="Y433" s="4">
        <v>403</v>
      </c>
      <c r="Z433" s="4">
        <v>282</v>
      </c>
      <c r="AA433" s="4">
        <v>323</v>
      </c>
      <c r="AB433" s="4">
        <v>2</v>
      </c>
      <c r="AC433" s="4">
        <v>2</v>
      </c>
      <c r="AD433" s="4">
        <v>11</v>
      </c>
      <c r="AE433" s="4">
        <v>14</v>
      </c>
      <c r="AF433" s="4">
        <v>4</v>
      </c>
      <c r="AG433" s="4">
        <v>6</v>
      </c>
      <c r="AH433" s="4">
        <v>4</v>
      </c>
      <c r="AI433" s="4">
        <v>6</v>
      </c>
      <c r="AJ433" s="4">
        <v>6</v>
      </c>
      <c r="AK433" s="4">
        <v>6</v>
      </c>
      <c r="AL433" s="4">
        <v>1</v>
      </c>
      <c r="AM433" s="4">
        <v>1</v>
      </c>
      <c r="AN433" s="4">
        <v>0</v>
      </c>
      <c r="AO433" s="4">
        <v>0</v>
      </c>
      <c r="AP433" s="3" t="s">
        <v>58</v>
      </c>
      <c r="AQ433" s="3" t="s">
        <v>69</v>
      </c>
      <c r="AR433" s="6" t="str">
        <f>HYPERLINK("http://catalog.hathitrust.org/Record/001556636","HathiTrust Record")</f>
        <v>HathiTrust Record</v>
      </c>
      <c r="AS433" s="6" t="str">
        <f>HYPERLINK("https://creighton-primo.hosted.exlibrisgroup.com/primo-explore/search?tab=default_tab&amp;search_scope=EVERYTHING&amp;vid=01CRU&amp;lang=en_US&amp;offset=0&amp;query=any,contains,991000976299702656","Catalog Record")</f>
        <v>Catalog Record</v>
      </c>
      <c r="AT433" s="6" t="str">
        <f>HYPERLINK("http://www.worldcat.org/oclc/139245","WorldCat Record")</f>
        <v>WorldCat Record</v>
      </c>
    </row>
    <row r="434" spans="1:46" ht="40.5" customHeight="1" x14ac:dyDescent="0.25">
      <c r="A434" s="8" t="s">
        <v>58</v>
      </c>
      <c r="B434" s="2" t="s">
        <v>3453</v>
      </c>
      <c r="C434" s="2" t="s">
        <v>3454</v>
      </c>
      <c r="D434" s="2" t="s">
        <v>3455</v>
      </c>
      <c r="F434" s="3" t="s">
        <v>58</v>
      </c>
      <c r="G434" s="3" t="s">
        <v>59</v>
      </c>
      <c r="H434" s="3" t="s">
        <v>58</v>
      </c>
      <c r="I434" s="3" t="s">
        <v>58</v>
      </c>
      <c r="J434" s="3" t="s">
        <v>60</v>
      </c>
      <c r="K434" s="2" t="s">
        <v>3456</v>
      </c>
      <c r="L434" s="2" t="s">
        <v>3457</v>
      </c>
      <c r="M434" s="3" t="s">
        <v>525</v>
      </c>
      <c r="N434" s="2" t="s">
        <v>1941</v>
      </c>
      <c r="O434" s="3" t="s">
        <v>64</v>
      </c>
      <c r="P434" s="3" t="s">
        <v>172</v>
      </c>
      <c r="R434" s="3" t="s">
        <v>1907</v>
      </c>
      <c r="S434" s="4">
        <v>1</v>
      </c>
      <c r="T434" s="4">
        <v>1</v>
      </c>
      <c r="U434" s="5" t="s">
        <v>2549</v>
      </c>
      <c r="V434" s="5" t="s">
        <v>2549</v>
      </c>
      <c r="W434" s="5" t="s">
        <v>2550</v>
      </c>
      <c r="X434" s="5" t="s">
        <v>2550</v>
      </c>
      <c r="Y434" s="4">
        <v>113</v>
      </c>
      <c r="Z434" s="4">
        <v>113</v>
      </c>
      <c r="AA434" s="4">
        <v>181</v>
      </c>
      <c r="AB434" s="4">
        <v>1</v>
      </c>
      <c r="AC434" s="4">
        <v>1</v>
      </c>
      <c r="AD434" s="4">
        <v>2</v>
      </c>
      <c r="AE434" s="4">
        <v>2</v>
      </c>
      <c r="AF434" s="4">
        <v>1</v>
      </c>
      <c r="AG434" s="4">
        <v>1</v>
      </c>
      <c r="AH434" s="4">
        <v>0</v>
      </c>
      <c r="AI434" s="4">
        <v>0</v>
      </c>
      <c r="AJ434" s="4">
        <v>1</v>
      </c>
      <c r="AK434" s="4">
        <v>1</v>
      </c>
      <c r="AL434" s="4">
        <v>0</v>
      </c>
      <c r="AM434" s="4">
        <v>0</v>
      </c>
      <c r="AN434" s="4">
        <v>0</v>
      </c>
      <c r="AO434" s="4">
        <v>0</v>
      </c>
      <c r="AP434" s="3" t="s">
        <v>58</v>
      </c>
      <c r="AQ434" s="3" t="s">
        <v>58</v>
      </c>
      <c r="AS434" s="6" t="str">
        <f>HYPERLINK("https://creighton-primo.hosted.exlibrisgroup.com/primo-explore/search?tab=default_tab&amp;search_scope=EVERYTHING&amp;vid=01CRU&amp;lang=en_US&amp;offset=0&amp;query=any,contains,991001029349702656","Catalog Record")</f>
        <v>Catalog Record</v>
      </c>
      <c r="AT434" s="6" t="str">
        <f>HYPERLINK("http://www.worldcat.org/oclc/23442698","WorldCat Record")</f>
        <v>WorldCat Record</v>
      </c>
    </row>
    <row r="435" spans="1:46" ht="40.5" customHeight="1" x14ac:dyDescent="0.25">
      <c r="A435" s="8" t="s">
        <v>58</v>
      </c>
      <c r="B435" s="2" t="s">
        <v>3458</v>
      </c>
      <c r="C435" s="2" t="s">
        <v>3459</v>
      </c>
      <c r="D435" s="2" t="s">
        <v>3460</v>
      </c>
      <c r="F435" s="3" t="s">
        <v>58</v>
      </c>
      <c r="G435" s="3" t="s">
        <v>59</v>
      </c>
      <c r="H435" s="3" t="s">
        <v>58</v>
      </c>
      <c r="I435" s="3" t="s">
        <v>58</v>
      </c>
      <c r="J435" s="3" t="s">
        <v>60</v>
      </c>
      <c r="L435" s="2" t="s">
        <v>3461</v>
      </c>
      <c r="M435" s="3" t="s">
        <v>480</v>
      </c>
      <c r="O435" s="3" t="s">
        <v>64</v>
      </c>
      <c r="P435" s="3" t="s">
        <v>1921</v>
      </c>
      <c r="Q435" s="2" t="s">
        <v>3462</v>
      </c>
      <c r="R435" s="3" t="s">
        <v>1907</v>
      </c>
      <c r="S435" s="4">
        <v>19</v>
      </c>
      <c r="T435" s="4">
        <v>19</v>
      </c>
      <c r="U435" s="5" t="s">
        <v>3463</v>
      </c>
      <c r="V435" s="5" t="s">
        <v>3463</v>
      </c>
      <c r="W435" s="5" t="s">
        <v>3000</v>
      </c>
      <c r="X435" s="5" t="s">
        <v>3000</v>
      </c>
      <c r="Y435" s="4">
        <v>101</v>
      </c>
      <c r="Z435" s="4">
        <v>72</v>
      </c>
      <c r="AA435" s="4">
        <v>72</v>
      </c>
      <c r="AB435" s="4">
        <v>1</v>
      </c>
      <c r="AC435" s="4">
        <v>1</v>
      </c>
      <c r="AD435" s="4">
        <v>1</v>
      </c>
      <c r="AE435" s="4">
        <v>1</v>
      </c>
      <c r="AF435" s="4">
        <v>0</v>
      </c>
      <c r="AG435" s="4">
        <v>0</v>
      </c>
      <c r="AH435" s="4">
        <v>1</v>
      </c>
      <c r="AI435" s="4">
        <v>1</v>
      </c>
      <c r="AJ435" s="4">
        <v>0</v>
      </c>
      <c r="AK435" s="4">
        <v>0</v>
      </c>
      <c r="AL435" s="4">
        <v>0</v>
      </c>
      <c r="AM435" s="4">
        <v>0</v>
      </c>
      <c r="AN435" s="4">
        <v>0</v>
      </c>
      <c r="AO435" s="4">
        <v>0</v>
      </c>
      <c r="AP435" s="3" t="s">
        <v>58</v>
      </c>
      <c r="AQ435" s="3" t="s">
        <v>58</v>
      </c>
      <c r="AS435" s="6" t="str">
        <f>HYPERLINK("https://creighton-primo.hosted.exlibrisgroup.com/primo-explore/search?tab=default_tab&amp;search_scope=EVERYTHING&amp;vid=01CRU&amp;lang=en_US&amp;offset=0&amp;query=any,contains,991001356559702656","Catalog Record")</f>
        <v>Catalog Record</v>
      </c>
      <c r="AT435" s="6" t="str">
        <f>HYPERLINK("http://www.worldcat.org/oclc/20265427","WorldCat Record")</f>
        <v>WorldCat Record</v>
      </c>
    </row>
    <row r="436" spans="1:46" ht="40.5" customHeight="1" x14ac:dyDescent="0.25">
      <c r="A436" s="8" t="s">
        <v>58</v>
      </c>
      <c r="B436" s="2" t="s">
        <v>3464</v>
      </c>
      <c r="C436" s="2" t="s">
        <v>3465</v>
      </c>
      <c r="D436" s="2" t="s">
        <v>3466</v>
      </c>
      <c r="F436" s="3" t="s">
        <v>58</v>
      </c>
      <c r="G436" s="3" t="s">
        <v>59</v>
      </c>
      <c r="H436" s="3" t="s">
        <v>58</v>
      </c>
      <c r="I436" s="3" t="s">
        <v>58</v>
      </c>
      <c r="J436" s="3" t="s">
        <v>60</v>
      </c>
      <c r="K436" s="2" t="s">
        <v>3467</v>
      </c>
      <c r="L436" s="2" t="s">
        <v>3468</v>
      </c>
      <c r="M436" s="3" t="s">
        <v>1356</v>
      </c>
      <c r="O436" s="3" t="s">
        <v>64</v>
      </c>
      <c r="P436" s="3" t="s">
        <v>83</v>
      </c>
      <c r="R436" s="3" t="s">
        <v>1907</v>
      </c>
      <c r="S436" s="4">
        <v>5</v>
      </c>
      <c r="T436" s="4">
        <v>5</v>
      </c>
      <c r="U436" s="5" t="s">
        <v>3410</v>
      </c>
      <c r="V436" s="5" t="s">
        <v>3410</v>
      </c>
      <c r="W436" s="5" t="s">
        <v>3271</v>
      </c>
      <c r="X436" s="5" t="s">
        <v>3271</v>
      </c>
      <c r="Y436" s="4">
        <v>124</v>
      </c>
      <c r="Z436" s="4">
        <v>93</v>
      </c>
      <c r="AA436" s="4">
        <v>270</v>
      </c>
      <c r="AB436" s="4">
        <v>1</v>
      </c>
      <c r="AC436" s="4">
        <v>3</v>
      </c>
      <c r="AD436" s="4">
        <v>4</v>
      </c>
      <c r="AE436" s="4">
        <v>8</v>
      </c>
      <c r="AF436" s="4">
        <v>1</v>
      </c>
      <c r="AG436" s="4">
        <v>2</v>
      </c>
      <c r="AH436" s="4">
        <v>1</v>
      </c>
      <c r="AI436" s="4">
        <v>1</v>
      </c>
      <c r="AJ436" s="4">
        <v>3</v>
      </c>
      <c r="AK436" s="4">
        <v>4</v>
      </c>
      <c r="AL436" s="4">
        <v>0</v>
      </c>
      <c r="AM436" s="4">
        <v>2</v>
      </c>
      <c r="AN436" s="4">
        <v>0</v>
      </c>
      <c r="AO436" s="4">
        <v>0</v>
      </c>
      <c r="AP436" s="3" t="s">
        <v>58</v>
      </c>
      <c r="AQ436" s="3" t="s">
        <v>69</v>
      </c>
      <c r="AR436" s="6" t="str">
        <f>HYPERLINK("http://catalog.hathitrust.org/Record/001553709","HathiTrust Record")</f>
        <v>HathiTrust Record</v>
      </c>
      <c r="AS436" s="6" t="str">
        <f>HYPERLINK("https://creighton-primo.hosted.exlibrisgroup.com/primo-explore/search?tab=default_tab&amp;search_scope=EVERYTHING&amp;vid=01CRU&amp;lang=en_US&amp;offset=0&amp;query=any,contains,991000976359702656","Catalog Record")</f>
        <v>Catalog Record</v>
      </c>
      <c r="AT436" s="6" t="str">
        <f>HYPERLINK("http://www.worldcat.org/oclc/443322","WorldCat Record")</f>
        <v>WorldCat Record</v>
      </c>
    </row>
    <row r="437" spans="1:46" ht="40.5" customHeight="1" x14ac:dyDescent="0.25">
      <c r="A437" s="8" t="s">
        <v>58</v>
      </c>
      <c r="B437" s="2" t="s">
        <v>3469</v>
      </c>
      <c r="C437" s="2" t="s">
        <v>3470</v>
      </c>
      <c r="D437" s="2" t="s">
        <v>3471</v>
      </c>
      <c r="F437" s="3" t="s">
        <v>58</v>
      </c>
      <c r="G437" s="3" t="s">
        <v>59</v>
      </c>
      <c r="H437" s="3" t="s">
        <v>58</v>
      </c>
      <c r="I437" s="3" t="s">
        <v>58</v>
      </c>
      <c r="J437" s="3" t="s">
        <v>60</v>
      </c>
      <c r="K437" s="2" t="s">
        <v>3472</v>
      </c>
      <c r="L437" s="2" t="s">
        <v>3473</v>
      </c>
      <c r="M437" s="3" t="s">
        <v>1314</v>
      </c>
      <c r="O437" s="3" t="s">
        <v>64</v>
      </c>
      <c r="P437" s="3" t="s">
        <v>83</v>
      </c>
      <c r="R437" s="3" t="s">
        <v>1907</v>
      </c>
      <c r="S437" s="4">
        <v>4</v>
      </c>
      <c r="T437" s="4">
        <v>4</v>
      </c>
      <c r="U437" s="5" t="s">
        <v>3438</v>
      </c>
      <c r="V437" s="5" t="s">
        <v>3438</v>
      </c>
      <c r="W437" s="5" t="s">
        <v>2433</v>
      </c>
      <c r="X437" s="5" t="s">
        <v>2433</v>
      </c>
      <c r="Y437" s="4">
        <v>102</v>
      </c>
      <c r="Z437" s="4">
        <v>83</v>
      </c>
      <c r="AA437" s="4">
        <v>204</v>
      </c>
      <c r="AB437" s="4">
        <v>1</v>
      </c>
      <c r="AC437" s="4">
        <v>2</v>
      </c>
      <c r="AD437" s="4">
        <v>1</v>
      </c>
      <c r="AE437" s="4">
        <v>7</v>
      </c>
      <c r="AF437" s="4">
        <v>0</v>
      </c>
      <c r="AG437" s="4">
        <v>0</v>
      </c>
      <c r="AH437" s="4">
        <v>1</v>
      </c>
      <c r="AI437" s="4">
        <v>2</v>
      </c>
      <c r="AJ437" s="4">
        <v>0</v>
      </c>
      <c r="AK437" s="4">
        <v>5</v>
      </c>
      <c r="AL437" s="4">
        <v>0</v>
      </c>
      <c r="AM437" s="4">
        <v>1</v>
      </c>
      <c r="AN437" s="4">
        <v>0</v>
      </c>
      <c r="AO437" s="4">
        <v>0</v>
      </c>
      <c r="AP437" s="3" t="s">
        <v>58</v>
      </c>
      <c r="AQ437" s="3" t="s">
        <v>69</v>
      </c>
      <c r="AR437" s="6" t="str">
        <f>HYPERLINK("http://catalog.hathitrust.org/Record/001556610","HathiTrust Record")</f>
        <v>HathiTrust Record</v>
      </c>
      <c r="AS437" s="6" t="str">
        <f>HYPERLINK("https://creighton-primo.hosted.exlibrisgroup.com/primo-explore/search?tab=default_tab&amp;search_scope=EVERYTHING&amp;vid=01CRU&amp;lang=en_US&amp;offset=0&amp;query=any,contains,991000976399702656","Catalog Record")</f>
        <v>Catalog Record</v>
      </c>
      <c r="AT437" s="6" t="str">
        <f>HYPERLINK("http://www.worldcat.org/oclc/4871980","WorldCat Record")</f>
        <v>WorldCat Record</v>
      </c>
    </row>
    <row r="438" spans="1:46" ht="40.5" customHeight="1" x14ac:dyDescent="0.25">
      <c r="A438" s="8" t="s">
        <v>58</v>
      </c>
      <c r="B438" s="2" t="s">
        <v>3474</v>
      </c>
      <c r="C438" s="2" t="s">
        <v>3475</v>
      </c>
      <c r="D438" s="2" t="s">
        <v>3476</v>
      </c>
      <c r="F438" s="3" t="s">
        <v>58</v>
      </c>
      <c r="G438" s="3" t="s">
        <v>59</v>
      </c>
      <c r="H438" s="3" t="s">
        <v>58</v>
      </c>
      <c r="I438" s="3" t="s">
        <v>58</v>
      </c>
      <c r="J438" s="3" t="s">
        <v>60</v>
      </c>
      <c r="L438" s="2" t="s">
        <v>3477</v>
      </c>
      <c r="M438" s="3" t="s">
        <v>2263</v>
      </c>
      <c r="O438" s="3" t="s">
        <v>64</v>
      </c>
      <c r="P438" s="3" t="s">
        <v>83</v>
      </c>
      <c r="R438" s="3" t="s">
        <v>1907</v>
      </c>
      <c r="S438" s="4">
        <v>1</v>
      </c>
      <c r="T438" s="4">
        <v>1</v>
      </c>
      <c r="U438" s="5" t="s">
        <v>2873</v>
      </c>
      <c r="V438" s="5" t="s">
        <v>2873</v>
      </c>
      <c r="W438" s="5" t="s">
        <v>2873</v>
      </c>
      <c r="X438" s="5" t="s">
        <v>2873</v>
      </c>
      <c r="Y438" s="4">
        <v>127</v>
      </c>
      <c r="Z438" s="4">
        <v>103</v>
      </c>
      <c r="AA438" s="4">
        <v>133</v>
      </c>
      <c r="AB438" s="4">
        <v>1</v>
      </c>
      <c r="AC438" s="4">
        <v>1</v>
      </c>
      <c r="AD438" s="4">
        <v>3</v>
      </c>
      <c r="AE438" s="4">
        <v>3</v>
      </c>
      <c r="AF438" s="4">
        <v>0</v>
      </c>
      <c r="AG438" s="4">
        <v>0</v>
      </c>
      <c r="AH438" s="4">
        <v>2</v>
      </c>
      <c r="AI438" s="4">
        <v>2</v>
      </c>
      <c r="AJ438" s="4">
        <v>1</v>
      </c>
      <c r="AK438" s="4">
        <v>1</v>
      </c>
      <c r="AL438" s="4">
        <v>0</v>
      </c>
      <c r="AM438" s="4">
        <v>0</v>
      </c>
      <c r="AN438" s="4">
        <v>0</v>
      </c>
      <c r="AO438" s="4">
        <v>0</v>
      </c>
      <c r="AP438" s="3" t="s">
        <v>58</v>
      </c>
      <c r="AQ438" s="3" t="s">
        <v>58</v>
      </c>
      <c r="AS438" s="6" t="str">
        <f>HYPERLINK("https://creighton-primo.hosted.exlibrisgroup.com/primo-explore/search?tab=default_tab&amp;search_scope=EVERYTHING&amp;vid=01CRU&amp;lang=en_US&amp;offset=0&amp;query=any,contains,991001262959702656","Catalog Record")</f>
        <v>Catalog Record</v>
      </c>
      <c r="AT438" s="6" t="str">
        <f>HYPERLINK("http://www.worldcat.org/oclc/36127226","WorldCat Record")</f>
        <v>WorldCat Record</v>
      </c>
    </row>
    <row r="439" spans="1:46" ht="40.5" customHeight="1" x14ac:dyDescent="0.25">
      <c r="A439" s="8" t="s">
        <v>58</v>
      </c>
      <c r="B439" s="2" t="s">
        <v>3478</v>
      </c>
      <c r="C439" s="2" t="s">
        <v>3479</v>
      </c>
      <c r="D439" s="2" t="s">
        <v>3480</v>
      </c>
      <c r="F439" s="3" t="s">
        <v>58</v>
      </c>
      <c r="G439" s="3" t="s">
        <v>59</v>
      </c>
      <c r="H439" s="3" t="s">
        <v>58</v>
      </c>
      <c r="I439" s="3" t="s">
        <v>58</v>
      </c>
      <c r="J439" s="3" t="s">
        <v>60</v>
      </c>
      <c r="L439" s="2" t="s">
        <v>3481</v>
      </c>
      <c r="M439" s="3" t="s">
        <v>1632</v>
      </c>
      <c r="O439" s="3" t="s">
        <v>64</v>
      </c>
      <c r="P439" s="3" t="s">
        <v>83</v>
      </c>
      <c r="Q439" s="2" t="s">
        <v>3482</v>
      </c>
      <c r="R439" s="3" t="s">
        <v>1907</v>
      </c>
      <c r="S439" s="4">
        <v>2</v>
      </c>
      <c r="T439" s="4">
        <v>2</v>
      </c>
      <c r="U439" s="5" t="s">
        <v>3463</v>
      </c>
      <c r="V439" s="5" t="s">
        <v>3463</v>
      </c>
      <c r="W439" s="5" t="s">
        <v>3483</v>
      </c>
      <c r="X439" s="5" t="s">
        <v>3483</v>
      </c>
      <c r="Y439" s="4">
        <v>109</v>
      </c>
      <c r="Z439" s="4">
        <v>80</v>
      </c>
      <c r="AA439" s="4">
        <v>82</v>
      </c>
      <c r="AB439" s="4">
        <v>1</v>
      </c>
      <c r="AC439" s="4">
        <v>1</v>
      </c>
      <c r="AD439" s="4">
        <v>1</v>
      </c>
      <c r="AE439" s="4">
        <v>1</v>
      </c>
      <c r="AF439" s="4">
        <v>0</v>
      </c>
      <c r="AG439" s="4">
        <v>0</v>
      </c>
      <c r="AH439" s="4">
        <v>1</v>
      </c>
      <c r="AI439" s="4">
        <v>1</v>
      </c>
      <c r="AJ439" s="4">
        <v>0</v>
      </c>
      <c r="AK439" s="4">
        <v>0</v>
      </c>
      <c r="AL439" s="4">
        <v>0</v>
      </c>
      <c r="AM439" s="4">
        <v>0</v>
      </c>
      <c r="AN439" s="4">
        <v>0</v>
      </c>
      <c r="AO439" s="4">
        <v>0</v>
      </c>
      <c r="AP439" s="3" t="s">
        <v>58</v>
      </c>
      <c r="AQ439" s="3" t="s">
        <v>69</v>
      </c>
      <c r="AR439" s="6" t="str">
        <f>HYPERLINK("http://catalog.hathitrust.org/Record/000925349","HathiTrust Record")</f>
        <v>HathiTrust Record</v>
      </c>
      <c r="AS439" s="6" t="str">
        <f>HYPERLINK("https://creighton-primo.hosted.exlibrisgroup.com/primo-explore/search?tab=default_tab&amp;search_scope=EVERYTHING&amp;vid=01CRU&amp;lang=en_US&amp;offset=0&amp;query=any,contains,991001111209702656","Catalog Record")</f>
        <v>Catalog Record</v>
      </c>
      <c r="AT439" s="6" t="str">
        <f>HYPERLINK("http://www.worldcat.org/oclc/17549105","WorldCat Record")</f>
        <v>WorldCat Record</v>
      </c>
    </row>
    <row r="440" spans="1:46" ht="40.5" customHeight="1" x14ac:dyDescent="0.25">
      <c r="A440" s="8" t="s">
        <v>58</v>
      </c>
      <c r="B440" s="2" t="s">
        <v>3484</v>
      </c>
      <c r="C440" s="2" t="s">
        <v>3485</v>
      </c>
      <c r="D440" s="2" t="s">
        <v>3486</v>
      </c>
      <c r="F440" s="3" t="s">
        <v>58</v>
      </c>
      <c r="G440" s="3" t="s">
        <v>59</v>
      </c>
      <c r="H440" s="3" t="s">
        <v>58</v>
      </c>
      <c r="I440" s="3" t="s">
        <v>58</v>
      </c>
      <c r="J440" s="3" t="s">
        <v>59</v>
      </c>
      <c r="K440" s="2" t="s">
        <v>3487</v>
      </c>
      <c r="L440" s="2" t="s">
        <v>3488</v>
      </c>
      <c r="M440" s="3" t="s">
        <v>829</v>
      </c>
      <c r="N440" s="2" t="s">
        <v>271</v>
      </c>
      <c r="O440" s="3" t="s">
        <v>64</v>
      </c>
      <c r="P440" s="3" t="s">
        <v>113</v>
      </c>
      <c r="R440" s="3" t="s">
        <v>1907</v>
      </c>
      <c r="S440" s="4">
        <v>18</v>
      </c>
      <c r="T440" s="4">
        <v>18</v>
      </c>
      <c r="U440" s="5" t="s">
        <v>3489</v>
      </c>
      <c r="V440" s="5" t="s">
        <v>3489</v>
      </c>
      <c r="W440" s="5" t="s">
        <v>3271</v>
      </c>
      <c r="X440" s="5" t="s">
        <v>3271</v>
      </c>
      <c r="Y440" s="4">
        <v>403</v>
      </c>
      <c r="Z440" s="4">
        <v>263</v>
      </c>
      <c r="AA440" s="4">
        <v>1152</v>
      </c>
      <c r="AB440" s="4">
        <v>1</v>
      </c>
      <c r="AC440" s="4">
        <v>14</v>
      </c>
      <c r="AD440" s="4">
        <v>5</v>
      </c>
      <c r="AE440" s="4">
        <v>39</v>
      </c>
      <c r="AF440" s="4">
        <v>1</v>
      </c>
      <c r="AG440" s="4">
        <v>11</v>
      </c>
      <c r="AH440" s="4">
        <v>3</v>
      </c>
      <c r="AI440" s="4">
        <v>9</v>
      </c>
      <c r="AJ440" s="4">
        <v>2</v>
      </c>
      <c r="AK440" s="4">
        <v>14</v>
      </c>
      <c r="AL440" s="4">
        <v>0</v>
      </c>
      <c r="AM440" s="4">
        <v>12</v>
      </c>
      <c r="AN440" s="4">
        <v>0</v>
      </c>
      <c r="AO440" s="4">
        <v>1</v>
      </c>
      <c r="AP440" s="3" t="s">
        <v>58</v>
      </c>
      <c r="AQ440" s="3" t="s">
        <v>58</v>
      </c>
      <c r="AS440" s="6" t="str">
        <f>HYPERLINK("https://creighton-primo.hosted.exlibrisgroup.com/primo-explore/search?tab=default_tab&amp;search_scope=EVERYTHING&amp;vid=01CRU&amp;lang=en_US&amp;offset=0&amp;query=any,contains,991001267189702656","Catalog Record")</f>
        <v>Catalog Record</v>
      </c>
      <c r="AT440" s="6" t="str">
        <f>HYPERLINK("http://www.worldcat.org/oclc/15795770","WorldCat Record")</f>
        <v>WorldCat Record</v>
      </c>
    </row>
    <row r="441" spans="1:46" ht="40.5" customHeight="1" x14ac:dyDescent="0.25">
      <c r="A441" s="8" t="s">
        <v>58</v>
      </c>
      <c r="B441" s="2" t="s">
        <v>3490</v>
      </c>
      <c r="C441" s="2" t="s">
        <v>3491</v>
      </c>
      <c r="D441" s="2" t="s">
        <v>3492</v>
      </c>
      <c r="F441" s="3" t="s">
        <v>58</v>
      </c>
      <c r="G441" s="3" t="s">
        <v>59</v>
      </c>
      <c r="H441" s="3" t="s">
        <v>58</v>
      </c>
      <c r="I441" s="3" t="s">
        <v>58</v>
      </c>
      <c r="J441" s="3" t="s">
        <v>60</v>
      </c>
      <c r="K441" s="2" t="s">
        <v>3493</v>
      </c>
      <c r="L441" s="2" t="s">
        <v>3494</v>
      </c>
      <c r="M441" s="3" t="s">
        <v>243</v>
      </c>
      <c r="O441" s="3" t="s">
        <v>64</v>
      </c>
      <c r="P441" s="3" t="s">
        <v>607</v>
      </c>
      <c r="R441" s="3" t="s">
        <v>1907</v>
      </c>
      <c r="S441" s="4">
        <v>1</v>
      </c>
      <c r="T441" s="4">
        <v>1</v>
      </c>
      <c r="U441" s="5" t="s">
        <v>3495</v>
      </c>
      <c r="V441" s="5" t="s">
        <v>3495</v>
      </c>
      <c r="W441" s="5" t="s">
        <v>3496</v>
      </c>
      <c r="X441" s="5" t="s">
        <v>3496</v>
      </c>
      <c r="Y441" s="4">
        <v>298</v>
      </c>
      <c r="Z441" s="4">
        <v>223</v>
      </c>
      <c r="AA441" s="4">
        <v>240</v>
      </c>
      <c r="AB441" s="4">
        <v>1</v>
      </c>
      <c r="AC441" s="4">
        <v>1</v>
      </c>
      <c r="AD441" s="4">
        <v>7</v>
      </c>
      <c r="AE441" s="4">
        <v>7</v>
      </c>
      <c r="AF441" s="4">
        <v>2</v>
      </c>
      <c r="AG441" s="4">
        <v>2</v>
      </c>
      <c r="AH441" s="4">
        <v>4</v>
      </c>
      <c r="AI441" s="4">
        <v>4</v>
      </c>
      <c r="AJ441" s="4">
        <v>4</v>
      </c>
      <c r="AK441" s="4">
        <v>4</v>
      </c>
      <c r="AL441" s="4">
        <v>0</v>
      </c>
      <c r="AM441" s="4">
        <v>0</v>
      </c>
      <c r="AN441" s="4">
        <v>0</v>
      </c>
      <c r="AO441" s="4">
        <v>0</v>
      </c>
      <c r="AP441" s="3" t="s">
        <v>58</v>
      </c>
      <c r="AQ441" s="3" t="s">
        <v>58</v>
      </c>
      <c r="AS441" s="6" t="str">
        <f>HYPERLINK("https://creighton-primo.hosted.exlibrisgroup.com/primo-explore/search?tab=default_tab&amp;search_scope=EVERYTHING&amp;vid=01CRU&amp;lang=en_US&amp;offset=0&amp;query=any,contains,991000833709702656","Catalog Record")</f>
        <v>Catalog Record</v>
      </c>
      <c r="AT441" s="6" t="str">
        <f>HYPERLINK("http://www.worldcat.org/oclc/13947311","WorldCat Record")</f>
        <v>WorldCat Record</v>
      </c>
    </row>
    <row r="442" spans="1:46" ht="40.5" customHeight="1" x14ac:dyDescent="0.25">
      <c r="A442" s="8" t="s">
        <v>58</v>
      </c>
      <c r="B442" s="2" t="s">
        <v>3497</v>
      </c>
      <c r="C442" s="2" t="s">
        <v>3498</v>
      </c>
      <c r="D442" s="2" t="s">
        <v>3499</v>
      </c>
      <c r="F442" s="3" t="s">
        <v>58</v>
      </c>
      <c r="G442" s="3" t="s">
        <v>59</v>
      </c>
      <c r="H442" s="3" t="s">
        <v>58</v>
      </c>
      <c r="I442" s="3" t="s">
        <v>58</v>
      </c>
      <c r="J442" s="3" t="s">
        <v>60</v>
      </c>
      <c r="K442" s="2" t="s">
        <v>3500</v>
      </c>
      <c r="L442" s="2" t="s">
        <v>3501</v>
      </c>
      <c r="M442" s="3" t="s">
        <v>171</v>
      </c>
      <c r="O442" s="3" t="s">
        <v>64</v>
      </c>
      <c r="P442" s="3" t="s">
        <v>113</v>
      </c>
      <c r="R442" s="3" t="s">
        <v>1907</v>
      </c>
      <c r="S442" s="4">
        <v>6</v>
      </c>
      <c r="T442" s="4">
        <v>6</v>
      </c>
      <c r="U442" s="5" t="s">
        <v>3502</v>
      </c>
      <c r="V442" s="5" t="s">
        <v>3502</v>
      </c>
      <c r="W442" s="5" t="s">
        <v>2525</v>
      </c>
      <c r="X442" s="5" t="s">
        <v>2525</v>
      </c>
      <c r="Y442" s="4">
        <v>131</v>
      </c>
      <c r="Z442" s="4">
        <v>92</v>
      </c>
      <c r="AA442" s="4">
        <v>169</v>
      </c>
      <c r="AB442" s="4">
        <v>1</v>
      </c>
      <c r="AC442" s="4">
        <v>1</v>
      </c>
      <c r="AD442" s="4">
        <v>1</v>
      </c>
      <c r="AE442" s="4">
        <v>2</v>
      </c>
      <c r="AF442" s="4">
        <v>0</v>
      </c>
      <c r="AG442" s="4">
        <v>0</v>
      </c>
      <c r="AH442" s="4">
        <v>1</v>
      </c>
      <c r="AI442" s="4">
        <v>2</v>
      </c>
      <c r="AJ442" s="4">
        <v>0</v>
      </c>
      <c r="AK442" s="4">
        <v>1</v>
      </c>
      <c r="AL442" s="4">
        <v>0</v>
      </c>
      <c r="AM442" s="4">
        <v>0</v>
      </c>
      <c r="AN442" s="4">
        <v>0</v>
      </c>
      <c r="AO442" s="4">
        <v>0</v>
      </c>
      <c r="AP442" s="3" t="s">
        <v>58</v>
      </c>
      <c r="AQ442" s="3" t="s">
        <v>58</v>
      </c>
      <c r="AS442" s="6" t="str">
        <f>HYPERLINK("https://creighton-primo.hosted.exlibrisgroup.com/primo-explore/search?tab=default_tab&amp;search_scope=EVERYTHING&amp;vid=01CRU&amp;lang=en_US&amp;offset=0&amp;query=any,contains,991000795029702656","Catalog Record")</f>
        <v>Catalog Record</v>
      </c>
      <c r="AT442" s="6" t="str">
        <f>HYPERLINK("http://www.worldcat.org/oclc/40499429","WorldCat Record")</f>
        <v>WorldCat Record</v>
      </c>
    </row>
    <row r="443" spans="1:46" ht="40.5" customHeight="1" x14ac:dyDescent="0.25">
      <c r="A443" s="8" t="s">
        <v>58</v>
      </c>
      <c r="B443" s="2" t="s">
        <v>3503</v>
      </c>
      <c r="C443" s="2" t="s">
        <v>3504</v>
      </c>
      <c r="D443" s="2" t="s">
        <v>3505</v>
      </c>
      <c r="F443" s="3" t="s">
        <v>58</v>
      </c>
      <c r="G443" s="3" t="s">
        <v>59</v>
      </c>
      <c r="H443" s="3" t="s">
        <v>58</v>
      </c>
      <c r="I443" s="3" t="s">
        <v>58</v>
      </c>
      <c r="J443" s="3" t="s">
        <v>60</v>
      </c>
      <c r="L443" s="2" t="s">
        <v>3506</v>
      </c>
      <c r="M443" s="3" t="s">
        <v>870</v>
      </c>
      <c r="O443" s="3" t="s">
        <v>64</v>
      </c>
      <c r="P443" s="3" t="s">
        <v>113</v>
      </c>
      <c r="R443" s="3" t="s">
        <v>1907</v>
      </c>
      <c r="S443" s="4">
        <v>2</v>
      </c>
      <c r="T443" s="4">
        <v>2</v>
      </c>
      <c r="U443" s="5" t="s">
        <v>3507</v>
      </c>
      <c r="V443" s="5" t="s">
        <v>3507</v>
      </c>
      <c r="W443" s="5" t="s">
        <v>3271</v>
      </c>
      <c r="X443" s="5" t="s">
        <v>3271</v>
      </c>
      <c r="Y443" s="4">
        <v>148</v>
      </c>
      <c r="Z443" s="4">
        <v>105</v>
      </c>
      <c r="AA443" s="4">
        <v>222</v>
      </c>
      <c r="AB443" s="4">
        <v>2</v>
      </c>
      <c r="AC443" s="4">
        <v>2</v>
      </c>
      <c r="AD443" s="4">
        <v>5</v>
      </c>
      <c r="AE443" s="4">
        <v>13</v>
      </c>
      <c r="AF443" s="4">
        <v>0</v>
      </c>
      <c r="AG443" s="4">
        <v>5</v>
      </c>
      <c r="AH443" s="4">
        <v>4</v>
      </c>
      <c r="AI443" s="4">
        <v>6</v>
      </c>
      <c r="AJ443" s="4">
        <v>2</v>
      </c>
      <c r="AK443" s="4">
        <v>7</v>
      </c>
      <c r="AL443" s="4">
        <v>1</v>
      </c>
      <c r="AM443" s="4">
        <v>1</v>
      </c>
      <c r="AN443" s="4">
        <v>0</v>
      </c>
      <c r="AO443" s="4">
        <v>0</v>
      </c>
      <c r="AP443" s="3" t="s">
        <v>58</v>
      </c>
      <c r="AQ443" s="3" t="s">
        <v>69</v>
      </c>
      <c r="AR443" s="6" t="str">
        <f>HYPERLINK("http://catalog.hathitrust.org/Record/004421382","HathiTrust Record")</f>
        <v>HathiTrust Record</v>
      </c>
      <c r="AS443" s="6" t="str">
        <f>HYPERLINK("https://creighton-primo.hosted.exlibrisgroup.com/primo-explore/search?tab=default_tab&amp;search_scope=EVERYTHING&amp;vid=01CRU&amp;lang=en_US&amp;offset=0&amp;query=any,contains,991000976489702656","Catalog Record")</f>
        <v>Catalog Record</v>
      </c>
      <c r="AT443" s="6" t="str">
        <f>HYPERLINK("http://www.worldcat.org/oclc/8284716","WorldCat Record")</f>
        <v>WorldCat Record</v>
      </c>
    </row>
    <row r="444" spans="1:46" ht="40.5" customHeight="1" x14ac:dyDescent="0.25">
      <c r="A444" s="8" t="s">
        <v>58</v>
      </c>
      <c r="B444" s="2" t="s">
        <v>3508</v>
      </c>
      <c r="C444" s="2" t="s">
        <v>3509</v>
      </c>
      <c r="D444" s="2" t="s">
        <v>3510</v>
      </c>
      <c r="F444" s="3" t="s">
        <v>58</v>
      </c>
      <c r="G444" s="3" t="s">
        <v>59</v>
      </c>
      <c r="H444" s="3" t="s">
        <v>58</v>
      </c>
      <c r="I444" s="3" t="s">
        <v>58</v>
      </c>
      <c r="J444" s="3" t="s">
        <v>60</v>
      </c>
      <c r="K444" s="2" t="s">
        <v>3511</v>
      </c>
      <c r="L444" s="2" t="s">
        <v>3512</v>
      </c>
      <c r="M444" s="3" t="s">
        <v>1864</v>
      </c>
      <c r="O444" s="3" t="s">
        <v>64</v>
      </c>
      <c r="P444" s="3" t="s">
        <v>2191</v>
      </c>
      <c r="R444" s="3" t="s">
        <v>1907</v>
      </c>
      <c r="S444" s="4">
        <v>3</v>
      </c>
      <c r="T444" s="4">
        <v>3</v>
      </c>
      <c r="U444" s="5" t="s">
        <v>2861</v>
      </c>
      <c r="V444" s="5" t="s">
        <v>2861</v>
      </c>
      <c r="W444" s="5" t="s">
        <v>3271</v>
      </c>
      <c r="X444" s="5" t="s">
        <v>3271</v>
      </c>
      <c r="Y444" s="4">
        <v>216</v>
      </c>
      <c r="Z444" s="4">
        <v>163</v>
      </c>
      <c r="AA444" s="4">
        <v>164</v>
      </c>
      <c r="AB444" s="4">
        <v>3</v>
      </c>
      <c r="AC444" s="4">
        <v>3</v>
      </c>
      <c r="AD444" s="4">
        <v>5</v>
      </c>
      <c r="AE444" s="4">
        <v>5</v>
      </c>
      <c r="AF444" s="4">
        <v>0</v>
      </c>
      <c r="AG444" s="4">
        <v>0</v>
      </c>
      <c r="AH444" s="4">
        <v>1</v>
      </c>
      <c r="AI444" s="4">
        <v>1</v>
      </c>
      <c r="AJ444" s="4">
        <v>2</v>
      </c>
      <c r="AK444" s="4">
        <v>2</v>
      </c>
      <c r="AL444" s="4">
        <v>2</v>
      </c>
      <c r="AM444" s="4">
        <v>2</v>
      </c>
      <c r="AN444" s="4">
        <v>0</v>
      </c>
      <c r="AO444" s="4">
        <v>0</v>
      </c>
      <c r="AP444" s="3" t="s">
        <v>58</v>
      </c>
      <c r="AQ444" s="3" t="s">
        <v>69</v>
      </c>
      <c r="AR444" s="6" t="str">
        <f>HYPERLINK("http://catalog.hathitrust.org/Record/000137210","HathiTrust Record")</f>
        <v>HathiTrust Record</v>
      </c>
      <c r="AS444" s="6" t="str">
        <f>HYPERLINK("https://creighton-primo.hosted.exlibrisgroup.com/primo-explore/search?tab=default_tab&amp;search_scope=EVERYTHING&amp;vid=01CRU&amp;lang=en_US&amp;offset=0&amp;query=any,contains,991000976529702656","Catalog Record")</f>
        <v>Catalog Record</v>
      </c>
      <c r="AT444" s="6" t="str">
        <f>HYPERLINK("http://www.worldcat.org/oclc/3892980","WorldCat Record")</f>
        <v>WorldCat Record</v>
      </c>
    </row>
    <row r="445" spans="1:46" ht="40.5" customHeight="1" x14ac:dyDescent="0.25">
      <c r="A445" s="8" t="s">
        <v>58</v>
      </c>
      <c r="B445" s="2" t="s">
        <v>3513</v>
      </c>
      <c r="C445" s="2" t="s">
        <v>3514</v>
      </c>
      <c r="D445" s="2" t="s">
        <v>3515</v>
      </c>
      <c r="F445" s="3" t="s">
        <v>58</v>
      </c>
      <c r="G445" s="3" t="s">
        <v>59</v>
      </c>
      <c r="H445" s="3" t="s">
        <v>58</v>
      </c>
      <c r="I445" s="3" t="s">
        <v>58</v>
      </c>
      <c r="J445" s="3" t="s">
        <v>60</v>
      </c>
      <c r="L445" s="2" t="s">
        <v>3516</v>
      </c>
      <c r="M445" s="3" t="s">
        <v>3517</v>
      </c>
      <c r="O445" s="3" t="s">
        <v>64</v>
      </c>
      <c r="P445" s="3" t="s">
        <v>83</v>
      </c>
      <c r="Q445" s="2" t="s">
        <v>3116</v>
      </c>
      <c r="R445" s="3" t="s">
        <v>1907</v>
      </c>
      <c r="S445" s="4">
        <v>5</v>
      </c>
      <c r="T445" s="4">
        <v>5</v>
      </c>
      <c r="U445" s="5" t="s">
        <v>3518</v>
      </c>
      <c r="V445" s="5" t="s">
        <v>3518</v>
      </c>
      <c r="W445" s="5" t="s">
        <v>2433</v>
      </c>
      <c r="X445" s="5" t="s">
        <v>2433</v>
      </c>
      <c r="Y445" s="4">
        <v>243</v>
      </c>
      <c r="Z445" s="4">
        <v>181</v>
      </c>
      <c r="AA445" s="4">
        <v>183</v>
      </c>
      <c r="AB445" s="4">
        <v>1</v>
      </c>
      <c r="AC445" s="4">
        <v>1</v>
      </c>
      <c r="AD445" s="4">
        <v>4</v>
      </c>
      <c r="AE445" s="4">
        <v>4</v>
      </c>
      <c r="AF445" s="4">
        <v>2</v>
      </c>
      <c r="AG445" s="4">
        <v>2</v>
      </c>
      <c r="AH445" s="4">
        <v>1</v>
      </c>
      <c r="AI445" s="4">
        <v>1</v>
      </c>
      <c r="AJ445" s="4">
        <v>4</v>
      </c>
      <c r="AK445" s="4">
        <v>4</v>
      </c>
      <c r="AL445" s="4">
        <v>0</v>
      </c>
      <c r="AM445" s="4">
        <v>0</v>
      </c>
      <c r="AN445" s="4">
        <v>0</v>
      </c>
      <c r="AO445" s="4">
        <v>0</v>
      </c>
      <c r="AP445" s="3" t="s">
        <v>58</v>
      </c>
      <c r="AQ445" s="3" t="s">
        <v>69</v>
      </c>
      <c r="AR445" s="6" t="str">
        <f>HYPERLINK("http://catalog.hathitrust.org/Record/000728152","HathiTrust Record")</f>
        <v>HathiTrust Record</v>
      </c>
      <c r="AS445" s="6" t="str">
        <f>HYPERLINK("https://creighton-primo.hosted.exlibrisgroup.com/primo-explore/search?tab=default_tab&amp;search_scope=EVERYTHING&amp;vid=01CRU&amp;lang=en_US&amp;offset=0&amp;query=any,contains,991000976589702656","Catalog Record")</f>
        <v>Catalog Record</v>
      </c>
      <c r="AT445" s="6" t="str">
        <f>HYPERLINK("http://www.worldcat.org/oclc/2091664","WorldCat Record")</f>
        <v>WorldCat Record</v>
      </c>
    </row>
    <row r="446" spans="1:46" ht="40.5" customHeight="1" x14ac:dyDescent="0.25">
      <c r="A446" s="8" t="s">
        <v>58</v>
      </c>
      <c r="B446" s="2" t="s">
        <v>3519</v>
      </c>
      <c r="C446" s="2" t="s">
        <v>3520</v>
      </c>
      <c r="D446" s="2" t="s">
        <v>3521</v>
      </c>
      <c r="E446" s="3" t="s">
        <v>2147</v>
      </c>
      <c r="F446" s="3" t="s">
        <v>69</v>
      </c>
      <c r="G446" s="3" t="s">
        <v>59</v>
      </c>
      <c r="H446" s="3" t="s">
        <v>58</v>
      </c>
      <c r="I446" s="3" t="s">
        <v>58</v>
      </c>
      <c r="J446" s="3" t="s">
        <v>60</v>
      </c>
      <c r="L446" s="2" t="s">
        <v>3522</v>
      </c>
      <c r="M446" s="3" t="s">
        <v>1605</v>
      </c>
      <c r="O446" s="3" t="s">
        <v>64</v>
      </c>
      <c r="P446" s="3" t="s">
        <v>83</v>
      </c>
      <c r="R446" s="3" t="s">
        <v>1907</v>
      </c>
      <c r="S446" s="4">
        <v>0</v>
      </c>
      <c r="T446" s="4">
        <v>16</v>
      </c>
      <c r="V446" s="5" t="s">
        <v>2885</v>
      </c>
      <c r="W446" s="5" t="s">
        <v>3523</v>
      </c>
      <c r="X446" s="5" t="s">
        <v>3523</v>
      </c>
      <c r="Y446" s="4">
        <v>553</v>
      </c>
      <c r="Z446" s="4">
        <v>438</v>
      </c>
      <c r="AA446" s="4">
        <v>440</v>
      </c>
      <c r="AB446" s="4">
        <v>3</v>
      </c>
      <c r="AC446" s="4">
        <v>3</v>
      </c>
      <c r="AD446" s="4">
        <v>14</v>
      </c>
      <c r="AE446" s="4">
        <v>14</v>
      </c>
      <c r="AF446" s="4">
        <v>3</v>
      </c>
      <c r="AG446" s="4">
        <v>3</v>
      </c>
      <c r="AH446" s="4">
        <v>4</v>
      </c>
      <c r="AI446" s="4">
        <v>4</v>
      </c>
      <c r="AJ446" s="4">
        <v>9</v>
      </c>
      <c r="AK446" s="4">
        <v>9</v>
      </c>
      <c r="AL446" s="4">
        <v>2</v>
      </c>
      <c r="AM446" s="4">
        <v>2</v>
      </c>
      <c r="AN446" s="4">
        <v>0</v>
      </c>
      <c r="AO446" s="4">
        <v>0</v>
      </c>
      <c r="AP446" s="3" t="s">
        <v>58</v>
      </c>
      <c r="AQ446" s="3" t="s">
        <v>69</v>
      </c>
      <c r="AR446" s="6" t="str">
        <f t="shared" ref="AR446:AR453" si="3">HYPERLINK("http://catalog.hathitrust.org/Record/001555637","HathiTrust Record")</f>
        <v>HathiTrust Record</v>
      </c>
      <c r="AS446" s="6" t="str">
        <f t="shared" ref="AS446:AS453" si="4">HYPERLINK("https://creighton-primo.hosted.exlibrisgroup.com/primo-explore/search?tab=default_tab&amp;search_scope=EVERYTHING&amp;vid=01CRU&amp;lang=en_US&amp;offset=0&amp;query=any,contains,991000963519702656","Catalog Record")</f>
        <v>Catalog Record</v>
      </c>
      <c r="AT446" s="6" t="str">
        <f t="shared" ref="AT446:AT453" si="5">HYPERLINK("http://www.worldcat.org/oclc/77896","WorldCat Record")</f>
        <v>WorldCat Record</v>
      </c>
    </row>
    <row r="447" spans="1:46" ht="40.5" customHeight="1" x14ac:dyDescent="0.25">
      <c r="A447" s="8" t="s">
        <v>58</v>
      </c>
      <c r="B447" s="2" t="s">
        <v>3519</v>
      </c>
      <c r="C447" s="2" t="s">
        <v>3520</v>
      </c>
      <c r="D447" s="2" t="s">
        <v>3521</v>
      </c>
      <c r="E447" s="3" t="s">
        <v>3524</v>
      </c>
      <c r="F447" s="3" t="s">
        <v>69</v>
      </c>
      <c r="G447" s="3" t="s">
        <v>59</v>
      </c>
      <c r="H447" s="3" t="s">
        <v>58</v>
      </c>
      <c r="I447" s="3" t="s">
        <v>58</v>
      </c>
      <c r="J447" s="3" t="s">
        <v>60</v>
      </c>
      <c r="L447" s="2" t="s">
        <v>3522</v>
      </c>
      <c r="M447" s="3" t="s">
        <v>1605</v>
      </c>
      <c r="O447" s="3" t="s">
        <v>64</v>
      </c>
      <c r="P447" s="3" t="s">
        <v>83</v>
      </c>
      <c r="R447" s="3" t="s">
        <v>1907</v>
      </c>
      <c r="S447" s="4">
        <v>5</v>
      </c>
      <c r="T447" s="4">
        <v>16</v>
      </c>
      <c r="U447" s="5" t="s">
        <v>3518</v>
      </c>
      <c r="V447" s="5" t="s">
        <v>2885</v>
      </c>
      <c r="W447" s="5" t="s">
        <v>3523</v>
      </c>
      <c r="X447" s="5" t="s">
        <v>3523</v>
      </c>
      <c r="Y447" s="4">
        <v>553</v>
      </c>
      <c r="Z447" s="4">
        <v>438</v>
      </c>
      <c r="AA447" s="4">
        <v>440</v>
      </c>
      <c r="AB447" s="4">
        <v>3</v>
      </c>
      <c r="AC447" s="4">
        <v>3</v>
      </c>
      <c r="AD447" s="4">
        <v>14</v>
      </c>
      <c r="AE447" s="4">
        <v>14</v>
      </c>
      <c r="AF447" s="4">
        <v>3</v>
      </c>
      <c r="AG447" s="4">
        <v>3</v>
      </c>
      <c r="AH447" s="4">
        <v>4</v>
      </c>
      <c r="AI447" s="4">
        <v>4</v>
      </c>
      <c r="AJ447" s="4">
        <v>9</v>
      </c>
      <c r="AK447" s="4">
        <v>9</v>
      </c>
      <c r="AL447" s="4">
        <v>2</v>
      </c>
      <c r="AM447" s="4">
        <v>2</v>
      </c>
      <c r="AN447" s="4">
        <v>0</v>
      </c>
      <c r="AO447" s="4">
        <v>0</v>
      </c>
      <c r="AP447" s="3" t="s">
        <v>58</v>
      </c>
      <c r="AQ447" s="3" t="s">
        <v>69</v>
      </c>
      <c r="AR447" s="6" t="str">
        <f t="shared" si="3"/>
        <v>HathiTrust Record</v>
      </c>
      <c r="AS447" s="6" t="str">
        <f t="shared" si="4"/>
        <v>Catalog Record</v>
      </c>
      <c r="AT447" s="6" t="str">
        <f t="shared" si="5"/>
        <v>WorldCat Record</v>
      </c>
    </row>
    <row r="448" spans="1:46" ht="40.5" customHeight="1" x14ac:dyDescent="0.25">
      <c r="A448" s="8" t="s">
        <v>58</v>
      </c>
      <c r="B448" s="2" t="s">
        <v>3519</v>
      </c>
      <c r="C448" s="2" t="s">
        <v>3520</v>
      </c>
      <c r="D448" s="2" t="s">
        <v>3521</v>
      </c>
      <c r="E448" s="3" t="s">
        <v>3525</v>
      </c>
      <c r="F448" s="3" t="s">
        <v>69</v>
      </c>
      <c r="G448" s="3" t="s">
        <v>59</v>
      </c>
      <c r="H448" s="3" t="s">
        <v>58</v>
      </c>
      <c r="I448" s="3" t="s">
        <v>58</v>
      </c>
      <c r="J448" s="3" t="s">
        <v>60</v>
      </c>
      <c r="L448" s="2" t="s">
        <v>3522</v>
      </c>
      <c r="M448" s="3" t="s">
        <v>1605</v>
      </c>
      <c r="O448" s="3" t="s">
        <v>64</v>
      </c>
      <c r="P448" s="3" t="s">
        <v>83</v>
      </c>
      <c r="R448" s="3" t="s">
        <v>1907</v>
      </c>
      <c r="S448" s="4">
        <v>0</v>
      </c>
      <c r="T448" s="4">
        <v>16</v>
      </c>
      <c r="V448" s="5" t="s">
        <v>2885</v>
      </c>
      <c r="W448" s="5" t="s">
        <v>3523</v>
      </c>
      <c r="X448" s="5" t="s">
        <v>3523</v>
      </c>
      <c r="Y448" s="4">
        <v>553</v>
      </c>
      <c r="Z448" s="4">
        <v>438</v>
      </c>
      <c r="AA448" s="4">
        <v>440</v>
      </c>
      <c r="AB448" s="4">
        <v>3</v>
      </c>
      <c r="AC448" s="4">
        <v>3</v>
      </c>
      <c r="AD448" s="4">
        <v>14</v>
      </c>
      <c r="AE448" s="4">
        <v>14</v>
      </c>
      <c r="AF448" s="4">
        <v>3</v>
      </c>
      <c r="AG448" s="4">
        <v>3</v>
      </c>
      <c r="AH448" s="4">
        <v>4</v>
      </c>
      <c r="AI448" s="4">
        <v>4</v>
      </c>
      <c r="AJ448" s="4">
        <v>9</v>
      </c>
      <c r="AK448" s="4">
        <v>9</v>
      </c>
      <c r="AL448" s="4">
        <v>2</v>
      </c>
      <c r="AM448" s="4">
        <v>2</v>
      </c>
      <c r="AN448" s="4">
        <v>0</v>
      </c>
      <c r="AO448" s="4">
        <v>0</v>
      </c>
      <c r="AP448" s="3" t="s">
        <v>58</v>
      </c>
      <c r="AQ448" s="3" t="s">
        <v>69</v>
      </c>
      <c r="AR448" s="6" t="str">
        <f t="shared" si="3"/>
        <v>HathiTrust Record</v>
      </c>
      <c r="AS448" s="6" t="str">
        <f t="shared" si="4"/>
        <v>Catalog Record</v>
      </c>
      <c r="AT448" s="6" t="str">
        <f t="shared" si="5"/>
        <v>WorldCat Record</v>
      </c>
    </row>
    <row r="449" spans="1:46" ht="40.5" customHeight="1" x14ac:dyDescent="0.25">
      <c r="A449" s="8" t="s">
        <v>58</v>
      </c>
      <c r="B449" s="2" t="s">
        <v>3519</v>
      </c>
      <c r="C449" s="2" t="s">
        <v>3520</v>
      </c>
      <c r="D449" s="2" t="s">
        <v>3521</v>
      </c>
      <c r="E449" s="3" t="s">
        <v>2148</v>
      </c>
      <c r="F449" s="3" t="s">
        <v>69</v>
      </c>
      <c r="G449" s="3" t="s">
        <v>59</v>
      </c>
      <c r="H449" s="3" t="s">
        <v>58</v>
      </c>
      <c r="I449" s="3" t="s">
        <v>58</v>
      </c>
      <c r="J449" s="3" t="s">
        <v>60</v>
      </c>
      <c r="L449" s="2" t="s">
        <v>3522</v>
      </c>
      <c r="M449" s="3" t="s">
        <v>1605</v>
      </c>
      <c r="O449" s="3" t="s">
        <v>64</v>
      </c>
      <c r="P449" s="3" t="s">
        <v>83</v>
      </c>
      <c r="R449" s="3" t="s">
        <v>1907</v>
      </c>
      <c r="S449" s="4">
        <v>1</v>
      </c>
      <c r="T449" s="4">
        <v>16</v>
      </c>
      <c r="V449" s="5" t="s">
        <v>2885</v>
      </c>
      <c r="W449" s="5" t="s">
        <v>3523</v>
      </c>
      <c r="X449" s="5" t="s">
        <v>3523</v>
      </c>
      <c r="Y449" s="4">
        <v>553</v>
      </c>
      <c r="Z449" s="4">
        <v>438</v>
      </c>
      <c r="AA449" s="4">
        <v>440</v>
      </c>
      <c r="AB449" s="4">
        <v>3</v>
      </c>
      <c r="AC449" s="4">
        <v>3</v>
      </c>
      <c r="AD449" s="4">
        <v>14</v>
      </c>
      <c r="AE449" s="4">
        <v>14</v>
      </c>
      <c r="AF449" s="4">
        <v>3</v>
      </c>
      <c r="AG449" s="4">
        <v>3</v>
      </c>
      <c r="AH449" s="4">
        <v>4</v>
      </c>
      <c r="AI449" s="4">
        <v>4</v>
      </c>
      <c r="AJ449" s="4">
        <v>9</v>
      </c>
      <c r="AK449" s="4">
        <v>9</v>
      </c>
      <c r="AL449" s="4">
        <v>2</v>
      </c>
      <c r="AM449" s="4">
        <v>2</v>
      </c>
      <c r="AN449" s="4">
        <v>0</v>
      </c>
      <c r="AO449" s="4">
        <v>0</v>
      </c>
      <c r="AP449" s="3" t="s">
        <v>58</v>
      </c>
      <c r="AQ449" s="3" t="s">
        <v>69</v>
      </c>
      <c r="AR449" s="6" t="str">
        <f t="shared" si="3"/>
        <v>HathiTrust Record</v>
      </c>
      <c r="AS449" s="6" t="str">
        <f t="shared" si="4"/>
        <v>Catalog Record</v>
      </c>
      <c r="AT449" s="6" t="str">
        <f t="shared" si="5"/>
        <v>WorldCat Record</v>
      </c>
    </row>
    <row r="450" spans="1:46" ht="40.5" customHeight="1" x14ac:dyDescent="0.25">
      <c r="A450" s="8" t="s">
        <v>58</v>
      </c>
      <c r="B450" s="2" t="s">
        <v>3519</v>
      </c>
      <c r="C450" s="2" t="s">
        <v>3520</v>
      </c>
      <c r="D450" s="2" t="s">
        <v>3521</v>
      </c>
      <c r="E450" s="3" t="s">
        <v>3526</v>
      </c>
      <c r="F450" s="3" t="s">
        <v>69</v>
      </c>
      <c r="G450" s="3" t="s">
        <v>59</v>
      </c>
      <c r="H450" s="3" t="s">
        <v>58</v>
      </c>
      <c r="I450" s="3" t="s">
        <v>58</v>
      </c>
      <c r="J450" s="3" t="s">
        <v>60</v>
      </c>
      <c r="L450" s="2" t="s">
        <v>3522</v>
      </c>
      <c r="M450" s="3" t="s">
        <v>1605</v>
      </c>
      <c r="O450" s="3" t="s">
        <v>64</v>
      </c>
      <c r="P450" s="3" t="s">
        <v>83</v>
      </c>
      <c r="R450" s="3" t="s">
        <v>1907</v>
      </c>
      <c r="S450" s="4">
        <v>1</v>
      </c>
      <c r="T450" s="4">
        <v>16</v>
      </c>
      <c r="U450" s="5" t="s">
        <v>3527</v>
      </c>
      <c r="V450" s="5" t="s">
        <v>2885</v>
      </c>
      <c r="W450" s="5" t="s">
        <v>3523</v>
      </c>
      <c r="X450" s="5" t="s">
        <v>3523</v>
      </c>
      <c r="Y450" s="4">
        <v>553</v>
      </c>
      <c r="Z450" s="4">
        <v>438</v>
      </c>
      <c r="AA450" s="4">
        <v>440</v>
      </c>
      <c r="AB450" s="4">
        <v>3</v>
      </c>
      <c r="AC450" s="4">
        <v>3</v>
      </c>
      <c r="AD450" s="4">
        <v>14</v>
      </c>
      <c r="AE450" s="4">
        <v>14</v>
      </c>
      <c r="AF450" s="4">
        <v>3</v>
      </c>
      <c r="AG450" s="4">
        <v>3</v>
      </c>
      <c r="AH450" s="4">
        <v>4</v>
      </c>
      <c r="AI450" s="4">
        <v>4</v>
      </c>
      <c r="AJ450" s="4">
        <v>9</v>
      </c>
      <c r="AK450" s="4">
        <v>9</v>
      </c>
      <c r="AL450" s="4">
        <v>2</v>
      </c>
      <c r="AM450" s="4">
        <v>2</v>
      </c>
      <c r="AN450" s="4">
        <v>0</v>
      </c>
      <c r="AO450" s="4">
        <v>0</v>
      </c>
      <c r="AP450" s="3" t="s">
        <v>58</v>
      </c>
      <c r="AQ450" s="3" t="s">
        <v>69</v>
      </c>
      <c r="AR450" s="6" t="str">
        <f t="shared" si="3"/>
        <v>HathiTrust Record</v>
      </c>
      <c r="AS450" s="6" t="str">
        <f t="shared" si="4"/>
        <v>Catalog Record</v>
      </c>
      <c r="AT450" s="6" t="str">
        <f t="shared" si="5"/>
        <v>WorldCat Record</v>
      </c>
    </row>
    <row r="451" spans="1:46" ht="40.5" customHeight="1" x14ac:dyDescent="0.25">
      <c r="A451" s="8" t="s">
        <v>58</v>
      </c>
      <c r="B451" s="2" t="s">
        <v>3519</v>
      </c>
      <c r="C451" s="2" t="s">
        <v>3520</v>
      </c>
      <c r="D451" s="2" t="s">
        <v>3521</v>
      </c>
      <c r="E451" s="3" t="s">
        <v>1952</v>
      </c>
      <c r="F451" s="3" t="s">
        <v>69</v>
      </c>
      <c r="G451" s="3" t="s">
        <v>59</v>
      </c>
      <c r="H451" s="3" t="s">
        <v>58</v>
      </c>
      <c r="I451" s="3" t="s">
        <v>58</v>
      </c>
      <c r="J451" s="3" t="s">
        <v>60</v>
      </c>
      <c r="L451" s="2" t="s">
        <v>3522</v>
      </c>
      <c r="M451" s="3" t="s">
        <v>1605</v>
      </c>
      <c r="O451" s="3" t="s">
        <v>64</v>
      </c>
      <c r="P451" s="3" t="s">
        <v>83</v>
      </c>
      <c r="R451" s="3" t="s">
        <v>1907</v>
      </c>
      <c r="S451" s="4">
        <v>6</v>
      </c>
      <c r="T451" s="4">
        <v>16</v>
      </c>
      <c r="U451" s="5" t="s">
        <v>2885</v>
      </c>
      <c r="V451" s="5" t="s">
        <v>2885</v>
      </c>
      <c r="W451" s="5" t="s">
        <v>3523</v>
      </c>
      <c r="X451" s="5" t="s">
        <v>3523</v>
      </c>
      <c r="Y451" s="4">
        <v>553</v>
      </c>
      <c r="Z451" s="4">
        <v>438</v>
      </c>
      <c r="AA451" s="4">
        <v>440</v>
      </c>
      <c r="AB451" s="4">
        <v>3</v>
      </c>
      <c r="AC451" s="4">
        <v>3</v>
      </c>
      <c r="AD451" s="4">
        <v>14</v>
      </c>
      <c r="AE451" s="4">
        <v>14</v>
      </c>
      <c r="AF451" s="4">
        <v>3</v>
      </c>
      <c r="AG451" s="4">
        <v>3</v>
      </c>
      <c r="AH451" s="4">
        <v>4</v>
      </c>
      <c r="AI451" s="4">
        <v>4</v>
      </c>
      <c r="AJ451" s="4">
        <v>9</v>
      </c>
      <c r="AK451" s="4">
        <v>9</v>
      </c>
      <c r="AL451" s="4">
        <v>2</v>
      </c>
      <c r="AM451" s="4">
        <v>2</v>
      </c>
      <c r="AN451" s="4">
        <v>0</v>
      </c>
      <c r="AO451" s="4">
        <v>0</v>
      </c>
      <c r="AP451" s="3" t="s">
        <v>58</v>
      </c>
      <c r="AQ451" s="3" t="s">
        <v>69</v>
      </c>
      <c r="AR451" s="6" t="str">
        <f t="shared" si="3"/>
        <v>HathiTrust Record</v>
      </c>
      <c r="AS451" s="6" t="str">
        <f t="shared" si="4"/>
        <v>Catalog Record</v>
      </c>
      <c r="AT451" s="6" t="str">
        <f t="shared" si="5"/>
        <v>WorldCat Record</v>
      </c>
    </row>
    <row r="452" spans="1:46" ht="40.5" customHeight="1" x14ac:dyDescent="0.25">
      <c r="A452" s="8" t="s">
        <v>58</v>
      </c>
      <c r="B452" s="2" t="s">
        <v>3519</v>
      </c>
      <c r="C452" s="2" t="s">
        <v>3520</v>
      </c>
      <c r="D452" s="2" t="s">
        <v>3521</v>
      </c>
      <c r="E452" s="3" t="s">
        <v>1956</v>
      </c>
      <c r="F452" s="3" t="s">
        <v>69</v>
      </c>
      <c r="G452" s="3" t="s">
        <v>59</v>
      </c>
      <c r="H452" s="3" t="s">
        <v>58</v>
      </c>
      <c r="I452" s="3" t="s">
        <v>58</v>
      </c>
      <c r="J452" s="3" t="s">
        <v>60</v>
      </c>
      <c r="L452" s="2" t="s">
        <v>3522</v>
      </c>
      <c r="M452" s="3" t="s">
        <v>1605</v>
      </c>
      <c r="O452" s="3" t="s">
        <v>64</v>
      </c>
      <c r="P452" s="3" t="s">
        <v>83</v>
      </c>
      <c r="R452" s="3" t="s">
        <v>1907</v>
      </c>
      <c r="S452" s="4">
        <v>3</v>
      </c>
      <c r="T452" s="4">
        <v>16</v>
      </c>
      <c r="V452" s="5" t="s">
        <v>2885</v>
      </c>
      <c r="W452" s="5" t="s">
        <v>3523</v>
      </c>
      <c r="X452" s="5" t="s">
        <v>3523</v>
      </c>
      <c r="Y452" s="4">
        <v>553</v>
      </c>
      <c r="Z452" s="4">
        <v>438</v>
      </c>
      <c r="AA452" s="4">
        <v>440</v>
      </c>
      <c r="AB452" s="4">
        <v>3</v>
      </c>
      <c r="AC452" s="4">
        <v>3</v>
      </c>
      <c r="AD452" s="4">
        <v>14</v>
      </c>
      <c r="AE452" s="4">
        <v>14</v>
      </c>
      <c r="AF452" s="4">
        <v>3</v>
      </c>
      <c r="AG452" s="4">
        <v>3</v>
      </c>
      <c r="AH452" s="4">
        <v>4</v>
      </c>
      <c r="AI452" s="4">
        <v>4</v>
      </c>
      <c r="AJ452" s="4">
        <v>9</v>
      </c>
      <c r="AK452" s="4">
        <v>9</v>
      </c>
      <c r="AL452" s="4">
        <v>2</v>
      </c>
      <c r="AM452" s="4">
        <v>2</v>
      </c>
      <c r="AN452" s="4">
        <v>0</v>
      </c>
      <c r="AO452" s="4">
        <v>0</v>
      </c>
      <c r="AP452" s="3" t="s">
        <v>58</v>
      </c>
      <c r="AQ452" s="3" t="s">
        <v>69</v>
      </c>
      <c r="AR452" s="6" t="str">
        <f t="shared" si="3"/>
        <v>HathiTrust Record</v>
      </c>
      <c r="AS452" s="6" t="str">
        <f t="shared" si="4"/>
        <v>Catalog Record</v>
      </c>
      <c r="AT452" s="6" t="str">
        <f t="shared" si="5"/>
        <v>WorldCat Record</v>
      </c>
    </row>
    <row r="453" spans="1:46" ht="40.5" customHeight="1" x14ac:dyDescent="0.25">
      <c r="A453" s="8" t="s">
        <v>58</v>
      </c>
      <c r="B453" s="2" t="s">
        <v>3519</v>
      </c>
      <c r="C453" s="2" t="s">
        <v>3520</v>
      </c>
      <c r="D453" s="2" t="s">
        <v>3521</v>
      </c>
      <c r="E453" s="3" t="s">
        <v>1960</v>
      </c>
      <c r="F453" s="3" t="s">
        <v>69</v>
      </c>
      <c r="G453" s="3" t="s">
        <v>59</v>
      </c>
      <c r="H453" s="3" t="s">
        <v>58</v>
      </c>
      <c r="I453" s="3" t="s">
        <v>58</v>
      </c>
      <c r="J453" s="3" t="s">
        <v>60</v>
      </c>
      <c r="L453" s="2" t="s">
        <v>3522</v>
      </c>
      <c r="M453" s="3" t="s">
        <v>1605</v>
      </c>
      <c r="O453" s="3" t="s">
        <v>64</v>
      </c>
      <c r="P453" s="3" t="s">
        <v>83</v>
      </c>
      <c r="R453" s="3" t="s">
        <v>1907</v>
      </c>
      <c r="S453" s="4">
        <v>0</v>
      </c>
      <c r="T453" s="4">
        <v>16</v>
      </c>
      <c r="V453" s="5" t="s">
        <v>2885</v>
      </c>
      <c r="W453" s="5" t="s">
        <v>3523</v>
      </c>
      <c r="X453" s="5" t="s">
        <v>3523</v>
      </c>
      <c r="Y453" s="4">
        <v>553</v>
      </c>
      <c r="Z453" s="4">
        <v>438</v>
      </c>
      <c r="AA453" s="4">
        <v>440</v>
      </c>
      <c r="AB453" s="4">
        <v>3</v>
      </c>
      <c r="AC453" s="4">
        <v>3</v>
      </c>
      <c r="AD453" s="4">
        <v>14</v>
      </c>
      <c r="AE453" s="4">
        <v>14</v>
      </c>
      <c r="AF453" s="4">
        <v>3</v>
      </c>
      <c r="AG453" s="4">
        <v>3</v>
      </c>
      <c r="AH453" s="4">
        <v>4</v>
      </c>
      <c r="AI453" s="4">
        <v>4</v>
      </c>
      <c r="AJ453" s="4">
        <v>9</v>
      </c>
      <c r="AK453" s="4">
        <v>9</v>
      </c>
      <c r="AL453" s="4">
        <v>2</v>
      </c>
      <c r="AM453" s="4">
        <v>2</v>
      </c>
      <c r="AN453" s="4">
        <v>0</v>
      </c>
      <c r="AO453" s="4">
        <v>0</v>
      </c>
      <c r="AP453" s="3" t="s">
        <v>58</v>
      </c>
      <c r="AQ453" s="3" t="s">
        <v>69</v>
      </c>
      <c r="AR453" s="6" t="str">
        <f t="shared" si="3"/>
        <v>HathiTrust Record</v>
      </c>
      <c r="AS453" s="6" t="str">
        <f t="shared" si="4"/>
        <v>Catalog Record</v>
      </c>
      <c r="AT453" s="6" t="str">
        <f t="shared" si="5"/>
        <v>WorldCat Record</v>
      </c>
    </row>
    <row r="454" spans="1:46" ht="40.5" customHeight="1" x14ac:dyDescent="0.25">
      <c r="A454" s="8" t="s">
        <v>58</v>
      </c>
      <c r="B454" s="2" t="s">
        <v>3528</v>
      </c>
      <c r="C454" s="2" t="s">
        <v>3529</v>
      </c>
      <c r="D454" s="2" t="s">
        <v>3530</v>
      </c>
      <c r="E454" s="3" t="s">
        <v>1952</v>
      </c>
      <c r="F454" s="3" t="s">
        <v>69</v>
      </c>
      <c r="G454" s="3" t="s">
        <v>59</v>
      </c>
      <c r="H454" s="3" t="s">
        <v>58</v>
      </c>
      <c r="I454" s="3" t="s">
        <v>58</v>
      </c>
      <c r="J454" s="3" t="s">
        <v>60</v>
      </c>
      <c r="L454" s="2" t="s">
        <v>3531</v>
      </c>
      <c r="M454" s="3" t="s">
        <v>884</v>
      </c>
      <c r="O454" s="3" t="s">
        <v>64</v>
      </c>
      <c r="P454" s="3" t="s">
        <v>607</v>
      </c>
      <c r="R454" s="3" t="s">
        <v>1907</v>
      </c>
      <c r="S454" s="4">
        <v>5</v>
      </c>
      <c r="T454" s="4">
        <v>10</v>
      </c>
      <c r="U454" s="5" t="s">
        <v>3532</v>
      </c>
      <c r="V454" s="5" t="s">
        <v>3532</v>
      </c>
      <c r="W454" s="5" t="s">
        <v>3271</v>
      </c>
      <c r="X454" s="5" t="s">
        <v>3271</v>
      </c>
      <c r="Y454" s="4">
        <v>213</v>
      </c>
      <c r="Z454" s="4">
        <v>171</v>
      </c>
      <c r="AA454" s="4">
        <v>171</v>
      </c>
      <c r="AB454" s="4">
        <v>2</v>
      </c>
      <c r="AC454" s="4">
        <v>2</v>
      </c>
      <c r="AD454" s="4">
        <v>3</v>
      </c>
      <c r="AE454" s="4">
        <v>3</v>
      </c>
      <c r="AF454" s="4">
        <v>0</v>
      </c>
      <c r="AG454" s="4">
        <v>0</v>
      </c>
      <c r="AH454" s="4">
        <v>1</v>
      </c>
      <c r="AI454" s="4">
        <v>1</v>
      </c>
      <c r="AJ454" s="4">
        <v>2</v>
      </c>
      <c r="AK454" s="4">
        <v>2</v>
      </c>
      <c r="AL454" s="4">
        <v>1</v>
      </c>
      <c r="AM454" s="4">
        <v>1</v>
      </c>
      <c r="AN454" s="4">
        <v>0</v>
      </c>
      <c r="AO454" s="4">
        <v>0</v>
      </c>
      <c r="AP454" s="3" t="s">
        <v>58</v>
      </c>
      <c r="AQ454" s="3" t="s">
        <v>69</v>
      </c>
      <c r="AR454" s="6" t="str">
        <f>HYPERLINK("http://catalog.hathitrust.org/Record/000340821","HathiTrust Record")</f>
        <v>HathiTrust Record</v>
      </c>
      <c r="AS454" s="6" t="str">
        <f>HYPERLINK("https://creighton-primo.hosted.exlibrisgroup.com/primo-explore/search?tab=default_tab&amp;search_scope=EVERYTHING&amp;vid=01CRU&amp;lang=en_US&amp;offset=0&amp;query=any,contains,991000976629702656","Catalog Record")</f>
        <v>Catalog Record</v>
      </c>
      <c r="AT454" s="6" t="str">
        <f>HYPERLINK("http://www.worldcat.org/oclc/10483513","WorldCat Record")</f>
        <v>WorldCat Record</v>
      </c>
    </row>
    <row r="455" spans="1:46" ht="40.5" customHeight="1" x14ac:dyDescent="0.25">
      <c r="A455" s="8" t="s">
        <v>58</v>
      </c>
      <c r="B455" s="2" t="s">
        <v>3528</v>
      </c>
      <c r="C455" s="2" t="s">
        <v>3529</v>
      </c>
      <c r="D455" s="2" t="s">
        <v>3530</v>
      </c>
      <c r="E455" s="3" t="s">
        <v>1947</v>
      </c>
      <c r="F455" s="3" t="s">
        <v>69</v>
      </c>
      <c r="G455" s="3" t="s">
        <v>59</v>
      </c>
      <c r="H455" s="3" t="s">
        <v>58</v>
      </c>
      <c r="I455" s="3" t="s">
        <v>58</v>
      </c>
      <c r="J455" s="3" t="s">
        <v>60</v>
      </c>
      <c r="L455" s="2" t="s">
        <v>3531</v>
      </c>
      <c r="M455" s="3" t="s">
        <v>884</v>
      </c>
      <c r="O455" s="3" t="s">
        <v>64</v>
      </c>
      <c r="P455" s="3" t="s">
        <v>607</v>
      </c>
      <c r="R455" s="3" t="s">
        <v>1907</v>
      </c>
      <c r="S455" s="4">
        <v>5</v>
      </c>
      <c r="T455" s="4">
        <v>10</v>
      </c>
      <c r="U455" s="5" t="s">
        <v>3532</v>
      </c>
      <c r="V455" s="5" t="s">
        <v>3532</v>
      </c>
      <c r="W455" s="5" t="s">
        <v>3271</v>
      </c>
      <c r="X455" s="5" t="s">
        <v>3271</v>
      </c>
      <c r="Y455" s="4">
        <v>213</v>
      </c>
      <c r="Z455" s="4">
        <v>171</v>
      </c>
      <c r="AA455" s="4">
        <v>171</v>
      </c>
      <c r="AB455" s="4">
        <v>2</v>
      </c>
      <c r="AC455" s="4">
        <v>2</v>
      </c>
      <c r="AD455" s="4">
        <v>3</v>
      </c>
      <c r="AE455" s="4">
        <v>3</v>
      </c>
      <c r="AF455" s="4">
        <v>0</v>
      </c>
      <c r="AG455" s="4">
        <v>0</v>
      </c>
      <c r="AH455" s="4">
        <v>1</v>
      </c>
      <c r="AI455" s="4">
        <v>1</v>
      </c>
      <c r="AJ455" s="4">
        <v>2</v>
      </c>
      <c r="AK455" s="4">
        <v>2</v>
      </c>
      <c r="AL455" s="4">
        <v>1</v>
      </c>
      <c r="AM455" s="4">
        <v>1</v>
      </c>
      <c r="AN455" s="4">
        <v>0</v>
      </c>
      <c r="AO455" s="4">
        <v>0</v>
      </c>
      <c r="AP455" s="3" t="s">
        <v>58</v>
      </c>
      <c r="AQ455" s="3" t="s">
        <v>69</v>
      </c>
      <c r="AR455" s="6" t="str">
        <f>HYPERLINK("http://catalog.hathitrust.org/Record/000340821","HathiTrust Record")</f>
        <v>HathiTrust Record</v>
      </c>
      <c r="AS455" s="6" t="str">
        <f>HYPERLINK("https://creighton-primo.hosted.exlibrisgroup.com/primo-explore/search?tab=default_tab&amp;search_scope=EVERYTHING&amp;vid=01CRU&amp;lang=en_US&amp;offset=0&amp;query=any,contains,991000976629702656","Catalog Record")</f>
        <v>Catalog Record</v>
      </c>
      <c r="AT455" s="6" t="str">
        <f>HYPERLINK("http://www.worldcat.org/oclc/10483513","WorldCat Record")</f>
        <v>WorldCat Record</v>
      </c>
    </row>
    <row r="456" spans="1:46" ht="40.5" customHeight="1" x14ac:dyDescent="0.25">
      <c r="A456" s="8" t="s">
        <v>58</v>
      </c>
      <c r="B456" s="2" t="s">
        <v>3533</v>
      </c>
      <c r="C456" s="2" t="s">
        <v>3534</v>
      </c>
      <c r="D456" s="2" t="s">
        <v>3535</v>
      </c>
      <c r="F456" s="3" t="s">
        <v>58</v>
      </c>
      <c r="G456" s="3" t="s">
        <v>59</v>
      </c>
      <c r="H456" s="3" t="s">
        <v>58</v>
      </c>
      <c r="I456" s="3" t="s">
        <v>58</v>
      </c>
      <c r="J456" s="3" t="s">
        <v>60</v>
      </c>
      <c r="L456" s="2" t="s">
        <v>3536</v>
      </c>
      <c r="M456" s="3" t="s">
        <v>185</v>
      </c>
      <c r="O456" s="3" t="s">
        <v>64</v>
      </c>
      <c r="P456" s="3" t="s">
        <v>202</v>
      </c>
      <c r="R456" s="3" t="s">
        <v>1907</v>
      </c>
      <c r="S456" s="4">
        <v>3</v>
      </c>
      <c r="T456" s="4">
        <v>3</v>
      </c>
      <c r="U456" s="5" t="s">
        <v>3537</v>
      </c>
      <c r="V456" s="5" t="s">
        <v>3537</v>
      </c>
      <c r="W456" s="5" t="s">
        <v>3375</v>
      </c>
      <c r="X456" s="5" t="s">
        <v>3375</v>
      </c>
      <c r="Y456" s="4">
        <v>78</v>
      </c>
      <c r="Z456" s="4">
        <v>58</v>
      </c>
      <c r="AA456" s="4">
        <v>82</v>
      </c>
      <c r="AB456" s="4">
        <v>1</v>
      </c>
      <c r="AC456" s="4">
        <v>1</v>
      </c>
      <c r="AD456" s="4">
        <v>1</v>
      </c>
      <c r="AE456" s="4">
        <v>2</v>
      </c>
      <c r="AF456" s="4">
        <v>0</v>
      </c>
      <c r="AG456" s="4">
        <v>1</v>
      </c>
      <c r="AH456" s="4">
        <v>1</v>
      </c>
      <c r="AI456" s="4">
        <v>1</v>
      </c>
      <c r="AJ456" s="4">
        <v>0</v>
      </c>
      <c r="AK456" s="4">
        <v>1</v>
      </c>
      <c r="AL456" s="4">
        <v>0</v>
      </c>
      <c r="AM456" s="4">
        <v>0</v>
      </c>
      <c r="AN456" s="4">
        <v>0</v>
      </c>
      <c r="AO456" s="4">
        <v>0</v>
      </c>
      <c r="AP456" s="3" t="s">
        <v>58</v>
      </c>
      <c r="AQ456" s="3" t="s">
        <v>69</v>
      </c>
      <c r="AR456" s="6" t="str">
        <f>HYPERLINK("http://catalog.hathitrust.org/Record/002606083","HathiTrust Record")</f>
        <v>HathiTrust Record</v>
      </c>
      <c r="AS456" s="6" t="str">
        <f>HYPERLINK("https://creighton-primo.hosted.exlibrisgroup.com/primo-explore/search?tab=default_tab&amp;search_scope=EVERYTHING&amp;vid=01CRU&amp;lang=en_US&amp;offset=0&amp;query=any,contains,991001511089702656","Catalog Record")</f>
        <v>Catalog Record</v>
      </c>
      <c r="AT456" s="6" t="str">
        <f>HYPERLINK("http://www.worldcat.org/oclc/25872396","WorldCat Record")</f>
        <v>WorldCat Record</v>
      </c>
    </row>
    <row r="457" spans="1:46" ht="40.5" customHeight="1" x14ac:dyDescent="0.25">
      <c r="A457" s="8" t="s">
        <v>58</v>
      </c>
      <c r="B457" s="2" t="s">
        <v>3538</v>
      </c>
      <c r="C457" s="2" t="s">
        <v>3539</v>
      </c>
      <c r="D457" s="2" t="s">
        <v>3540</v>
      </c>
      <c r="E457" s="3" t="s">
        <v>793</v>
      </c>
      <c r="F457" s="3" t="s">
        <v>58</v>
      </c>
      <c r="G457" s="3" t="s">
        <v>59</v>
      </c>
      <c r="H457" s="3" t="s">
        <v>58</v>
      </c>
      <c r="I457" s="3" t="s">
        <v>58</v>
      </c>
      <c r="J457" s="3" t="s">
        <v>60</v>
      </c>
      <c r="L457" s="2" t="s">
        <v>2815</v>
      </c>
      <c r="M457" s="3" t="s">
        <v>1094</v>
      </c>
      <c r="O457" s="3" t="s">
        <v>64</v>
      </c>
      <c r="P457" s="3" t="s">
        <v>1921</v>
      </c>
      <c r="Q457" s="2" t="s">
        <v>3541</v>
      </c>
      <c r="R457" s="3" t="s">
        <v>1907</v>
      </c>
      <c r="S457" s="4">
        <v>4</v>
      </c>
      <c r="T457" s="4">
        <v>4</v>
      </c>
      <c r="U457" s="5" t="s">
        <v>3542</v>
      </c>
      <c r="V457" s="5" t="s">
        <v>3542</v>
      </c>
      <c r="W457" s="5" t="s">
        <v>3271</v>
      </c>
      <c r="X457" s="5" t="s">
        <v>3271</v>
      </c>
      <c r="Y457" s="4">
        <v>224</v>
      </c>
      <c r="Z457" s="4">
        <v>171</v>
      </c>
      <c r="AA457" s="4">
        <v>173</v>
      </c>
      <c r="AB457" s="4">
        <v>2</v>
      </c>
      <c r="AC457" s="4">
        <v>2</v>
      </c>
      <c r="AD457" s="4">
        <v>7</v>
      </c>
      <c r="AE457" s="4">
        <v>7</v>
      </c>
      <c r="AF457" s="4">
        <v>1</v>
      </c>
      <c r="AG457" s="4">
        <v>1</v>
      </c>
      <c r="AH457" s="4">
        <v>5</v>
      </c>
      <c r="AI457" s="4">
        <v>5</v>
      </c>
      <c r="AJ457" s="4">
        <v>2</v>
      </c>
      <c r="AK457" s="4">
        <v>2</v>
      </c>
      <c r="AL457" s="4">
        <v>1</v>
      </c>
      <c r="AM457" s="4">
        <v>1</v>
      </c>
      <c r="AN457" s="4">
        <v>0</v>
      </c>
      <c r="AO457" s="4">
        <v>0</v>
      </c>
      <c r="AP457" s="3" t="s">
        <v>58</v>
      </c>
      <c r="AQ457" s="3" t="s">
        <v>69</v>
      </c>
      <c r="AR457" s="6" t="str">
        <f>HYPERLINK("http://catalog.hathitrust.org/Record/000237506","HathiTrust Record")</f>
        <v>HathiTrust Record</v>
      </c>
      <c r="AS457" s="6" t="str">
        <f>HYPERLINK("https://creighton-primo.hosted.exlibrisgroup.com/primo-explore/search?tab=default_tab&amp;search_scope=EVERYTHING&amp;vid=01CRU&amp;lang=en_US&amp;offset=0&amp;query=any,contains,991000976669702656","Catalog Record")</f>
        <v>Catalog Record</v>
      </c>
      <c r="AT457" s="6" t="str">
        <f>HYPERLINK("http://www.worldcat.org/oclc/8171782","WorldCat Record")</f>
        <v>WorldCat Record</v>
      </c>
    </row>
    <row r="458" spans="1:46" ht="40.5" customHeight="1" x14ac:dyDescent="0.25">
      <c r="A458" s="8" t="s">
        <v>58</v>
      </c>
      <c r="B458" s="2" t="s">
        <v>3543</v>
      </c>
      <c r="C458" s="2" t="s">
        <v>3544</v>
      </c>
      <c r="D458" s="2" t="s">
        <v>3545</v>
      </c>
      <c r="E458" s="3" t="s">
        <v>3546</v>
      </c>
      <c r="F458" s="3" t="s">
        <v>58</v>
      </c>
      <c r="G458" s="3" t="s">
        <v>59</v>
      </c>
      <c r="H458" s="3" t="s">
        <v>58</v>
      </c>
      <c r="I458" s="3" t="s">
        <v>58</v>
      </c>
      <c r="J458" s="3" t="s">
        <v>60</v>
      </c>
      <c r="L458" s="2" t="s">
        <v>3547</v>
      </c>
      <c r="M458" s="3" t="s">
        <v>884</v>
      </c>
      <c r="O458" s="3" t="s">
        <v>64</v>
      </c>
      <c r="P458" s="3" t="s">
        <v>1921</v>
      </c>
      <c r="Q458" s="2" t="s">
        <v>3548</v>
      </c>
      <c r="R458" s="3" t="s">
        <v>1907</v>
      </c>
      <c r="S458" s="4">
        <v>4</v>
      </c>
      <c r="T458" s="4">
        <v>4</v>
      </c>
      <c r="U458" s="5" t="s">
        <v>3549</v>
      </c>
      <c r="V458" s="5" t="s">
        <v>3549</v>
      </c>
      <c r="W458" s="5" t="s">
        <v>3271</v>
      </c>
      <c r="X458" s="5" t="s">
        <v>3271</v>
      </c>
      <c r="Y458" s="4">
        <v>239</v>
      </c>
      <c r="Z458" s="4">
        <v>180</v>
      </c>
      <c r="AA458" s="4">
        <v>182</v>
      </c>
      <c r="AB458" s="4">
        <v>1</v>
      </c>
      <c r="AC458" s="4">
        <v>1</v>
      </c>
      <c r="AD458" s="4">
        <v>1</v>
      </c>
      <c r="AE458" s="4">
        <v>1</v>
      </c>
      <c r="AF458" s="4">
        <v>0</v>
      </c>
      <c r="AG458" s="4">
        <v>0</v>
      </c>
      <c r="AH458" s="4">
        <v>0</v>
      </c>
      <c r="AI458" s="4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1</v>
      </c>
      <c r="AO458" s="4">
        <v>1</v>
      </c>
      <c r="AP458" s="3" t="s">
        <v>58</v>
      </c>
      <c r="AQ458" s="3" t="s">
        <v>69</v>
      </c>
      <c r="AR458" s="6" t="str">
        <f>HYPERLINK("http://catalog.hathitrust.org/Record/000344924","HathiTrust Record")</f>
        <v>HathiTrust Record</v>
      </c>
      <c r="AS458" s="6" t="str">
        <f>HYPERLINK("https://creighton-primo.hosted.exlibrisgroup.com/primo-explore/search?tab=default_tab&amp;search_scope=EVERYTHING&amp;vid=01CRU&amp;lang=en_US&amp;offset=0&amp;query=any,contains,991000976929702656","Catalog Record")</f>
        <v>Catalog Record</v>
      </c>
      <c r="AT458" s="6" t="str">
        <f>HYPERLINK("http://www.worldcat.org/oclc/11623198","WorldCat Record")</f>
        <v>WorldCat Record</v>
      </c>
    </row>
    <row r="459" spans="1:46" ht="40.5" customHeight="1" x14ac:dyDescent="0.25">
      <c r="A459" s="8" t="s">
        <v>58</v>
      </c>
      <c r="B459" s="2" t="s">
        <v>3550</v>
      </c>
      <c r="C459" s="2" t="s">
        <v>3551</v>
      </c>
      <c r="D459" s="2" t="s">
        <v>3552</v>
      </c>
      <c r="F459" s="3" t="s">
        <v>58</v>
      </c>
      <c r="G459" s="3" t="s">
        <v>59</v>
      </c>
      <c r="H459" s="3" t="s">
        <v>58</v>
      </c>
      <c r="I459" s="3" t="s">
        <v>58</v>
      </c>
      <c r="J459" s="3" t="s">
        <v>60</v>
      </c>
      <c r="K459" s="2" t="s">
        <v>3553</v>
      </c>
      <c r="L459" s="2" t="s">
        <v>3554</v>
      </c>
      <c r="M459" s="3" t="s">
        <v>155</v>
      </c>
      <c r="O459" s="3" t="s">
        <v>64</v>
      </c>
      <c r="P459" s="3" t="s">
        <v>113</v>
      </c>
      <c r="R459" s="3" t="s">
        <v>1907</v>
      </c>
      <c r="S459" s="4">
        <v>8</v>
      </c>
      <c r="T459" s="4">
        <v>8</v>
      </c>
      <c r="U459" s="5" t="s">
        <v>3555</v>
      </c>
      <c r="V459" s="5" t="s">
        <v>3555</v>
      </c>
      <c r="W459" s="5" t="s">
        <v>3556</v>
      </c>
      <c r="X459" s="5" t="s">
        <v>3556</v>
      </c>
      <c r="Y459" s="4">
        <v>317</v>
      </c>
      <c r="Z459" s="4">
        <v>204</v>
      </c>
      <c r="AA459" s="4">
        <v>211</v>
      </c>
      <c r="AB459" s="4">
        <v>2</v>
      </c>
      <c r="AC459" s="4">
        <v>2</v>
      </c>
      <c r="AD459" s="4">
        <v>6</v>
      </c>
      <c r="AE459" s="4">
        <v>6</v>
      </c>
      <c r="AF459" s="4">
        <v>1</v>
      </c>
      <c r="AG459" s="4">
        <v>1</v>
      </c>
      <c r="AH459" s="4">
        <v>1</v>
      </c>
      <c r="AI459" s="4">
        <v>1</v>
      </c>
      <c r="AJ459" s="4">
        <v>3</v>
      </c>
      <c r="AK459" s="4">
        <v>3</v>
      </c>
      <c r="AL459" s="4">
        <v>1</v>
      </c>
      <c r="AM459" s="4">
        <v>1</v>
      </c>
      <c r="AN459" s="4">
        <v>0</v>
      </c>
      <c r="AO459" s="4">
        <v>0</v>
      </c>
      <c r="AP459" s="3" t="s">
        <v>58</v>
      </c>
      <c r="AQ459" s="3" t="s">
        <v>69</v>
      </c>
      <c r="AR459" s="6" t="str">
        <f>HYPERLINK("http://catalog.hathitrust.org/Record/001556650","HathiTrust Record")</f>
        <v>HathiTrust Record</v>
      </c>
      <c r="AS459" s="6" t="str">
        <f>HYPERLINK("https://creighton-primo.hosted.exlibrisgroup.com/primo-explore/search?tab=default_tab&amp;search_scope=EVERYTHING&amp;vid=01CRU&amp;lang=en_US&amp;offset=0&amp;query=any,contains,991000976999702656","Catalog Record")</f>
        <v>Catalog Record</v>
      </c>
      <c r="AT459" s="6" t="str">
        <f>HYPERLINK("http://www.worldcat.org/oclc/897415","WorldCat Record")</f>
        <v>WorldCat Record</v>
      </c>
    </row>
    <row r="460" spans="1:46" ht="40.5" customHeight="1" x14ac:dyDescent="0.25">
      <c r="A460" s="8" t="s">
        <v>58</v>
      </c>
      <c r="B460" s="2" t="s">
        <v>3557</v>
      </c>
      <c r="C460" s="2" t="s">
        <v>3558</v>
      </c>
      <c r="D460" s="2" t="s">
        <v>3559</v>
      </c>
      <c r="F460" s="3" t="s">
        <v>58</v>
      </c>
      <c r="G460" s="3" t="s">
        <v>59</v>
      </c>
      <c r="H460" s="3" t="s">
        <v>58</v>
      </c>
      <c r="I460" s="3" t="s">
        <v>58</v>
      </c>
      <c r="J460" s="3" t="s">
        <v>60</v>
      </c>
      <c r="K460" s="2" t="s">
        <v>3560</v>
      </c>
      <c r="L460" s="2" t="s">
        <v>3561</v>
      </c>
      <c r="M460" s="3" t="s">
        <v>82</v>
      </c>
      <c r="O460" s="3" t="s">
        <v>64</v>
      </c>
      <c r="P460" s="3" t="s">
        <v>400</v>
      </c>
      <c r="R460" s="3" t="s">
        <v>1907</v>
      </c>
      <c r="S460" s="4">
        <v>4</v>
      </c>
      <c r="T460" s="4">
        <v>4</v>
      </c>
      <c r="U460" s="5" t="s">
        <v>3542</v>
      </c>
      <c r="V460" s="5" t="s">
        <v>3542</v>
      </c>
      <c r="W460" s="5" t="s">
        <v>3562</v>
      </c>
      <c r="X460" s="5" t="s">
        <v>3562</v>
      </c>
      <c r="Y460" s="4">
        <v>144</v>
      </c>
      <c r="Z460" s="4">
        <v>113</v>
      </c>
      <c r="AA460" s="4">
        <v>115</v>
      </c>
      <c r="AB460" s="4">
        <v>1</v>
      </c>
      <c r="AC460" s="4">
        <v>1</v>
      </c>
      <c r="AD460" s="4">
        <v>3</v>
      </c>
      <c r="AE460" s="4">
        <v>3</v>
      </c>
      <c r="AF460" s="4">
        <v>1</v>
      </c>
      <c r="AG460" s="4">
        <v>1</v>
      </c>
      <c r="AH460" s="4">
        <v>1</v>
      </c>
      <c r="AI460" s="4">
        <v>1</v>
      </c>
      <c r="AJ460" s="4">
        <v>2</v>
      </c>
      <c r="AK460" s="4">
        <v>2</v>
      </c>
      <c r="AL460" s="4">
        <v>0</v>
      </c>
      <c r="AM460" s="4">
        <v>0</v>
      </c>
      <c r="AN460" s="4">
        <v>0</v>
      </c>
      <c r="AO460" s="4">
        <v>0</v>
      </c>
      <c r="AP460" s="3" t="s">
        <v>58</v>
      </c>
      <c r="AQ460" s="3" t="s">
        <v>69</v>
      </c>
      <c r="AR460" s="6" t="str">
        <f>HYPERLINK("http://catalog.hathitrust.org/Record/000017640","HathiTrust Record")</f>
        <v>HathiTrust Record</v>
      </c>
      <c r="AS460" s="6" t="str">
        <f>HYPERLINK("https://creighton-primo.hosted.exlibrisgroup.com/primo-explore/search?tab=default_tab&amp;search_scope=EVERYTHING&amp;vid=01CRU&amp;lang=en_US&amp;offset=0&amp;query=any,contains,991001109329702656","Catalog Record")</f>
        <v>Catalog Record</v>
      </c>
      <c r="AT460" s="6" t="str">
        <f>HYPERLINK("http://www.worldcat.org/oclc/4591309","WorldCat Record")</f>
        <v>WorldCat Record</v>
      </c>
    </row>
    <row r="461" spans="1:46" ht="40.5" customHeight="1" x14ac:dyDescent="0.25">
      <c r="A461" s="8" t="s">
        <v>58</v>
      </c>
      <c r="B461" s="2" t="s">
        <v>3563</v>
      </c>
      <c r="C461" s="2" t="s">
        <v>3564</v>
      </c>
      <c r="D461" s="2" t="s">
        <v>3565</v>
      </c>
      <c r="F461" s="3" t="s">
        <v>58</v>
      </c>
      <c r="G461" s="3" t="s">
        <v>59</v>
      </c>
      <c r="H461" s="3" t="s">
        <v>58</v>
      </c>
      <c r="I461" s="3" t="s">
        <v>58</v>
      </c>
      <c r="J461" s="3" t="s">
        <v>60</v>
      </c>
      <c r="K461" s="2" t="s">
        <v>3566</v>
      </c>
      <c r="L461" s="2" t="s">
        <v>3567</v>
      </c>
      <c r="M461" s="3" t="s">
        <v>2446</v>
      </c>
      <c r="O461" s="3" t="s">
        <v>64</v>
      </c>
      <c r="P461" s="3" t="s">
        <v>113</v>
      </c>
      <c r="Q461" s="2" t="s">
        <v>3568</v>
      </c>
      <c r="R461" s="3" t="s">
        <v>1907</v>
      </c>
      <c r="S461" s="4">
        <v>1</v>
      </c>
      <c r="T461" s="4">
        <v>1</v>
      </c>
      <c r="U461" s="5" t="s">
        <v>3569</v>
      </c>
      <c r="V461" s="5" t="s">
        <v>3569</v>
      </c>
      <c r="W461" s="5" t="s">
        <v>2224</v>
      </c>
      <c r="X461" s="5" t="s">
        <v>2224</v>
      </c>
      <c r="Y461" s="4">
        <v>346</v>
      </c>
      <c r="Z461" s="4">
        <v>240</v>
      </c>
      <c r="AA461" s="4">
        <v>245</v>
      </c>
      <c r="AB461" s="4">
        <v>2</v>
      </c>
      <c r="AC461" s="4">
        <v>2</v>
      </c>
      <c r="AD461" s="4">
        <v>8</v>
      </c>
      <c r="AE461" s="4">
        <v>8</v>
      </c>
      <c r="AF461" s="4">
        <v>1</v>
      </c>
      <c r="AG461" s="4">
        <v>1</v>
      </c>
      <c r="AH461" s="4">
        <v>3</v>
      </c>
      <c r="AI461" s="4">
        <v>3</v>
      </c>
      <c r="AJ461" s="4">
        <v>5</v>
      </c>
      <c r="AK461" s="4">
        <v>5</v>
      </c>
      <c r="AL461" s="4">
        <v>1</v>
      </c>
      <c r="AM461" s="4">
        <v>1</v>
      </c>
      <c r="AN461" s="4">
        <v>0</v>
      </c>
      <c r="AO461" s="4">
        <v>0</v>
      </c>
      <c r="AP461" s="3" t="s">
        <v>58</v>
      </c>
      <c r="AQ461" s="3" t="s">
        <v>58</v>
      </c>
      <c r="AS461" s="6" t="str">
        <f>HYPERLINK("https://creighton-primo.hosted.exlibrisgroup.com/primo-explore/search?tab=default_tab&amp;search_scope=EVERYTHING&amp;vid=01CRU&amp;lang=en_US&amp;offset=0&amp;query=any,contains,991000977059702656","Catalog Record")</f>
        <v>Catalog Record</v>
      </c>
      <c r="AT461" s="6" t="str">
        <f>HYPERLINK("http://www.worldcat.org/oclc/447572","WorldCat Record")</f>
        <v>WorldCat Record</v>
      </c>
    </row>
    <row r="462" spans="1:46" ht="40.5" customHeight="1" x14ac:dyDescent="0.25">
      <c r="A462" s="8" t="s">
        <v>58</v>
      </c>
      <c r="B462" s="2" t="s">
        <v>3570</v>
      </c>
      <c r="C462" s="2" t="s">
        <v>3571</v>
      </c>
      <c r="D462" s="2" t="s">
        <v>3572</v>
      </c>
      <c r="F462" s="3" t="s">
        <v>58</v>
      </c>
      <c r="G462" s="3" t="s">
        <v>59</v>
      </c>
      <c r="H462" s="3" t="s">
        <v>58</v>
      </c>
      <c r="I462" s="3" t="s">
        <v>58</v>
      </c>
      <c r="J462" s="3" t="s">
        <v>60</v>
      </c>
      <c r="L462" s="2" t="s">
        <v>3573</v>
      </c>
      <c r="M462" s="3" t="s">
        <v>540</v>
      </c>
      <c r="O462" s="3" t="s">
        <v>64</v>
      </c>
      <c r="P462" s="3" t="s">
        <v>83</v>
      </c>
      <c r="R462" s="3" t="s">
        <v>1907</v>
      </c>
      <c r="S462" s="4">
        <v>7</v>
      </c>
      <c r="T462" s="4">
        <v>7</v>
      </c>
      <c r="U462" s="5" t="s">
        <v>3574</v>
      </c>
      <c r="V462" s="5" t="s">
        <v>3574</v>
      </c>
      <c r="W462" s="5" t="s">
        <v>3575</v>
      </c>
      <c r="X462" s="5" t="s">
        <v>3575</v>
      </c>
      <c r="Y462" s="4">
        <v>145</v>
      </c>
      <c r="Z462" s="4">
        <v>98</v>
      </c>
      <c r="AA462" s="4">
        <v>103</v>
      </c>
      <c r="AB462" s="4">
        <v>1</v>
      </c>
      <c r="AC462" s="4">
        <v>1</v>
      </c>
      <c r="AD462" s="4">
        <v>1</v>
      </c>
      <c r="AE462" s="4">
        <v>1</v>
      </c>
      <c r="AF462" s="4">
        <v>0</v>
      </c>
      <c r="AG462" s="4">
        <v>0</v>
      </c>
      <c r="AH462" s="4">
        <v>1</v>
      </c>
      <c r="AI462" s="4">
        <v>1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3" t="s">
        <v>58</v>
      </c>
      <c r="AQ462" s="3" t="s">
        <v>58</v>
      </c>
      <c r="AS462" s="6" t="str">
        <f>HYPERLINK("https://creighton-primo.hosted.exlibrisgroup.com/primo-explore/search?tab=default_tab&amp;search_scope=EVERYTHING&amp;vid=01CRU&amp;lang=en_US&amp;offset=0&amp;query=any,contains,991000550289702656","Catalog Record")</f>
        <v>Catalog Record</v>
      </c>
      <c r="AT462" s="6" t="str">
        <f>HYPERLINK("http://www.worldcat.org/oclc/25554679","WorldCat Record")</f>
        <v>WorldCat Record</v>
      </c>
    </row>
    <row r="463" spans="1:46" ht="40.5" customHeight="1" x14ac:dyDescent="0.25">
      <c r="A463" s="8" t="s">
        <v>58</v>
      </c>
      <c r="B463" s="2" t="s">
        <v>3576</v>
      </c>
      <c r="C463" s="2" t="s">
        <v>3577</v>
      </c>
      <c r="D463" s="2" t="s">
        <v>3578</v>
      </c>
      <c r="F463" s="3" t="s">
        <v>58</v>
      </c>
      <c r="G463" s="3" t="s">
        <v>59</v>
      </c>
      <c r="H463" s="3" t="s">
        <v>58</v>
      </c>
      <c r="I463" s="3" t="s">
        <v>58</v>
      </c>
      <c r="J463" s="3" t="s">
        <v>60</v>
      </c>
      <c r="K463" s="2" t="s">
        <v>3579</v>
      </c>
      <c r="L463" s="2" t="s">
        <v>3580</v>
      </c>
      <c r="M463" s="3" t="s">
        <v>870</v>
      </c>
      <c r="O463" s="3" t="s">
        <v>64</v>
      </c>
      <c r="P463" s="3" t="s">
        <v>65</v>
      </c>
      <c r="R463" s="3" t="s">
        <v>1907</v>
      </c>
      <c r="S463" s="4">
        <v>2</v>
      </c>
      <c r="T463" s="4">
        <v>2</v>
      </c>
      <c r="U463" s="5" t="s">
        <v>3581</v>
      </c>
      <c r="V463" s="5" t="s">
        <v>3581</v>
      </c>
      <c r="W463" s="5" t="s">
        <v>3271</v>
      </c>
      <c r="X463" s="5" t="s">
        <v>3271</v>
      </c>
      <c r="Y463" s="4">
        <v>161</v>
      </c>
      <c r="Z463" s="4">
        <v>157</v>
      </c>
      <c r="AA463" s="4">
        <v>165</v>
      </c>
      <c r="AB463" s="4">
        <v>1</v>
      </c>
      <c r="AC463" s="4">
        <v>1</v>
      </c>
      <c r="AD463" s="4">
        <v>3</v>
      </c>
      <c r="AE463" s="4">
        <v>3</v>
      </c>
      <c r="AF463" s="4">
        <v>1</v>
      </c>
      <c r="AG463" s="4">
        <v>1</v>
      </c>
      <c r="AH463" s="4">
        <v>1</v>
      </c>
      <c r="AI463" s="4">
        <v>1</v>
      </c>
      <c r="AJ463" s="4">
        <v>1</v>
      </c>
      <c r="AK463" s="4">
        <v>1</v>
      </c>
      <c r="AL463" s="4">
        <v>0</v>
      </c>
      <c r="AM463" s="4">
        <v>0</v>
      </c>
      <c r="AN463" s="4">
        <v>0</v>
      </c>
      <c r="AO463" s="4">
        <v>0</v>
      </c>
      <c r="AP463" s="3" t="s">
        <v>58</v>
      </c>
      <c r="AQ463" s="3" t="s">
        <v>69</v>
      </c>
      <c r="AR463" s="6" t="str">
        <f>HYPERLINK("http://catalog.hathitrust.org/Record/000147056","HathiTrust Record")</f>
        <v>HathiTrust Record</v>
      </c>
      <c r="AS463" s="6" t="str">
        <f>HYPERLINK("https://creighton-primo.hosted.exlibrisgroup.com/primo-explore/search?tab=default_tab&amp;search_scope=EVERYTHING&amp;vid=01CRU&amp;lang=en_US&amp;offset=0&amp;query=any,contains,991000977099702656","Catalog Record")</f>
        <v>Catalog Record</v>
      </c>
      <c r="AT463" s="6" t="str">
        <f>HYPERLINK("http://www.worldcat.org/oclc/8315916","WorldCat Record")</f>
        <v>WorldCat Record</v>
      </c>
    </row>
    <row r="464" spans="1:46" ht="40.5" customHeight="1" x14ac:dyDescent="0.25">
      <c r="A464" s="8" t="s">
        <v>58</v>
      </c>
      <c r="B464" s="2" t="s">
        <v>3582</v>
      </c>
      <c r="C464" s="2" t="s">
        <v>3583</v>
      </c>
      <c r="D464" s="2" t="s">
        <v>3584</v>
      </c>
      <c r="F464" s="3" t="s">
        <v>58</v>
      </c>
      <c r="G464" s="3" t="s">
        <v>59</v>
      </c>
      <c r="H464" s="3" t="s">
        <v>58</v>
      </c>
      <c r="I464" s="3" t="s">
        <v>58</v>
      </c>
      <c r="J464" s="3" t="s">
        <v>60</v>
      </c>
      <c r="L464" s="2" t="s">
        <v>3585</v>
      </c>
      <c r="M464" s="3" t="s">
        <v>243</v>
      </c>
      <c r="O464" s="3" t="s">
        <v>64</v>
      </c>
      <c r="P464" s="3" t="s">
        <v>202</v>
      </c>
      <c r="R464" s="3" t="s">
        <v>1907</v>
      </c>
      <c r="S464" s="4">
        <v>2</v>
      </c>
      <c r="T464" s="4">
        <v>2</v>
      </c>
      <c r="U464" s="5" t="s">
        <v>3586</v>
      </c>
      <c r="V464" s="5" t="s">
        <v>3586</v>
      </c>
      <c r="W464" s="5" t="s">
        <v>3271</v>
      </c>
      <c r="X464" s="5" t="s">
        <v>3271</v>
      </c>
      <c r="Y464" s="4">
        <v>105</v>
      </c>
      <c r="Z464" s="4">
        <v>81</v>
      </c>
      <c r="AA464" s="4">
        <v>106</v>
      </c>
      <c r="AB464" s="4">
        <v>1</v>
      </c>
      <c r="AC464" s="4">
        <v>1</v>
      </c>
      <c r="AD464" s="4">
        <v>2</v>
      </c>
      <c r="AE464" s="4">
        <v>3</v>
      </c>
      <c r="AF464" s="4">
        <v>0</v>
      </c>
      <c r="AG464" s="4">
        <v>1</v>
      </c>
      <c r="AH464" s="4">
        <v>1</v>
      </c>
      <c r="AI464" s="4">
        <v>1</v>
      </c>
      <c r="AJ464" s="4">
        <v>1</v>
      </c>
      <c r="AK464" s="4">
        <v>2</v>
      </c>
      <c r="AL464" s="4">
        <v>0</v>
      </c>
      <c r="AM464" s="4">
        <v>0</v>
      </c>
      <c r="AN464" s="4">
        <v>0</v>
      </c>
      <c r="AO464" s="4">
        <v>0</v>
      </c>
      <c r="AP464" s="3" t="s">
        <v>58</v>
      </c>
      <c r="AQ464" s="3" t="s">
        <v>69</v>
      </c>
      <c r="AR464" s="6" t="str">
        <f>HYPERLINK("http://catalog.hathitrust.org/Record/006247958","HathiTrust Record")</f>
        <v>HathiTrust Record</v>
      </c>
      <c r="AS464" s="6" t="str">
        <f>HYPERLINK("https://creighton-primo.hosted.exlibrisgroup.com/primo-explore/search?tab=default_tab&amp;search_scope=EVERYTHING&amp;vid=01CRU&amp;lang=en_US&amp;offset=0&amp;query=any,contains,991001266739702656","Catalog Record")</f>
        <v>Catalog Record</v>
      </c>
      <c r="AT464" s="6" t="str">
        <f>HYPERLINK("http://www.worldcat.org/oclc/15016409","WorldCat Record")</f>
        <v>WorldCat Record</v>
      </c>
    </row>
    <row r="465" spans="1:46" ht="40.5" customHeight="1" x14ac:dyDescent="0.25">
      <c r="A465" s="8" t="s">
        <v>58</v>
      </c>
      <c r="B465" s="2" t="s">
        <v>3587</v>
      </c>
      <c r="C465" s="2" t="s">
        <v>3588</v>
      </c>
      <c r="D465" s="2" t="s">
        <v>3589</v>
      </c>
      <c r="F465" s="3" t="s">
        <v>58</v>
      </c>
      <c r="G465" s="3" t="s">
        <v>59</v>
      </c>
      <c r="H465" s="3" t="s">
        <v>58</v>
      </c>
      <c r="I465" s="3" t="s">
        <v>58</v>
      </c>
      <c r="J465" s="3" t="s">
        <v>60</v>
      </c>
      <c r="L465" s="2" t="s">
        <v>3590</v>
      </c>
      <c r="M465" s="3" t="s">
        <v>1094</v>
      </c>
      <c r="O465" s="3" t="s">
        <v>64</v>
      </c>
      <c r="P465" s="3" t="s">
        <v>1921</v>
      </c>
      <c r="R465" s="3" t="s">
        <v>1907</v>
      </c>
      <c r="S465" s="4">
        <v>4</v>
      </c>
      <c r="T465" s="4">
        <v>4</v>
      </c>
      <c r="U465" s="5" t="s">
        <v>3248</v>
      </c>
      <c r="V465" s="5" t="s">
        <v>3248</v>
      </c>
      <c r="W465" s="5" t="s">
        <v>3271</v>
      </c>
      <c r="X465" s="5" t="s">
        <v>3271</v>
      </c>
      <c r="Y465" s="4">
        <v>145</v>
      </c>
      <c r="Z465" s="4">
        <v>115</v>
      </c>
      <c r="AA465" s="4">
        <v>122</v>
      </c>
      <c r="AB465" s="4">
        <v>1</v>
      </c>
      <c r="AC465" s="4">
        <v>1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4">
        <v>0</v>
      </c>
      <c r="AJ465" s="4">
        <v>0</v>
      </c>
      <c r="AK465" s="4">
        <v>0</v>
      </c>
      <c r="AL465" s="4">
        <v>0</v>
      </c>
      <c r="AM465" s="4">
        <v>0</v>
      </c>
      <c r="AN465" s="4">
        <v>0</v>
      </c>
      <c r="AO465" s="4">
        <v>0</v>
      </c>
      <c r="AP465" s="3" t="s">
        <v>58</v>
      </c>
      <c r="AQ465" s="3" t="s">
        <v>69</v>
      </c>
      <c r="AR465" s="6" t="str">
        <f>HYPERLINK("http://catalog.hathitrust.org/Record/000269740","HathiTrust Record")</f>
        <v>HathiTrust Record</v>
      </c>
      <c r="AS465" s="6" t="str">
        <f>HYPERLINK("https://creighton-primo.hosted.exlibrisgroup.com/primo-explore/search?tab=default_tab&amp;search_scope=EVERYTHING&amp;vid=01CRU&amp;lang=en_US&amp;offset=0&amp;query=any,contains,991000977219702656","Catalog Record")</f>
        <v>Catalog Record</v>
      </c>
      <c r="AT465" s="6" t="str">
        <f>HYPERLINK("http://www.worldcat.org/oclc/7577294","WorldCat Record")</f>
        <v>WorldCat Record</v>
      </c>
    </row>
    <row r="466" spans="1:46" ht="40.5" customHeight="1" x14ac:dyDescent="0.25">
      <c r="A466" s="8" t="s">
        <v>58</v>
      </c>
      <c r="B466" s="2" t="s">
        <v>3591</v>
      </c>
      <c r="C466" s="2" t="s">
        <v>3592</v>
      </c>
      <c r="D466" s="2" t="s">
        <v>3593</v>
      </c>
      <c r="F466" s="3" t="s">
        <v>58</v>
      </c>
      <c r="G466" s="3" t="s">
        <v>59</v>
      </c>
      <c r="H466" s="3" t="s">
        <v>58</v>
      </c>
      <c r="I466" s="3" t="s">
        <v>58</v>
      </c>
      <c r="J466" s="3" t="s">
        <v>60</v>
      </c>
      <c r="K466" s="2" t="s">
        <v>3594</v>
      </c>
      <c r="L466" s="2" t="s">
        <v>3595</v>
      </c>
      <c r="M466" s="3" t="s">
        <v>1632</v>
      </c>
      <c r="O466" s="3" t="s">
        <v>64</v>
      </c>
      <c r="P466" s="3" t="s">
        <v>186</v>
      </c>
      <c r="R466" s="3" t="s">
        <v>1907</v>
      </c>
      <c r="S466" s="4">
        <v>6</v>
      </c>
      <c r="T466" s="4">
        <v>6</v>
      </c>
      <c r="U466" s="5" t="s">
        <v>3596</v>
      </c>
      <c r="V466" s="5" t="s">
        <v>3596</v>
      </c>
      <c r="W466" s="5" t="s">
        <v>3384</v>
      </c>
      <c r="X466" s="5" t="s">
        <v>3384</v>
      </c>
      <c r="Y466" s="4">
        <v>204</v>
      </c>
      <c r="Z466" s="4">
        <v>174</v>
      </c>
      <c r="AA466" s="4">
        <v>279</v>
      </c>
      <c r="AB466" s="4">
        <v>1</v>
      </c>
      <c r="AC466" s="4">
        <v>1</v>
      </c>
      <c r="AD466" s="4">
        <v>2</v>
      </c>
      <c r="AE466" s="4">
        <v>2</v>
      </c>
      <c r="AF466" s="4">
        <v>1</v>
      </c>
      <c r="AG466" s="4">
        <v>1</v>
      </c>
      <c r="AH466" s="4">
        <v>1</v>
      </c>
      <c r="AI466" s="4">
        <v>1</v>
      </c>
      <c r="AJ466" s="4">
        <v>2</v>
      </c>
      <c r="AK466" s="4">
        <v>2</v>
      </c>
      <c r="AL466" s="4">
        <v>0</v>
      </c>
      <c r="AM466" s="4">
        <v>0</v>
      </c>
      <c r="AN466" s="4">
        <v>0</v>
      </c>
      <c r="AO466" s="4">
        <v>0</v>
      </c>
      <c r="AP466" s="3" t="s">
        <v>58</v>
      </c>
      <c r="AQ466" s="3" t="s">
        <v>69</v>
      </c>
      <c r="AR466" s="6" t="str">
        <f>HYPERLINK("http://catalog.hathitrust.org/Record/000905312","HathiTrust Record")</f>
        <v>HathiTrust Record</v>
      </c>
      <c r="AS466" s="6" t="str">
        <f>HYPERLINK("https://creighton-primo.hosted.exlibrisgroup.com/primo-explore/search?tab=default_tab&amp;search_scope=EVERYTHING&amp;vid=01CRU&amp;lang=en_US&amp;offset=0&amp;query=any,contains,991001299449702656","Catalog Record")</f>
        <v>Catalog Record</v>
      </c>
      <c r="AT466" s="6" t="str">
        <f>HYPERLINK("http://www.worldcat.org/oclc/17547956","WorldCat Record")</f>
        <v>WorldCat Record</v>
      </c>
    </row>
    <row r="467" spans="1:46" ht="40.5" customHeight="1" x14ac:dyDescent="0.25">
      <c r="A467" s="8" t="s">
        <v>58</v>
      </c>
      <c r="B467" s="2" t="s">
        <v>3597</v>
      </c>
      <c r="C467" s="2" t="s">
        <v>3598</v>
      </c>
      <c r="D467" s="2" t="s">
        <v>3599</v>
      </c>
      <c r="F467" s="3" t="s">
        <v>58</v>
      </c>
      <c r="G467" s="3" t="s">
        <v>59</v>
      </c>
      <c r="H467" s="3" t="s">
        <v>58</v>
      </c>
      <c r="I467" s="3" t="s">
        <v>58</v>
      </c>
      <c r="J467" s="3" t="s">
        <v>60</v>
      </c>
      <c r="K467" s="2" t="s">
        <v>3600</v>
      </c>
      <c r="L467" s="2" t="s">
        <v>3601</v>
      </c>
      <c r="M467" s="3" t="s">
        <v>126</v>
      </c>
      <c r="O467" s="3" t="s">
        <v>64</v>
      </c>
      <c r="P467" s="3" t="s">
        <v>83</v>
      </c>
      <c r="R467" s="3" t="s">
        <v>1907</v>
      </c>
      <c r="S467" s="4">
        <v>8</v>
      </c>
      <c r="T467" s="4">
        <v>8</v>
      </c>
      <c r="U467" s="5" t="s">
        <v>2373</v>
      </c>
      <c r="V467" s="5" t="s">
        <v>2373</v>
      </c>
      <c r="W467" s="5" t="s">
        <v>3602</v>
      </c>
      <c r="X467" s="5" t="s">
        <v>3602</v>
      </c>
      <c r="Y467" s="4">
        <v>248</v>
      </c>
      <c r="Z467" s="4">
        <v>194</v>
      </c>
      <c r="AA467" s="4">
        <v>194</v>
      </c>
      <c r="AB467" s="4">
        <v>3</v>
      </c>
      <c r="AC467" s="4">
        <v>3</v>
      </c>
      <c r="AD467" s="4">
        <v>5</v>
      </c>
      <c r="AE467" s="4">
        <v>5</v>
      </c>
      <c r="AF467" s="4">
        <v>1</v>
      </c>
      <c r="AG467" s="4">
        <v>1</v>
      </c>
      <c r="AH467" s="4">
        <v>1</v>
      </c>
      <c r="AI467" s="4">
        <v>1</v>
      </c>
      <c r="AJ467" s="4">
        <v>1</v>
      </c>
      <c r="AK467" s="4">
        <v>1</v>
      </c>
      <c r="AL467" s="4">
        <v>2</v>
      </c>
      <c r="AM467" s="4">
        <v>2</v>
      </c>
      <c r="AN467" s="4">
        <v>0</v>
      </c>
      <c r="AO467" s="4">
        <v>0</v>
      </c>
      <c r="AP467" s="3" t="s">
        <v>58</v>
      </c>
      <c r="AQ467" s="3" t="s">
        <v>58</v>
      </c>
      <c r="AS467" s="6" t="str">
        <f>HYPERLINK("https://creighton-primo.hosted.exlibrisgroup.com/primo-explore/search?tab=default_tab&amp;search_scope=EVERYTHING&amp;vid=01CRU&amp;lang=en_US&amp;offset=0&amp;query=any,contains,991000647249702656","Catalog Record")</f>
        <v>Catalog Record</v>
      </c>
      <c r="AT467" s="6" t="str">
        <f>HYPERLINK("http://www.worldcat.org/oclc/28678598","WorldCat Record")</f>
        <v>WorldCat Record</v>
      </c>
    </row>
    <row r="468" spans="1:46" ht="40.5" customHeight="1" x14ac:dyDescent="0.25">
      <c r="A468" s="8" t="s">
        <v>58</v>
      </c>
      <c r="B468" s="2" t="s">
        <v>3603</v>
      </c>
      <c r="C468" s="2" t="s">
        <v>3604</v>
      </c>
      <c r="D468" s="2" t="s">
        <v>3605</v>
      </c>
      <c r="F468" s="3" t="s">
        <v>58</v>
      </c>
      <c r="G468" s="3" t="s">
        <v>59</v>
      </c>
      <c r="H468" s="3" t="s">
        <v>58</v>
      </c>
      <c r="I468" s="3" t="s">
        <v>58</v>
      </c>
      <c r="J468" s="3" t="s">
        <v>60</v>
      </c>
      <c r="L468" s="2" t="s">
        <v>269</v>
      </c>
      <c r="M468" s="3" t="s">
        <v>270</v>
      </c>
      <c r="O468" s="3" t="s">
        <v>64</v>
      </c>
      <c r="P468" s="3" t="s">
        <v>172</v>
      </c>
      <c r="R468" s="3" t="s">
        <v>1907</v>
      </c>
      <c r="S468" s="4">
        <v>3</v>
      </c>
      <c r="T468" s="4">
        <v>3</v>
      </c>
      <c r="U468" s="5" t="s">
        <v>3606</v>
      </c>
      <c r="V468" s="5" t="s">
        <v>3606</v>
      </c>
      <c r="W468" s="5" t="s">
        <v>3606</v>
      </c>
      <c r="X468" s="5" t="s">
        <v>3606</v>
      </c>
      <c r="Y468" s="4">
        <v>161</v>
      </c>
      <c r="Z468" s="4">
        <v>112</v>
      </c>
      <c r="AA468" s="4">
        <v>207</v>
      </c>
      <c r="AB468" s="4">
        <v>2</v>
      </c>
      <c r="AC468" s="4">
        <v>4</v>
      </c>
      <c r="AD468" s="4">
        <v>4</v>
      </c>
      <c r="AE468" s="4">
        <v>8</v>
      </c>
      <c r="AF468" s="4">
        <v>1</v>
      </c>
      <c r="AG468" s="4">
        <v>2</v>
      </c>
      <c r="AH468" s="4">
        <v>1</v>
      </c>
      <c r="AI468" s="4">
        <v>2</v>
      </c>
      <c r="AJ468" s="4">
        <v>2</v>
      </c>
      <c r="AK468" s="4">
        <v>2</v>
      </c>
      <c r="AL468" s="4">
        <v>1</v>
      </c>
      <c r="AM468" s="4">
        <v>3</v>
      </c>
      <c r="AN468" s="4">
        <v>0</v>
      </c>
      <c r="AO468" s="4">
        <v>0</v>
      </c>
      <c r="AP468" s="3" t="s">
        <v>58</v>
      </c>
      <c r="AQ468" s="3" t="s">
        <v>69</v>
      </c>
      <c r="AR468" s="6" t="str">
        <f>HYPERLINK("http://catalog.hathitrust.org/Record/003108414","HathiTrust Record")</f>
        <v>HathiTrust Record</v>
      </c>
      <c r="AS468" s="6" t="str">
        <f>HYPERLINK("https://creighton-primo.hosted.exlibrisgroup.com/primo-explore/search?tab=default_tab&amp;search_scope=EVERYTHING&amp;vid=01CRU&amp;lang=en_US&amp;offset=0&amp;query=any,contains,991001243849702656","Catalog Record")</f>
        <v>Catalog Record</v>
      </c>
      <c r="AT468" s="6" t="str">
        <f>HYPERLINK("http://www.worldcat.org/oclc/34721864","WorldCat Record")</f>
        <v>WorldCat Record</v>
      </c>
    </row>
    <row r="469" spans="1:46" ht="40.5" customHeight="1" x14ac:dyDescent="0.25">
      <c r="A469" s="8" t="s">
        <v>58</v>
      </c>
      <c r="B469" s="2" t="s">
        <v>3607</v>
      </c>
      <c r="C469" s="2" t="s">
        <v>3608</v>
      </c>
      <c r="D469" s="2" t="s">
        <v>3609</v>
      </c>
      <c r="F469" s="3" t="s">
        <v>58</v>
      </c>
      <c r="G469" s="3" t="s">
        <v>59</v>
      </c>
      <c r="H469" s="3" t="s">
        <v>58</v>
      </c>
      <c r="I469" s="3" t="s">
        <v>58</v>
      </c>
      <c r="J469" s="3" t="s">
        <v>60</v>
      </c>
      <c r="L469" s="2" t="s">
        <v>3610</v>
      </c>
      <c r="M469" s="3" t="s">
        <v>112</v>
      </c>
      <c r="O469" s="3" t="s">
        <v>64</v>
      </c>
      <c r="P469" s="3" t="s">
        <v>400</v>
      </c>
      <c r="R469" s="3" t="s">
        <v>1907</v>
      </c>
      <c r="S469" s="4">
        <v>5</v>
      </c>
      <c r="T469" s="4">
        <v>5</v>
      </c>
      <c r="U469" s="5" t="s">
        <v>3611</v>
      </c>
      <c r="V469" s="5" t="s">
        <v>3611</v>
      </c>
      <c r="W469" s="5" t="s">
        <v>3612</v>
      </c>
      <c r="X469" s="5" t="s">
        <v>3612</v>
      </c>
      <c r="Y469" s="4">
        <v>142</v>
      </c>
      <c r="Z469" s="4">
        <v>117</v>
      </c>
      <c r="AA469" s="4">
        <v>145</v>
      </c>
      <c r="AB469" s="4">
        <v>1</v>
      </c>
      <c r="AC469" s="4">
        <v>1</v>
      </c>
      <c r="AD469" s="4">
        <v>4</v>
      </c>
      <c r="AE469" s="4">
        <v>5</v>
      </c>
      <c r="AF469" s="4">
        <v>4</v>
      </c>
      <c r="AG469" s="4">
        <v>5</v>
      </c>
      <c r="AH469" s="4">
        <v>2</v>
      </c>
      <c r="AI469" s="4">
        <v>2</v>
      </c>
      <c r="AJ469" s="4">
        <v>1</v>
      </c>
      <c r="AK469" s="4">
        <v>2</v>
      </c>
      <c r="AL469" s="4">
        <v>0</v>
      </c>
      <c r="AM469" s="4">
        <v>0</v>
      </c>
      <c r="AN469" s="4">
        <v>0</v>
      </c>
      <c r="AO469" s="4">
        <v>0</v>
      </c>
      <c r="AP469" s="3" t="s">
        <v>58</v>
      </c>
      <c r="AQ469" s="3" t="s">
        <v>69</v>
      </c>
      <c r="AR469" s="6" t="str">
        <f>HYPERLINK("http://catalog.hathitrust.org/Record/000135406","HathiTrust Record")</f>
        <v>HathiTrust Record</v>
      </c>
      <c r="AS469" s="6" t="str">
        <f>HYPERLINK("https://creighton-primo.hosted.exlibrisgroup.com/primo-explore/search?tab=default_tab&amp;search_scope=EVERYTHING&amp;vid=01CRU&amp;lang=en_US&amp;offset=0&amp;query=any,contains,991000977269702656","Catalog Record")</f>
        <v>Catalog Record</v>
      </c>
      <c r="AT469" s="6" t="str">
        <f>HYPERLINK("http://www.worldcat.org/oclc/3844173","WorldCat Record")</f>
        <v>WorldCat Record</v>
      </c>
    </row>
    <row r="470" spans="1:46" ht="40.5" customHeight="1" x14ac:dyDescent="0.25">
      <c r="A470" s="8" t="s">
        <v>58</v>
      </c>
      <c r="B470" s="2" t="s">
        <v>3613</v>
      </c>
      <c r="C470" s="2" t="s">
        <v>3614</v>
      </c>
      <c r="D470" s="2" t="s">
        <v>3615</v>
      </c>
      <c r="F470" s="3" t="s">
        <v>58</v>
      </c>
      <c r="G470" s="3" t="s">
        <v>59</v>
      </c>
      <c r="H470" s="3" t="s">
        <v>58</v>
      </c>
      <c r="I470" s="3" t="s">
        <v>58</v>
      </c>
      <c r="J470" s="3" t="s">
        <v>60</v>
      </c>
      <c r="L470" s="2" t="s">
        <v>3616</v>
      </c>
      <c r="M470" s="3" t="s">
        <v>1703</v>
      </c>
      <c r="O470" s="3" t="s">
        <v>64</v>
      </c>
      <c r="P470" s="3" t="s">
        <v>1234</v>
      </c>
      <c r="R470" s="3" t="s">
        <v>1907</v>
      </c>
      <c r="S470" s="4">
        <v>1</v>
      </c>
      <c r="T470" s="4">
        <v>1</v>
      </c>
      <c r="U470" s="5" t="s">
        <v>3218</v>
      </c>
      <c r="V470" s="5" t="s">
        <v>3218</v>
      </c>
      <c r="W470" s="5" t="s">
        <v>3617</v>
      </c>
      <c r="X470" s="5" t="s">
        <v>3617</v>
      </c>
      <c r="Y470" s="4">
        <v>116</v>
      </c>
      <c r="Z470" s="4">
        <v>60</v>
      </c>
      <c r="AA470" s="4">
        <v>166</v>
      </c>
      <c r="AB470" s="4">
        <v>1</v>
      </c>
      <c r="AC470" s="4">
        <v>2</v>
      </c>
      <c r="AD470" s="4">
        <v>1</v>
      </c>
      <c r="AE470" s="4">
        <v>4</v>
      </c>
      <c r="AF470" s="4">
        <v>1</v>
      </c>
      <c r="AG470" s="4">
        <v>2</v>
      </c>
      <c r="AH470" s="4">
        <v>0</v>
      </c>
      <c r="AI470" s="4">
        <v>0</v>
      </c>
      <c r="AJ470" s="4">
        <v>0</v>
      </c>
      <c r="AK470" s="4">
        <v>1</v>
      </c>
      <c r="AL470" s="4">
        <v>0</v>
      </c>
      <c r="AM470" s="4">
        <v>1</v>
      </c>
      <c r="AN470" s="4">
        <v>0</v>
      </c>
      <c r="AO470" s="4">
        <v>0</v>
      </c>
      <c r="AP470" s="3" t="s">
        <v>58</v>
      </c>
      <c r="AQ470" s="3" t="s">
        <v>69</v>
      </c>
      <c r="AR470" s="6" t="str">
        <f>HYPERLINK("http://catalog.hathitrust.org/Record/004376900","HathiTrust Record")</f>
        <v>HathiTrust Record</v>
      </c>
      <c r="AS470" s="6" t="str">
        <f>HYPERLINK("https://creighton-primo.hosted.exlibrisgroup.com/primo-explore/search?tab=default_tab&amp;search_scope=EVERYTHING&amp;vid=01CRU&amp;lang=en_US&amp;offset=0&amp;query=any,contains,991000433789702656","Catalog Record")</f>
        <v>Catalog Record</v>
      </c>
      <c r="AT470" s="6" t="str">
        <f>HYPERLINK("http://www.worldcat.org/oclc/52746661","WorldCat Record")</f>
        <v>WorldCat Record</v>
      </c>
    </row>
    <row r="471" spans="1:46" ht="40.5" customHeight="1" x14ac:dyDescent="0.25">
      <c r="A471" s="8" t="s">
        <v>58</v>
      </c>
      <c r="B471" s="2" t="s">
        <v>3618</v>
      </c>
      <c r="C471" s="2" t="s">
        <v>3619</v>
      </c>
      <c r="D471" s="2" t="s">
        <v>3620</v>
      </c>
      <c r="F471" s="3" t="s">
        <v>58</v>
      </c>
      <c r="G471" s="3" t="s">
        <v>59</v>
      </c>
      <c r="H471" s="3" t="s">
        <v>58</v>
      </c>
      <c r="I471" s="3" t="s">
        <v>69</v>
      </c>
      <c r="J471" s="3" t="s">
        <v>59</v>
      </c>
      <c r="L471" s="2" t="s">
        <v>3621</v>
      </c>
      <c r="M471" s="3" t="s">
        <v>201</v>
      </c>
      <c r="N471" s="2" t="s">
        <v>1606</v>
      </c>
      <c r="O471" s="3" t="s">
        <v>64</v>
      </c>
      <c r="P471" s="3" t="s">
        <v>97</v>
      </c>
      <c r="R471" s="3" t="s">
        <v>1907</v>
      </c>
      <c r="S471" s="4">
        <v>6</v>
      </c>
      <c r="T471" s="4">
        <v>6</v>
      </c>
      <c r="U471" s="5" t="s">
        <v>3622</v>
      </c>
      <c r="V471" s="5" t="s">
        <v>3622</v>
      </c>
      <c r="W471" s="5" t="s">
        <v>3623</v>
      </c>
      <c r="X471" s="5" t="s">
        <v>3623</v>
      </c>
      <c r="Y471" s="4">
        <v>269</v>
      </c>
      <c r="Z471" s="4">
        <v>202</v>
      </c>
      <c r="AA471" s="4">
        <v>673</v>
      </c>
      <c r="AB471" s="4">
        <v>1</v>
      </c>
      <c r="AC471" s="4">
        <v>3</v>
      </c>
      <c r="AD471" s="4">
        <v>4</v>
      </c>
      <c r="AE471" s="4">
        <v>18</v>
      </c>
      <c r="AF471" s="4">
        <v>2</v>
      </c>
      <c r="AG471" s="4">
        <v>6</v>
      </c>
      <c r="AH471" s="4">
        <v>2</v>
      </c>
      <c r="AI471" s="4">
        <v>3</v>
      </c>
      <c r="AJ471" s="4">
        <v>0</v>
      </c>
      <c r="AK471" s="4">
        <v>8</v>
      </c>
      <c r="AL471" s="4">
        <v>0</v>
      </c>
      <c r="AM471" s="4">
        <v>2</v>
      </c>
      <c r="AN471" s="4">
        <v>0</v>
      </c>
      <c r="AO471" s="4">
        <v>0</v>
      </c>
      <c r="AP471" s="3" t="s">
        <v>58</v>
      </c>
      <c r="AQ471" s="3" t="s">
        <v>58</v>
      </c>
      <c r="AS471" s="6" t="str">
        <f>HYPERLINK("https://creighton-primo.hosted.exlibrisgroup.com/primo-explore/search?tab=default_tab&amp;search_scope=EVERYTHING&amp;vid=01CRU&amp;lang=en_US&amp;offset=0&amp;query=any,contains,991000595609702656","Catalog Record")</f>
        <v>Catalog Record</v>
      </c>
      <c r="AT471" s="6" t="str">
        <f>HYPERLINK("http://www.worldcat.org/oclc/40075804","WorldCat Record")</f>
        <v>WorldCat Record</v>
      </c>
    </row>
    <row r="472" spans="1:46" ht="40.5" customHeight="1" x14ac:dyDescent="0.25">
      <c r="A472" s="8" t="s">
        <v>58</v>
      </c>
      <c r="B472" s="2" t="s">
        <v>3624</v>
      </c>
      <c r="C472" s="2" t="s">
        <v>3625</v>
      </c>
      <c r="D472" s="2" t="s">
        <v>3626</v>
      </c>
      <c r="F472" s="3" t="s">
        <v>58</v>
      </c>
      <c r="G472" s="3" t="s">
        <v>59</v>
      </c>
      <c r="H472" s="3" t="s">
        <v>58</v>
      </c>
      <c r="I472" s="3" t="s">
        <v>69</v>
      </c>
      <c r="J472" s="3" t="s">
        <v>59</v>
      </c>
      <c r="L472" s="2" t="s">
        <v>3627</v>
      </c>
      <c r="M472" s="3" t="s">
        <v>1703</v>
      </c>
      <c r="N472" s="2" t="s">
        <v>1759</v>
      </c>
      <c r="O472" s="3" t="s">
        <v>64</v>
      </c>
      <c r="P472" s="3" t="s">
        <v>97</v>
      </c>
      <c r="R472" s="3" t="s">
        <v>1907</v>
      </c>
      <c r="S472" s="4">
        <v>4</v>
      </c>
      <c r="T472" s="4">
        <v>4</v>
      </c>
      <c r="U472" s="5" t="s">
        <v>3218</v>
      </c>
      <c r="V472" s="5" t="s">
        <v>3218</v>
      </c>
      <c r="W472" s="5" t="s">
        <v>3628</v>
      </c>
      <c r="X472" s="5" t="s">
        <v>3628</v>
      </c>
      <c r="Y472" s="4">
        <v>275</v>
      </c>
      <c r="Z472" s="4">
        <v>202</v>
      </c>
      <c r="AA472" s="4">
        <v>673</v>
      </c>
      <c r="AB472" s="4">
        <v>1</v>
      </c>
      <c r="AC472" s="4">
        <v>3</v>
      </c>
      <c r="AD472" s="4">
        <v>8</v>
      </c>
      <c r="AE472" s="4">
        <v>18</v>
      </c>
      <c r="AF472" s="4">
        <v>3</v>
      </c>
      <c r="AG472" s="4">
        <v>6</v>
      </c>
      <c r="AH472" s="4">
        <v>2</v>
      </c>
      <c r="AI472" s="4">
        <v>3</v>
      </c>
      <c r="AJ472" s="4">
        <v>4</v>
      </c>
      <c r="AK472" s="4">
        <v>8</v>
      </c>
      <c r="AL472" s="4">
        <v>0</v>
      </c>
      <c r="AM472" s="4">
        <v>2</v>
      </c>
      <c r="AN472" s="4">
        <v>0</v>
      </c>
      <c r="AO472" s="4">
        <v>0</v>
      </c>
      <c r="AP472" s="3" t="s">
        <v>58</v>
      </c>
      <c r="AQ472" s="3" t="s">
        <v>58</v>
      </c>
      <c r="AS472" s="6" t="str">
        <f>HYPERLINK("https://creighton-primo.hosted.exlibrisgroup.com/primo-explore/search?tab=default_tab&amp;search_scope=EVERYTHING&amp;vid=01CRU&amp;lang=en_US&amp;offset=0&amp;query=any,contains,991000363459702656","Catalog Record")</f>
        <v>Catalog Record</v>
      </c>
      <c r="AT472" s="6" t="str">
        <f>HYPERLINK("http://www.worldcat.org/oclc/51811284","WorldCat Record")</f>
        <v>WorldCat Record</v>
      </c>
    </row>
    <row r="473" spans="1:46" ht="40.5" customHeight="1" x14ac:dyDescent="0.25">
      <c r="A473" s="8" t="s">
        <v>58</v>
      </c>
      <c r="B473" s="2" t="s">
        <v>3629</v>
      </c>
      <c r="C473" s="2" t="s">
        <v>3630</v>
      </c>
      <c r="D473" s="2" t="s">
        <v>3631</v>
      </c>
      <c r="E473" s="3" t="s">
        <v>1947</v>
      </c>
      <c r="F473" s="3" t="s">
        <v>69</v>
      </c>
      <c r="G473" s="3" t="s">
        <v>59</v>
      </c>
      <c r="H473" s="3" t="s">
        <v>58</v>
      </c>
      <c r="I473" s="3" t="s">
        <v>58</v>
      </c>
      <c r="J473" s="3" t="s">
        <v>60</v>
      </c>
      <c r="K473" s="2" t="s">
        <v>3632</v>
      </c>
      <c r="L473" s="2" t="s">
        <v>3633</v>
      </c>
      <c r="M473" s="3" t="s">
        <v>343</v>
      </c>
      <c r="O473" s="3" t="s">
        <v>64</v>
      </c>
      <c r="P473" s="3" t="s">
        <v>2191</v>
      </c>
      <c r="R473" s="3" t="s">
        <v>1907</v>
      </c>
      <c r="S473" s="4">
        <v>2</v>
      </c>
      <c r="T473" s="4">
        <v>4</v>
      </c>
      <c r="U473" s="5" t="s">
        <v>2637</v>
      </c>
      <c r="V473" s="5" t="s">
        <v>3634</v>
      </c>
      <c r="W473" s="5" t="s">
        <v>3271</v>
      </c>
      <c r="X473" s="5" t="s">
        <v>3271</v>
      </c>
      <c r="Y473" s="4">
        <v>64</v>
      </c>
      <c r="Z473" s="4">
        <v>52</v>
      </c>
      <c r="AA473" s="4">
        <v>53</v>
      </c>
      <c r="AB473" s="4">
        <v>2</v>
      </c>
      <c r="AC473" s="4">
        <v>2</v>
      </c>
      <c r="AD473" s="4">
        <v>2</v>
      </c>
      <c r="AE473" s="4">
        <v>2</v>
      </c>
      <c r="AF473" s="4">
        <v>0</v>
      </c>
      <c r="AG473" s="4">
        <v>0</v>
      </c>
      <c r="AH473" s="4">
        <v>1</v>
      </c>
      <c r="AI473" s="4">
        <v>1</v>
      </c>
      <c r="AJ473" s="4">
        <v>1</v>
      </c>
      <c r="AK473" s="4">
        <v>1</v>
      </c>
      <c r="AL473" s="4">
        <v>1</v>
      </c>
      <c r="AM473" s="4">
        <v>1</v>
      </c>
      <c r="AN473" s="4">
        <v>0</v>
      </c>
      <c r="AO473" s="4">
        <v>0</v>
      </c>
      <c r="AP473" s="3" t="s">
        <v>58</v>
      </c>
      <c r="AQ473" s="3" t="s">
        <v>69</v>
      </c>
      <c r="AR473" s="6" t="str">
        <f>HYPERLINK("http://catalog.hathitrust.org/Record/000261507","HathiTrust Record")</f>
        <v>HathiTrust Record</v>
      </c>
      <c r="AS473" s="6" t="str">
        <f>HYPERLINK("https://creighton-primo.hosted.exlibrisgroup.com/primo-explore/search?tab=default_tab&amp;search_scope=EVERYTHING&amp;vid=01CRU&amp;lang=en_US&amp;offset=0&amp;query=any,contains,991000977329702656","Catalog Record")</f>
        <v>Catalog Record</v>
      </c>
      <c r="AT473" s="6" t="str">
        <f>HYPERLINK("http://www.worldcat.org/oclc/2360443","WorldCat Record")</f>
        <v>WorldCat Record</v>
      </c>
    </row>
    <row r="474" spans="1:46" ht="40.5" customHeight="1" x14ac:dyDescent="0.25">
      <c r="A474" s="8" t="s">
        <v>58</v>
      </c>
      <c r="B474" s="2" t="s">
        <v>3629</v>
      </c>
      <c r="C474" s="2" t="s">
        <v>3630</v>
      </c>
      <c r="D474" s="2" t="s">
        <v>3631</v>
      </c>
      <c r="E474" s="3" t="s">
        <v>1952</v>
      </c>
      <c r="F474" s="3" t="s">
        <v>69</v>
      </c>
      <c r="G474" s="3" t="s">
        <v>59</v>
      </c>
      <c r="H474" s="3" t="s">
        <v>58</v>
      </c>
      <c r="I474" s="3" t="s">
        <v>58</v>
      </c>
      <c r="J474" s="3" t="s">
        <v>60</v>
      </c>
      <c r="K474" s="2" t="s">
        <v>3632</v>
      </c>
      <c r="L474" s="2" t="s">
        <v>3633</v>
      </c>
      <c r="M474" s="3" t="s">
        <v>343</v>
      </c>
      <c r="O474" s="3" t="s">
        <v>64</v>
      </c>
      <c r="P474" s="3" t="s">
        <v>2191</v>
      </c>
      <c r="R474" s="3" t="s">
        <v>1907</v>
      </c>
      <c r="S474" s="4">
        <v>2</v>
      </c>
      <c r="T474" s="4">
        <v>4</v>
      </c>
      <c r="U474" s="5" t="s">
        <v>3634</v>
      </c>
      <c r="V474" s="5" t="s">
        <v>3634</v>
      </c>
      <c r="W474" s="5" t="s">
        <v>3271</v>
      </c>
      <c r="X474" s="5" t="s">
        <v>3271</v>
      </c>
      <c r="Y474" s="4">
        <v>64</v>
      </c>
      <c r="Z474" s="4">
        <v>52</v>
      </c>
      <c r="AA474" s="4">
        <v>53</v>
      </c>
      <c r="AB474" s="4">
        <v>2</v>
      </c>
      <c r="AC474" s="4">
        <v>2</v>
      </c>
      <c r="AD474" s="4">
        <v>2</v>
      </c>
      <c r="AE474" s="4">
        <v>2</v>
      </c>
      <c r="AF474" s="4">
        <v>0</v>
      </c>
      <c r="AG474" s="4">
        <v>0</v>
      </c>
      <c r="AH474" s="4">
        <v>1</v>
      </c>
      <c r="AI474" s="4">
        <v>1</v>
      </c>
      <c r="AJ474" s="4">
        <v>1</v>
      </c>
      <c r="AK474" s="4">
        <v>1</v>
      </c>
      <c r="AL474" s="4">
        <v>1</v>
      </c>
      <c r="AM474" s="4">
        <v>1</v>
      </c>
      <c r="AN474" s="4">
        <v>0</v>
      </c>
      <c r="AO474" s="4">
        <v>0</v>
      </c>
      <c r="AP474" s="3" t="s">
        <v>58</v>
      </c>
      <c r="AQ474" s="3" t="s">
        <v>69</v>
      </c>
      <c r="AR474" s="6" t="str">
        <f>HYPERLINK("http://catalog.hathitrust.org/Record/000261507","HathiTrust Record")</f>
        <v>HathiTrust Record</v>
      </c>
      <c r="AS474" s="6" t="str">
        <f>HYPERLINK("https://creighton-primo.hosted.exlibrisgroup.com/primo-explore/search?tab=default_tab&amp;search_scope=EVERYTHING&amp;vid=01CRU&amp;lang=en_US&amp;offset=0&amp;query=any,contains,991000977329702656","Catalog Record")</f>
        <v>Catalog Record</v>
      </c>
      <c r="AT474" s="6" t="str">
        <f>HYPERLINK("http://www.worldcat.org/oclc/2360443","WorldCat Record")</f>
        <v>WorldCat Record</v>
      </c>
    </row>
    <row r="475" spans="1:46" ht="40.5" customHeight="1" x14ac:dyDescent="0.25">
      <c r="A475" s="8" t="s">
        <v>58</v>
      </c>
      <c r="B475" s="2" t="s">
        <v>3635</v>
      </c>
      <c r="C475" s="2" t="s">
        <v>3636</v>
      </c>
      <c r="D475" s="2" t="s">
        <v>3637</v>
      </c>
      <c r="F475" s="3" t="s">
        <v>58</v>
      </c>
      <c r="G475" s="3" t="s">
        <v>59</v>
      </c>
      <c r="H475" s="3" t="s">
        <v>58</v>
      </c>
      <c r="I475" s="3" t="s">
        <v>58</v>
      </c>
      <c r="J475" s="3" t="s">
        <v>60</v>
      </c>
      <c r="L475" s="2" t="s">
        <v>3638</v>
      </c>
      <c r="M475" s="3" t="s">
        <v>1758</v>
      </c>
      <c r="O475" s="3" t="s">
        <v>64</v>
      </c>
      <c r="P475" s="3" t="s">
        <v>83</v>
      </c>
      <c r="Q475" s="2" t="s">
        <v>3639</v>
      </c>
      <c r="R475" s="3" t="s">
        <v>1907</v>
      </c>
      <c r="S475" s="4">
        <v>3</v>
      </c>
      <c r="T475" s="4">
        <v>3</v>
      </c>
      <c r="U475" s="5" t="s">
        <v>3640</v>
      </c>
      <c r="V475" s="5" t="s">
        <v>3640</v>
      </c>
      <c r="W475" s="5" t="s">
        <v>3641</v>
      </c>
      <c r="X475" s="5" t="s">
        <v>3641</v>
      </c>
      <c r="Y475" s="4">
        <v>100</v>
      </c>
      <c r="Z475" s="4">
        <v>70</v>
      </c>
      <c r="AA475" s="4">
        <v>105</v>
      </c>
      <c r="AB475" s="4">
        <v>1</v>
      </c>
      <c r="AC475" s="4">
        <v>1</v>
      </c>
      <c r="AD475" s="4">
        <v>3</v>
      </c>
      <c r="AE475" s="4">
        <v>3</v>
      </c>
      <c r="AF475" s="4">
        <v>0</v>
      </c>
      <c r="AG475" s="4">
        <v>0</v>
      </c>
      <c r="AH475" s="4">
        <v>1</v>
      </c>
      <c r="AI475" s="4">
        <v>1</v>
      </c>
      <c r="AJ475" s="4">
        <v>2</v>
      </c>
      <c r="AK475" s="4">
        <v>2</v>
      </c>
      <c r="AL475" s="4">
        <v>0</v>
      </c>
      <c r="AM475" s="4">
        <v>0</v>
      </c>
      <c r="AN475" s="4">
        <v>0</v>
      </c>
      <c r="AO475" s="4">
        <v>0</v>
      </c>
      <c r="AP475" s="3" t="s">
        <v>58</v>
      </c>
      <c r="AQ475" s="3" t="s">
        <v>58</v>
      </c>
      <c r="AS475" s="6" t="str">
        <f>HYPERLINK("https://creighton-primo.hosted.exlibrisgroup.com/primo-explore/search?tab=default_tab&amp;search_scope=EVERYTHING&amp;vid=01CRU&amp;lang=en_US&amp;offset=0&amp;query=any,contains,991000350629702656","Catalog Record")</f>
        <v>Catalog Record</v>
      </c>
      <c r="AT475" s="6" t="str">
        <f>HYPERLINK("http://www.worldcat.org/oclc/48958620","WorldCat Record")</f>
        <v>WorldCat Record</v>
      </c>
    </row>
    <row r="476" spans="1:46" ht="40.5" customHeight="1" x14ac:dyDescent="0.25">
      <c r="A476" s="8" t="s">
        <v>58</v>
      </c>
      <c r="B476" s="2" t="s">
        <v>3642</v>
      </c>
      <c r="C476" s="2" t="s">
        <v>3643</v>
      </c>
      <c r="D476" s="2" t="s">
        <v>3644</v>
      </c>
      <c r="F476" s="3" t="s">
        <v>58</v>
      </c>
      <c r="G476" s="3" t="s">
        <v>59</v>
      </c>
      <c r="H476" s="3" t="s">
        <v>58</v>
      </c>
      <c r="I476" s="3" t="s">
        <v>58</v>
      </c>
      <c r="J476" s="3" t="s">
        <v>60</v>
      </c>
      <c r="L476" s="2" t="s">
        <v>2170</v>
      </c>
      <c r="M476" s="3" t="s">
        <v>126</v>
      </c>
      <c r="O476" s="3" t="s">
        <v>64</v>
      </c>
      <c r="P476" s="3" t="s">
        <v>113</v>
      </c>
      <c r="Q476" s="2" t="s">
        <v>3645</v>
      </c>
      <c r="R476" s="3" t="s">
        <v>1907</v>
      </c>
      <c r="S476" s="4">
        <v>2</v>
      </c>
      <c r="T476" s="4">
        <v>2</v>
      </c>
      <c r="U476" s="5" t="s">
        <v>542</v>
      </c>
      <c r="V476" s="5" t="s">
        <v>542</v>
      </c>
      <c r="W476" s="5" t="s">
        <v>3646</v>
      </c>
      <c r="X476" s="5" t="s">
        <v>3646</v>
      </c>
      <c r="Y476" s="4">
        <v>115</v>
      </c>
      <c r="Z476" s="4">
        <v>72</v>
      </c>
      <c r="AA476" s="4">
        <v>77</v>
      </c>
      <c r="AB476" s="4">
        <v>1</v>
      </c>
      <c r="AC476" s="4">
        <v>1</v>
      </c>
      <c r="AD476" s="4">
        <v>3</v>
      </c>
      <c r="AE476" s="4">
        <v>3</v>
      </c>
      <c r="AF476" s="4">
        <v>0</v>
      </c>
      <c r="AG476" s="4">
        <v>0</v>
      </c>
      <c r="AH476" s="4">
        <v>2</v>
      </c>
      <c r="AI476" s="4">
        <v>2</v>
      </c>
      <c r="AJ476" s="4">
        <v>1</v>
      </c>
      <c r="AK476" s="4">
        <v>1</v>
      </c>
      <c r="AL476" s="4">
        <v>0</v>
      </c>
      <c r="AM476" s="4">
        <v>0</v>
      </c>
      <c r="AN476" s="4">
        <v>0</v>
      </c>
      <c r="AO476" s="4">
        <v>0</v>
      </c>
      <c r="AP476" s="3" t="s">
        <v>58</v>
      </c>
      <c r="AQ476" s="3" t="s">
        <v>69</v>
      </c>
      <c r="AR476" s="6" t="str">
        <f>HYPERLINK("http://catalog.hathitrust.org/Record/002914602","HathiTrust Record")</f>
        <v>HathiTrust Record</v>
      </c>
      <c r="AS476" s="6" t="str">
        <f>HYPERLINK("https://creighton-primo.hosted.exlibrisgroup.com/primo-explore/search?tab=default_tab&amp;search_scope=EVERYTHING&amp;vid=01CRU&amp;lang=en_US&amp;offset=0&amp;query=any,contains,991001396509702656","Catalog Record")</f>
        <v>Catalog Record</v>
      </c>
      <c r="AT476" s="6" t="str">
        <f>HYPERLINK("http://www.worldcat.org/oclc/31249362","WorldCat Record")</f>
        <v>WorldCat Record</v>
      </c>
    </row>
    <row r="477" spans="1:46" ht="40.5" customHeight="1" x14ac:dyDescent="0.25">
      <c r="A477" s="8" t="s">
        <v>58</v>
      </c>
      <c r="B477" s="2" t="s">
        <v>3647</v>
      </c>
      <c r="C477" s="2" t="s">
        <v>3648</v>
      </c>
      <c r="D477" s="2" t="s">
        <v>3649</v>
      </c>
      <c r="F477" s="3" t="s">
        <v>58</v>
      </c>
      <c r="G477" s="3" t="s">
        <v>59</v>
      </c>
      <c r="H477" s="3" t="s">
        <v>58</v>
      </c>
      <c r="I477" s="3" t="s">
        <v>69</v>
      </c>
      <c r="J477" s="3" t="s">
        <v>60</v>
      </c>
      <c r="L477" s="2" t="s">
        <v>3650</v>
      </c>
      <c r="M477" s="3" t="s">
        <v>258</v>
      </c>
      <c r="N477" s="2" t="s">
        <v>271</v>
      </c>
      <c r="O477" s="3" t="s">
        <v>64</v>
      </c>
      <c r="P477" s="3" t="s">
        <v>113</v>
      </c>
      <c r="R477" s="3" t="s">
        <v>1907</v>
      </c>
      <c r="S477" s="4">
        <v>17</v>
      </c>
      <c r="T477" s="4">
        <v>17</v>
      </c>
      <c r="U477" s="5" t="s">
        <v>3651</v>
      </c>
      <c r="V477" s="5" t="s">
        <v>3651</v>
      </c>
      <c r="W477" s="5" t="s">
        <v>3080</v>
      </c>
      <c r="X477" s="5" t="s">
        <v>3080</v>
      </c>
      <c r="Y477" s="4">
        <v>100</v>
      </c>
      <c r="Z477" s="4">
        <v>43</v>
      </c>
      <c r="AA477" s="4">
        <v>127</v>
      </c>
      <c r="AB477" s="4">
        <v>1</v>
      </c>
      <c r="AC477" s="4">
        <v>1</v>
      </c>
      <c r="AD477" s="4">
        <v>1</v>
      </c>
      <c r="AE477" s="4">
        <v>2</v>
      </c>
      <c r="AF477" s="4">
        <v>1</v>
      </c>
      <c r="AG477" s="4">
        <v>1</v>
      </c>
      <c r="AH477" s="4">
        <v>0</v>
      </c>
      <c r="AI477" s="4">
        <v>0</v>
      </c>
      <c r="AJ477" s="4">
        <v>0</v>
      </c>
      <c r="AK477" s="4">
        <v>1</v>
      </c>
      <c r="AL477" s="4">
        <v>0</v>
      </c>
      <c r="AM477" s="4">
        <v>0</v>
      </c>
      <c r="AN477" s="4">
        <v>0</v>
      </c>
      <c r="AO477" s="4">
        <v>0</v>
      </c>
      <c r="AP477" s="3" t="s">
        <v>58</v>
      </c>
      <c r="AQ477" s="3" t="s">
        <v>58</v>
      </c>
      <c r="AS477" s="6" t="str">
        <f>HYPERLINK("https://creighton-primo.hosted.exlibrisgroup.com/primo-explore/search?tab=default_tab&amp;search_scope=EVERYTHING&amp;vid=01CRU&amp;lang=en_US&amp;offset=0&amp;query=any,contains,991001385359702656","Catalog Record")</f>
        <v>Catalog Record</v>
      </c>
      <c r="AT477" s="6" t="str">
        <f>HYPERLINK("http://www.worldcat.org/oclc/20897091","WorldCat Record")</f>
        <v>WorldCat Record</v>
      </c>
    </row>
    <row r="478" spans="1:46" ht="40.5" customHeight="1" x14ac:dyDescent="0.25">
      <c r="A478" s="8" t="s">
        <v>58</v>
      </c>
      <c r="B478" s="2" t="s">
        <v>3652</v>
      </c>
      <c r="C478" s="2" t="s">
        <v>3653</v>
      </c>
      <c r="D478" s="2" t="s">
        <v>3654</v>
      </c>
      <c r="F478" s="3" t="s">
        <v>58</v>
      </c>
      <c r="G478" s="3" t="s">
        <v>59</v>
      </c>
      <c r="H478" s="3" t="s">
        <v>58</v>
      </c>
      <c r="I478" s="3" t="s">
        <v>69</v>
      </c>
      <c r="J478" s="3" t="s">
        <v>60</v>
      </c>
      <c r="L478" s="2" t="s">
        <v>3655</v>
      </c>
      <c r="M478" s="3" t="s">
        <v>126</v>
      </c>
      <c r="N478" s="2" t="s">
        <v>1606</v>
      </c>
      <c r="O478" s="3" t="s">
        <v>64</v>
      </c>
      <c r="P478" s="3" t="s">
        <v>113</v>
      </c>
      <c r="R478" s="3" t="s">
        <v>1907</v>
      </c>
      <c r="S478" s="4">
        <v>13</v>
      </c>
      <c r="T478" s="4">
        <v>13</v>
      </c>
      <c r="U478" s="5" t="s">
        <v>3656</v>
      </c>
      <c r="V478" s="5" t="s">
        <v>3656</v>
      </c>
      <c r="W478" s="5" t="s">
        <v>3657</v>
      </c>
      <c r="X478" s="5" t="s">
        <v>3657</v>
      </c>
      <c r="Y478" s="4">
        <v>127</v>
      </c>
      <c r="Z478" s="4">
        <v>64</v>
      </c>
      <c r="AA478" s="4">
        <v>127</v>
      </c>
      <c r="AB478" s="4">
        <v>1</v>
      </c>
      <c r="AC478" s="4">
        <v>1</v>
      </c>
      <c r="AD478" s="4">
        <v>0</v>
      </c>
      <c r="AE478" s="4">
        <v>2</v>
      </c>
      <c r="AF478" s="4">
        <v>0</v>
      </c>
      <c r="AG478" s="4">
        <v>1</v>
      </c>
      <c r="AH478" s="4">
        <v>0</v>
      </c>
      <c r="AI478" s="4">
        <v>0</v>
      </c>
      <c r="AJ478" s="4">
        <v>0</v>
      </c>
      <c r="AK478" s="4">
        <v>1</v>
      </c>
      <c r="AL478" s="4">
        <v>0</v>
      </c>
      <c r="AM478" s="4">
        <v>0</v>
      </c>
      <c r="AN478" s="4">
        <v>0</v>
      </c>
      <c r="AO478" s="4">
        <v>0</v>
      </c>
      <c r="AP478" s="3" t="s">
        <v>58</v>
      </c>
      <c r="AQ478" s="3" t="s">
        <v>58</v>
      </c>
      <c r="AS478" s="6" t="str">
        <f>HYPERLINK("https://creighton-primo.hosted.exlibrisgroup.com/primo-explore/search?tab=default_tab&amp;search_scope=EVERYTHING&amp;vid=01CRU&amp;lang=en_US&amp;offset=0&amp;query=any,contains,991001195049702656","Catalog Record")</f>
        <v>Catalog Record</v>
      </c>
      <c r="AT478" s="6" t="str">
        <f>HYPERLINK("http://www.worldcat.org/oclc/27978556","WorldCat Record")</f>
        <v>WorldCat Record</v>
      </c>
    </row>
  </sheetData>
  <sheetProtection sheet="1" objects="1" scenarios="1"/>
  <protectedRanges>
    <protectedRange sqref="A1:A1048576" name="Range1"/>
  </protectedRanges>
  <dataValidations count="1">
    <dataValidation type="list" allowBlank="1" showInputMessage="1" showErrorMessage="1" sqref="A2:A1048576" xr:uid="{7C3E347A-6C2D-483D-94F0-2AA80928985D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12F4E758-B6AA-471A-B363-2EA87A902B8A}"/>
</file>

<file path=customXml/itemProps2.xml><?xml version="1.0" encoding="utf-8"?>
<ds:datastoreItem xmlns:ds="http://schemas.openxmlformats.org/officeDocument/2006/customXml" ds:itemID="{6D4C7A12-4EBC-4582-8664-346149C6BB3B}"/>
</file>

<file path=customXml/itemProps3.xml><?xml version="1.0" encoding="utf-8"?>
<ds:datastoreItem xmlns:ds="http://schemas.openxmlformats.org/officeDocument/2006/customXml" ds:itemID="{35F6B504-AAA5-4EB0-A1CD-AA89FC058E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2022-03-03T17:13:46Z</dcterms:created>
  <dcterms:modified xsi:type="dcterms:W3CDTF">2022-03-03T17:18:08Z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291300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