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09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128.xml" ContentType="application/vnd.ms-excel.contro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5" documentId="8_{5BE10165-B2EF-4661-9BAA-574FB9F60A0B}" xr6:coauthVersionLast="47" xr6:coauthVersionMax="47" xr10:uidLastSave="{E59DF856-0AFE-49BF-8B5D-86D419A84ACA}"/>
  <bookViews>
    <workbookView minimized="1" xWindow="-25125" yWindow="3675" windowWidth="21600" windowHeight="11385" xr2:uid="{37E11BEE-5BE6-4EB6-981D-643C8E565EA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141" i="1" l="1"/>
  <c r="AU141" i="1"/>
  <c r="AT141" i="1"/>
  <c r="AV140" i="1"/>
  <c r="AU140" i="1"/>
  <c r="AT140" i="1"/>
  <c r="AV139" i="1"/>
  <c r="AU139" i="1"/>
  <c r="AT139" i="1"/>
  <c r="AV138" i="1"/>
  <c r="AU138" i="1"/>
  <c r="AT138" i="1"/>
  <c r="AV137" i="1"/>
  <c r="AU137" i="1"/>
  <c r="AT137" i="1"/>
  <c r="AV136" i="1"/>
  <c r="AU136" i="1"/>
  <c r="AV135" i="1"/>
  <c r="AU135" i="1"/>
  <c r="AT135" i="1"/>
  <c r="AV134" i="1"/>
  <c r="AU134" i="1"/>
  <c r="AT134" i="1"/>
  <c r="AV133" i="1"/>
  <c r="AU133" i="1"/>
  <c r="AT133" i="1"/>
  <c r="AV132" i="1"/>
  <c r="AU132" i="1"/>
  <c r="AT132" i="1"/>
  <c r="AV131" i="1"/>
  <c r="AU131" i="1"/>
  <c r="AV130" i="1"/>
  <c r="AU130" i="1"/>
  <c r="AT130" i="1"/>
  <c r="AV129" i="1"/>
  <c r="AU129" i="1"/>
  <c r="AV128" i="1"/>
  <c r="AU128" i="1"/>
  <c r="AV127" i="1"/>
  <c r="AU127" i="1"/>
  <c r="AV126" i="1"/>
  <c r="AU126" i="1"/>
  <c r="AV125" i="1"/>
  <c r="AU125" i="1"/>
  <c r="AV124" i="1"/>
  <c r="AU124" i="1"/>
  <c r="AT124" i="1"/>
  <c r="AV123" i="1"/>
  <c r="AU123" i="1"/>
  <c r="AT123" i="1"/>
  <c r="AV122" i="1"/>
  <c r="AU122" i="1"/>
  <c r="AT122" i="1"/>
  <c r="AV121" i="1"/>
  <c r="AU121" i="1"/>
  <c r="AV120" i="1"/>
  <c r="AU120" i="1"/>
  <c r="AT120" i="1"/>
  <c r="AV119" i="1"/>
  <c r="AU119" i="1"/>
  <c r="AT119" i="1"/>
  <c r="AV118" i="1"/>
  <c r="AU118" i="1"/>
  <c r="AT118" i="1"/>
  <c r="AV117" i="1"/>
  <c r="AU117" i="1"/>
  <c r="AV116" i="1"/>
  <c r="AU116" i="1"/>
  <c r="AT116" i="1"/>
  <c r="AV115" i="1"/>
  <c r="AU115" i="1"/>
  <c r="AV114" i="1"/>
  <c r="AU114" i="1"/>
  <c r="AT114" i="1"/>
  <c r="AV113" i="1"/>
  <c r="AU113" i="1"/>
  <c r="AV112" i="1"/>
  <c r="AU112" i="1"/>
  <c r="AT112" i="1"/>
  <c r="AV111" i="1"/>
  <c r="AU111" i="1"/>
  <c r="AV110" i="1"/>
  <c r="AU110" i="1"/>
  <c r="AT110" i="1"/>
  <c r="AV109" i="1"/>
  <c r="AU109" i="1"/>
  <c r="AT109" i="1"/>
  <c r="AV108" i="1"/>
  <c r="AU108" i="1"/>
  <c r="AT108" i="1"/>
  <c r="AV107" i="1"/>
  <c r="AU107" i="1"/>
  <c r="AV106" i="1"/>
  <c r="AU106" i="1"/>
  <c r="AT106" i="1"/>
  <c r="AV105" i="1"/>
  <c r="AU105" i="1"/>
  <c r="AV104" i="1"/>
  <c r="AU104" i="1"/>
  <c r="AV103" i="1"/>
  <c r="AU103" i="1"/>
  <c r="AT103" i="1"/>
  <c r="AV102" i="1"/>
  <c r="AU102" i="1"/>
  <c r="AV101" i="1"/>
  <c r="AU101" i="1"/>
  <c r="AT101" i="1"/>
  <c r="AV100" i="1"/>
  <c r="AU100" i="1"/>
  <c r="AT100" i="1"/>
  <c r="AV99" i="1"/>
  <c r="AU99" i="1"/>
  <c r="AT99" i="1"/>
  <c r="AV98" i="1"/>
  <c r="AU98" i="1"/>
  <c r="AT98" i="1"/>
  <c r="AV97" i="1"/>
  <c r="AU97" i="1"/>
  <c r="AT97" i="1"/>
  <c r="AV96" i="1"/>
  <c r="AU96" i="1"/>
  <c r="AT96" i="1"/>
  <c r="AV95" i="1"/>
  <c r="AU95" i="1"/>
  <c r="AT95" i="1"/>
  <c r="AV94" i="1"/>
  <c r="AU94" i="1"/>
  <c r="AT94" i="1"/>
  <c r="AV93" i="1"/>
  <c r="AU93" i="1"/>
  <c r="AV92" i="1"/>
  <c r="AU92" i="1"/>
  <c r="AT92" i="1"/>
  <c r="AV91" i="1"/>
  <c r="AU91" i="1"/>
  <c r="AT91" i="1"/>
  <c r="AV90" i="1"/>
  <c r="AU90" i="1"/>
  <c r="AT90" i="1"/>
  <c r="AV89" i="1"/>
  <c r="AU89" i="1"/>
  <c r="AV88" i="1"/>
  <c r="AU88" i="1"/>
  <c r="AT88" i="1"/>
  <c r="AV87" i="1"/>
  <c r="AU87" i="1"/>
  <c r="AT87" i="1"/>
  <c r="AV86" i="1"/>
  <c r="AU86" i="1"/>
  <c r="AV85" i="1"/>
  <c r="AU85" i="1"/>
  <c r="AT85" i="1"/>
  <c r="AV84" i="1"/>
  <c r="AU84" i="1"/>
  <c r="AT84" i="1"/>
  <c r="AV83" i="1"/>
  <c r="AU83" i="1"/>
  <c r="AT83" i="1"/>
  <c r="AV82" i="1"/>
  <c r="AU82" i="1"/>
  <c r="AT82" i="1"/>
  <c r="AV81" i="1"/>
  <c r="AU81" i="1"/>
  <c r="AT81" i="1"/>
  <c r="AV80" i="1"/>
  <c r="AU80" i="1"/>
  <c r="AT80" i="1"/>
  <c r="AV79" i="1"/>
  <c r="AU79" i="1"/>
  <c r="AT79" i="1"/>
  <c r="AV78" i="1"/>
  <c r="AU78" i="1"/>
  <c r="AT78" i="1"/>
  <c r="AV77" i="1"/>
  <c r="AU77" i="1"/>
  <c r="AT77" i="1"/>
  <c r="AV76" i="1"/>
  <c r="AU76" i="1"/>
  <c r="AT76" i="1"/>
  <c r="AV75" i="1"/>
  <c r="AU75" i="1"/>
  <c r="AV74" i="1"/>
  <c r="AU74" i="1"/>
  <c r="AT74" i="1"/>
  <c r="AV73" i="1"/>
  <c r="AU73" i="1"/>
  <c r="AV72" i="1"/>
  <c r="AU72" i="1"/>
  <c r="AT72" i="1"/>
  <c r="AV71" i="1"/>
  <c r="AU71" i="1"/>
  <c r="AT71" i="1"/>
  <c r="AV70" i="1"/>
  <c r="AU70" i="1"/>
  <c r="AT70" i="1"/>
  <c r="AV69" i="1"/>
  <c r="AU69" i="1"/>
  <c r="AV68" i="1"/>
  <c r="AU68" i="1"/>
  <c r="AT68" i="1"/>
  <c r="AV67" i="1"/>
  <c r="AU67" i="1"/>
  <c r="AT67" i="1"/>
  <c r="AV66" i="1"/>
  <c r="AU66" i="1"/>
  <c r="AT66" i="1"/>
  <c r="AV65" i="1"/>
  <c r="AU65" i="1"/>
  <c r="AV64" i="1"/>
  <c r="AU64" i="1"/>
  <c r="AV63" i="1"/>
  <c r="AU63" i="1"/>
  <c r="AV62" i="1"/>
  <c r="AU62" i="1"/>
  <c r="AT62" i="1"/>
  <c r="AV61" i="1"/>
  <c r="AU61" i="1"/>
  <c r="AV60" i="1"/>
  <c r="AU60" i="1"/>
  <c r="AT60" i="1"/>
  <c r="AV59" i="1"/>
  <c r="AU59" i="1"/>
  <c r="AT59" i="1"/>
  <c r="AV58" i="1"/>
  <c r="AU58" i="1"/>
  <c r="AT58" i="1"/>
  <c r="AV57" i="1"/>
  <c r="AU57" i="1"/>
  <c r="AV56" i="1"/>
  <c r="AU56" i="1"/>
  <c r="AV55" i="1"/>
  <c r="AU55" i="1"/>
  <c r="AV54" i="1"/>
  <c r="AU54" i="1"/>
  <c r="AT54" i="1"/>
  <c r="AV53" i="1"/>
  <c r="AU53" i="1"/>
  <c r="AT53" i="1"/>
  <c r="AV52" i="1"/>
  <c r="AU52" i="1"/>
  <c r="AV51" i="1"/>
  <c r="AU51" i="1"/>
  <c r="AV50" i="1"/>
  <c r="AU50" i="1"/>
  <c r="AT50" i="1"/>
  <c r="AV49" i="1"/>
  <c r="AU49" i="1"/>
  <c r="AT49" i="1"/>
  <c r="AV48" i="1"/>
  <c r="AU48" i="1"/>
  <c r="AV47" i="1"/>
  <c r="AU47" i="1"/>
  <c r="AT47" i="1"/>
  <c r="AV46" i="1"/>
  <c r="AU46" i="1"/>
  <c r="AV45" i="1"/>
  <c r="AU45" i="1"/>
  <c r="AV44" i="1"/>
  <c r="AU44" i="1"/>
  <c r="AV43" i="1"/>
  <c r="AU43" i="1"/>
  <c r="AT43" i="1"/>
  <c r="AV42" i="1"/>
  <c r="AU42" i="1"/>
  <c r="AT42" i="1"/>
  <c r="AV41" i="1"/>
  <c r="AU41" i="1"/>
  <c r="AV40" i="1"/>
  <c r="AU40" i="1"/>
  <c r="AV39" i="1"/>
  <c r="AU39" i="1"/>
  <c r="AT39" i="1"/>
  <c r="AV38" i="1"/>
  <c r="AU38" i="1"/>
  <c r="AT38" i="1"/>
  <c r="AV37" i="1"/>
  <c r="AU37" i="1"/>
  <c r="AT37" i="1"/>
  <c r="AV36" i="1"/>
  <c r="AU36" i="1"/>
  <c r="AV35" i="1"/>
  <c r="AU35" i="1"/>
  <c r="AV34" i="1"/>
  <c r="AU34" i="1"/>
  <c r="AV33" i="1"/>
  <c r="AU33" i="1"/>
  <c r="AT33" i="1"/>
  <c r="AV32" i="1"/>
  <c r="AU32" i="1"/>
  <c r="AV31" i="1"/>
  <c r="AU31" i="1"/>
  <c r="AV30" i="1"/>
  <c r="AU30" i="1"/>
  <c r="AT30" i="1"/>
  <c r="AV29" i="1"/>
  <c r="AU29" i="1"/>
  <c r="AV28" i="1"/>
  <c r="AU28" i="1"/>
  <c r="AT28" i="1"/>
  <c r="AV27" i="1"/>
  <c r="AU27" i="1"/>
  <c r="AV26" i="1"/>
  <c r="AU26" i="1"/>
  <c r="AT26" i="1"/>
  <c r="AV25" i="1"/>
  <c r="AU25" i="1"/>
  <c r="AT25" i="1"/>
  <c r="AV24" i="1"/>
  <c r="AU24" i="1"/>
  <c r="AT24" i="1"/>
  <c r="AV23" i="1"/>
  <c r="AU23" i="1"/>
  <c r="AV22" i="1"/>
  <c r="AU22" i="1"/>
  <c r="AT22" i="1"/>
  <c r="AV21" i="1"/>
  <c r="AU21" i="1"/>
  <c r="AT21" i="1"/>
  <c r="AV20" i="1"/>
  <c r="AU20" i="1"/>
  <c r="AV19" i="1"/>
  <c r="AU19" i="1"/>
  <c r="AT19" i="1"/>
  <c r="AV18" i="1"/>
  <c r="AU18" i="1"/>
  <c r="AT18" i="1"/>
  <c r="AV17" i="1"/>
  <c r="AU17" i="1"/>
  <c r="AT17" i="1"/>
  <c r="AV16" i="1"/>
  <c r="AU16" i="1"/>
  <c r="AV15" i="1"/>
  <c r="AU15" i="1"/>
  <c r="AT15" i="1"/>
  <c r="AV14" i="1"/>
  <c r="AU14" i="1"/>
  <c r="AT14" i="1"/>
  <c r="AV13" i="1"/>
  <c r="AU13" i="1"/>
  <c r="AT13" i="1"/>
  <c r="AV12" i="1"/>
  <c r="AU12" i="1"/>
  <c r="AT12" i="1"/>
  <c r="AV11" i="1"/>
  <c r="AU11" i="1"/>
  <c r="AT11" i="1"/>
  <c r="AV10" i="1"/>
  <c r="AU10" i="1"/>
  <c r="AV9" i="1"/>
  <c r="AU9" i="1"/>
  <c r="AV8" i="1"/>
  <c r="AU8" i="1"/>
  <c r="AT8" i="1"/>
  <c r="AV7" i="1"/>
  <c r="AU7" i="1"/>
  <c r="AT7" i="1"/>
  <c r="AV6" i="1"/>
  <c r="AU6" i="1"/>
  <c r="AV5" i="1"/>
  <c r="AU5" i="1"/>
  <c r="AT5" i="1"/>
  <c r="AV4" i="1"/>
  <c r="AU4" i="1"/>
  <c r="AT4" i="1"/>
  <c r="AV3" i="1"/>
  <c r="AU3" i="1"/>
  <c r="AT3" i="1"/>
  <c r="AV2" i="1"/>
  <c r="AU2" i="1"/>
  <c r="AT2" i="1"/>
</calcChain>
</file>

<file path=xl/sharedStrings.xml><?xml version="1.0" encoding="utf-8"?>
<sst xmlns="http://schemas.openxmlformats.org/spreadsheetml/2006/main" count="4409" uniqueCount="1905">
  <si>
    <t>Keep in Collection?</t>
  </si>
  <si>
    <t>Collection Code</t>
  </si>
  <si>
    <t>Location Code</t>
  </si>
  <si>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</si>
  <si>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</si>
  <si>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</si>
  <si>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</si>
  <si>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</si>
  <si>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</si>
  <si>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</si>
  <si>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</si>
  <si>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</si>
  <si>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</si>
  <si>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</si>
  <si>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</si>
  <si>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</si>
  <si>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</si>
  <si>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</si>
  <si>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</si>
  <si>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</si>
  <si>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</si>
  <si>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</si>
  <si>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</si>
  <si>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</si>
  <si>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</si>
  <si>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</si>
  <si>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</si>
  <si>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</si>
  <si>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 xml:space="preserve">US Holdings 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</si>
  <si>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</si>
  <si>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</si>
  <si>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</si>
  <si>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</si>
  <si>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</si>
  <si>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</si>
  <si>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</si>
  <si>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</si>
  <si>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</si>
  <si>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</si>
  <si>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</si>
  <si>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</si>
  <si>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</si>
  <si>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</si>
  <si>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</si>
  <si>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</si>
  <si>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</si>
  <si>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</si>
  <si>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</si>
  <si>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</si>
  <si>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</si>
  <si>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</si>
  <si>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</si>
  <si>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</si>
  <si>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</si>
  <si>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</si>
  <si>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</si>
  <si>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</si>
  <si>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</si>
  <si>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CURAL</t>
  </si>
  <si>
    <t>SHELVES</t>
  </si>
  <si>
    <t>QR100 .I57 1983</t>
  </si>
  <si>
    <t>0                      QR 0100000I  57          1983</t>
  </si>
  <si>
    <t>Current perspectives in microbial ecology : proceedings of the Third International Symposium on Microbial Ecology, Michigan State University, 7-12 August 1983 / edited by M.J. Klug, C.A. Reddy.</t>
  </si>
  <si>
    <t>No</t>
  </si>
  <si>
    <t>1</t>
  </si>
  <si>
    <t>0</t>
  </si>
  <si>
    <t>International Symposium on Microbial Ecology (3rd : 1983 : Michigan State University)</t>
  </si>
  <si>
    <t>Washington, D.C. : American Society for Microbiology, 1984.</t>
  </si>
  <si>
    <t>1984</t>
  </si>
  <si>
    <t>eng</t>
  </si>
  <si>
    <t>dcu</t>
  </si>
  <si>
    <t xml:space="preserve">QR </t>
  </si>
  <si>
    <t>2004-03-20</t>
  </si>
  <si>
    <t>1993-03-04</t>
  </si>
  <si>
    <t>Yes</t>
  </si>
  <si>
    <t>993507544:eng</t>
  </si>
  <si>
    <t>10404466</t>
  </si>
  <si>
    <t>991000367829702656</t>
  </si>
  <si>
    <t>2270111270002656</t>
  </si>
  <si>
    <t>BOOK</t>
  </si>
  <si>
    <t>9780914826606</t>
  </si>
  <si>
    <t>32285001563864</t>
  </si>
  <si>
    <t>893784158</t>
  </si>
  <si>
    <t>QR100 .M515</t>
  </si>
  <si>
    <t>0                      QR 0100000M  515</t>
  </si>
  <si>
    <t>Microbial ecology : a conceptual approach / edited by J. M. Lynch and N. J. Poole.</t>
  </si>
  <si>
    <t>New York : Wiley, 1979.</t>
  </si>
  <si>
    <t>1979</t>
  </si>
  <si>
    <t>nyu</t>
  </si>
  <si>
    <t>2004-02-24</t>
  </si>
  <si>
    <t>797309291:eng</t>
  </si>
  <si>
    <t>4194124</t>
  </si>
  <si>
    <t>991004605149702656</t>
  </si>
  <si>
    <t>2262347080002656</t>
  </si>
  <si>
    <t>9780470265321</t>
  </si>
  <si>
    <t>32285001563872</t>
  </si>
  <si>
    <t>893263341</t>
  </si>
  <si>
    <t>QR100 .M52</t>
  </si>
  <si>
    <t>0                      QR 0100000M  52</t>
  </si>
  <si>
    <t>Microbial interaction with the physical environment / edited by D. W. Thayer.</t>
  </si>
  <si>
    <t>Stroudsburg, Pa. : Dowden, Hutchinson &amp; Ross ; New York : distributed by Halsted Press, [1975]</t>
  </si>
  <si>
    <t>1975</t>
  </si>
  <si>
    <t>pau</t>
  </si>
  <si>
    <t>Benchmark papers in microbiology ; 9</t>
  </si>
  <si>
    <t>2006-04-10</t>
  </si>
  <si>
    <t>1997-08-07</t>
  </si>
  <si>
    <t>2392563:eng</t>
  </si>
  <si>
    <t>1529428</t>
  </si>
  <si>
    <t>991003803999702656</t>
  </si>
  <si>
    <t>2256779860002656</t>
  </si>
  <si>
    <t>9780470858424</t>
  </si>
  <si>
    <t>32285003081907</t>
  </si>
  <si>
    <t>893875212</t>
  </si>
  <si>
    <t>QR100 .M54</t>
  </si>
  <si>
    <t>0                      QR 0100000M  54</t>
  </si>
  <si>
    <t>Microbial life in extreme environments / edited by D. J. Kushner. --</t>
  </si>
  <si>
    <t>London ; New York : Academic Press, 1978.</t>
  </si>
  <si>
    <t>1978</t>
  </si>
  <si>
    <t>enk</t>
  </si>
  <si>
    <t>14613311:eng</t>
  </si>
  <si>
    <t>4295286</t>
  </si>
  <si>
    <t>991004621029702656</t>
  </si>
  <si>
    <t>2271861090002656</t>
  </si>
  <si>
    <t>9780124302501</t>
  </si>
  <si>
    <t>32285001563880</t>
  </si>
  <si>
    <t>893325571</t>
  </si>
  <si>
    <t>QR100.9 .P67 1994</t>
  </si>
  <si>
    <t>0                      QR 0100900P  67          1994</t>
  </si>
  <si>
    <t>The outer reaches of life / John Postgate.</t>
  </si>
  <si>
    <t>Postgate, J. R. (John Raymond)</t>
  </si>
  <si>
    <t>Cambridge [England] ; New York, NY, USA : Cambridge University Press, 1994.</t>
  </si>
  <si>
    <t>1994</t>
  </si>
  <si>
    <t>1st ed.</t>
  </si>
  <si>
    <t>2003-02-27</t>
  </si>
  <si>
    <t>1995-01-23</t>
  </si>
  <si>
    <t>9950388:eng</t>
  </si>
  <si>
    <t>28424370</t>
  </si>
  <si>
    <t>991002211389702656</t>
  </si>
  <si>
    <t>2268176260002656</t>
  </si>
  <si>
    <t>9780521440103</t>
  </si>
  <si>
    <t>32285001994622</t>
  </si>
  <si>
    <t>893804355</t>
  </si>
  <si>
    <t>QR101 .A37</t>
  </si>
  <si>
    <t>0                      QR 0101000A  37</t>
  </si>
  <si>
    <t>Aerobiology : the ecological systems approach / edited by Robert L. Edmonds.</t>
  </si>
  <si>
    <t>Stroudsburg, Pa. : Dowden, Hutchinson &amp; Ross ; [New York] : distributed world wide by Academic Press, c1979.</t>
  </si>
  <si>
    <t>US/IBP synthesis series ; v. 10</t>
  </si>
  <si>
    <t>2001-01-05</t>
  </si>
  <si>
    <t>14764255:eng</t>
  </si>
  <si>
    <t>4493278</t>
  </si>
  <si>
    <t>991004649399702656</t>
  </si>
  <si>
    <t>2260853230002656</t>
  </si>
  <si>
    <t>9780879333461</t>
  </si>
  <si>
    <t>32285001563898</t>
  </si>
  <si>
    <t>893889004</t>
  </si>
  <si>
    <t>QR101 .G7 1973</t>
  </si>
  <si>
    <t>0                      QR 0101000G  7           1973</t>
  </si>
  <si>
    <t>The microbiology of the atmosphere [by] P. H. Gregory.</t>
  </si>
  <si>
    <t>Gregory, Philip Herries.</t>
  </si>
  <si>
    <t>New York, Wiley [1973]</t>
  </si>
  <si>
    <t>1973</t>
  </si>
  <si>
    <t>2d ed.</t>
  </si>
  <si>
    <t>A Plant science monograph</t>
  </si>
  <si>
    <t>1997-09-28</t>
  </si>
  <si>
    <t>1601540:eng</t>
  </si>
  <si>
    <t>631880</t>
  </si>
  <si>
    <t>991003078909702656</t>
  </si>
  <si>
    <t>2263102890002656</t>
  </si>
  <si>
    <t>9780471326717</t>
  </si>
  <si>
    <t>32285003081915</t>
  </si>
  <si>
    <t>893252007</t>
  </si>
  <si>
    <t>QR103 .F46 1998</t>
  </si>
  <si>
    <t>0                      QR 0103000F  46          1998</t>
  </si>
  <si>
    <t>Bacterial biogeochemistry : the ecophysiology of mineral cycling / T. Fenchel, G.M. King, and T.H. Blackburn.</t>
  </si>
  <si>
    <t>Fenchel, Tom.</t>
  </si>
  <si>
    <t>San Diego : Academic Press, c1998.</t>
  </si>
  <si>
    <t>1998</t>
  </si>
  <si>
    <t>cau</t>
  </si>
  <si>
    <t>2002-12-03</t>
  </si>
  <si>
    <t>792821495:eng</t>
  </si>
  <si>
    <t>37843846</t>
  </si>
  <si>
    <t>991003930359702656</t>
  </si>
  <si>
    <t>2263709890002656</t>
  </si>
  <si>
    <t>9780121034559</t>
  </si>
  <si>
    <t>32285004666342</t>
  </si>
  <si>
    <t>893894371</t>
  </si>
  <si>
    <t>QR105 .A73 1993</t>
  </si>
  <si>
    <t>0                      QR 0105000A  73          1993</t>
  </si>
  <si>
    <t>Aquatic microbiology : an ecological approach / edited by Timothy Edgcumbe Ford.</t>
  </si>
  <si>
    <t>Boston : Blackwell Scientific Publications, 1993.</t>
  </si>
  <si>
    <t>1993</t>
  </si>
  <si>
    <t>mau</t>
  </si>
  <si>
    <t>2006-02-07</t>
  </si>
  <si>
    <t>1994-05-26</t>
  </si>
  <si>
    <t>794193924:eng</t>
  </si>
  <si>
    <t>25915881</t>
  </si>
  <si>
    <t>991002035189702656</t>
  </si>
  <si>
    <t>2271684900002656</t>
  </si>
  <si>
    <t>9780086542250</t>
  </si>
  <si>
    <t>32285001899128</t>
  </si>
  <si>
    <t>893497647</t>
  </si>
  <si>
    <t>QR105 .S676 1999</t>
  </si>
  <si>
    <t>0                      QR 0105000S  676         1999</t>
  </si>
  <si>
    <t>Aquatic microbial ecology : a textbook for students in environmental sciences / Yuri I. Sorokin.</t>
  </si>
  <si>
    <t>Sorokin, I͡U. I.</t>
  </si>
  <si>
    <t>Leiden : Backhuys, 1999.</t>
  </si>
  <si>
    <t>1999</t>
  </si>
  <si>
    <t xml:space="preserve">ne </t>
  </si>
  <si>
    <t>2000-01-13</t>
  </si>
  <si>
    <t>365739920:eng</t>
  </si>
  <si>
    <t>41652213</t>
  </si>
  <si>
    <t>991003035579702656</t>
  </si>
  <si>
    <t>2259589790002656</t>
  </si>
  <si>
    <t>9789057820274</t>
  </si>
  <si>
    <t>32285003642047</t>
  </si>
  <si>
    <t>893799318</t>
  </si>
  <si>
    <t>QR106 .M53 2000</t>
  </si>
  <si>
    <t>0                      QR 0106000M  53          2000</t>
  </si>
  <si>
    <t>Microbial ecology of the oceans / edited by David L. Kirchman.</t>
  </si>
  <si>
    <t>New York : Wiley, c2000.</t>
  </si>
  <si>
    <t>2000</t>
  </si>
  <si>
    <t>Wiley series in ecological and applied microbiology</t>
  </si>
  <si>
    <t>2004-03-17</t>
  </si>
  <si>
    <t>1044576242:eng</t>
  </si>
  <si>
    <t>42397355</t>
  </si>
  <si>
    <t>991003930419702656</t>
  </si>
  <si>
    <t>2268032700002656</t>
  </si>
  <si>
    <t>9780471299929</t>
  </si>
  <si>
    <t>32285004667035</t>
  </si>
  <si>
    <t>893429455</t>
  </si>
  <si>
    <t>QR106 .S94 1978</t>
  </si>
  <si>
    <t>0                      QR 0106000S  94          1978</t>
  </si>
  <si>
    <t>Methodology for biomass determinations and microbial activities in sediments : a symposium / sponsored by ASTM Committee D19 on Water, American Society for Testing and Materials, Ft. Lauderdale, Fla., 30-31 Jan. 1978 ; C. D. Litchfield and P. L. Seyfried, editors.</t>
  </si>
  <si>
    <t>Symposium on Methodology for Biomass Determinations and Microbial Activities in Sediments (1978 : Fort Lauderdale, Fla.)</t>
  </si>
  <si>
    <t>Philadelphia : ASTM, c1979.</t>
  </si>
  <si>
    <t>ASTM special technical publication ; 673</t>
  </si>
  <si>
    <t>2002-10-12</t>
  </si>
  <si>
    <t>308073656:eng</t>
  </si>
  <si>
    <t>5989550</t>
  </si>
  <si>
    <t>991004909989702656</t>
  </si>
  <si>
    <t>2268329300002656</t>
  </si>
  <si>
    <t>32285001563914</t>
  </si>
  <si>
    <t>893532914</t>
  </si>
  <si>
    <t>QR111 .R49 1987</t>
  </si>
  <si>
    <t>0                      QR 0111000R  49          1987</t>
  </si>
  <si>
    <t>The microbiology of terrestrial ecosystems / B.N. Richards.</t>
  </si>
  <si>
    <t>Richards, B. N., 1928-</t>
  </si>
  <si>
    <t>Essex, England : Longman Scientific &amp; Technical ; New York : Wiley, 1987.</t>
  </si>
  <si>
    <t>1987</t>
  </si>
  <si>
    <t>2004-10-09</t>
  </si>
  <si>
    <t>1993-03-05</t>
  </si>
  <si>
    <t>6876668:eng</t>
  </si>
  <si>
    <t>13358617</t>
  </si>
  <si>
    <t>991000816519702656</t>
  </si>
  <si>
    <t>2267803840002656</t>
  </si>
  <si>
    <t>9780582450226</t>
  </si>
  <si>
    <t>32285001563930</t>
  </si>
  <si>
    <t>893595914</t>
  </si>
  <si>
    <t>QR111 .S672 1989</t>
  </si>
  <si>
    <t>0                      QR 0111000S  672         1989</t>
  </si>
  <si>
    <t>Soil microbiology and biochemistry / E.A. Paul, F.E. Clark.</t>
  </si>
  <si>
    <t>Paul, Eldor Alvin.</t>
  </si>
  <si>
    <t>San Diego : Academic Press, c1989.</t>
  </si>
  <si>
    <t>1989</t>
  </si>
  <si>
    <t>766941887:eng</t>
  </si>
  <si>
    <t>18589466</t>
  </si>
  <si>
    <t>991001373599702656</t>
  </si>
  <si>
    <t>2264311630002656</t>
  </si>
  <si>
    <t>9780125468053</t>
  </si>
  <si>
    <t>32285001563922</t>
  </si>
  <si>
    <t>893522526</t>
  </si>
  <si>
    <t>QR111 .S672 1996</t>
  </si>
  <si>
    <t>0                      QR 0111000S  672         1996</t>
  </si>
  <si>
    <t>Soil microbiology and biochemistry / [edited by] E.A. Paul, F.E. Clark.</t>
  </si>
  <si>
    <t>San Diego : Academic Press, c1996.</t>
  </si>
  <si>
    <t>1996</t>
  </si>
  <si>
    <t>2nd ed.</t>
  </si>
  <si>
    <t>2004-10-15</t>
  </si>
  <si>
    <t>1997-09-09</t>
  </si>
  <si>
    <t>34473520</t>
  </si>
  <si>
    <t>991002629009702656</t>
  </si>
  <si>
    <t>2263036150002656</t>
  </si>
  <si>
    <t>9780125468060</t>
  </si>
  <si>
    <t>32285003004610</t>
  </si>
  <si>
    <t>893409342</t>
  </si>
  <si>
    <t>QR111 .T28 1995</t>
  </si>
  <si>
    <t>0                      QR 0111000T  28          1995</t>
  </si>
  <si>
    <t>Soil microbiology / Robert L. Tate III.</t>
  </si>
  <si>
    <t>Tate, Robert L., 1944-</t>
  </si>
  <si>
    <t>New York : Wiley, c1995.</t>
  </si>
  <si>
    <t>1995</t>
  </si>
  <si>
    <t>2008-04-18</t>
  </si>
  <si>
    <t>1996-05-22</t>
  </si>
  <si>
    <t>3943719439:eng</t>
  </si>
  <si>
    <t>30701100</t>
  </si>
  <si>
    <t>991002360559702656</t>
  </si>
  <si>
    <t>2264075640002656</t>
  </si>
  <si>
    <t>9780471578680</t>
  </si>
  <si>
    <t>32285002177011</t>
  </si>
  <si>
    <t>893886167</t>
  </si>
  <si>
    <t>QR121 .H19 1948</t>
  </si>
  <si>
    <t>0                      QR 0121000H  19          1948</t>
  </si>
  <si>
    <t>Dairy bacteriology.</t>
  </si>
  <si>
    <t>Hammer, Bernard W. (Bernard Wernick), 1886-1966.</t>
  </si>
  <si>
    <t>New York, J. Wiley, 1948.</t>
  </si>
  <si>
    <t>1948</t>
  </si>
  <si>
    <t>3d ed.</t>
  </si>
  <si>
    <t>2002-05-04</t>
  </si>
  <si>
    <t>3943385879:eng</t>
  </si>
  <si>
    <t>1561297</t>
  </si>
  <si>
    <t>991003822029702656</t>
  </si>
  <si>
    <t>2261863500002656</t>
  </si>
  <si>
    <t>32285003081931</t>
  </si>
  <si>
    <t>893875234</t>
  </si>
  <si>
    <t>QR180 .D48 1968</t>
  </si>
  <si>
    <t>0                      QR 0180000D  48          1968</t>
  </si>
  <si>
    <t>Cellular recognition / editors: Richard T. Smith [and] Robert A. Good.</t>
  </si>
  <si>
    <t>Developmental Immunology Workshop (4th : 1968 : Sanibel Island, Fla.)</t>
  </si>
  <si>
    <t>New York : Appleton-Century-Crofts, [1969]</t>
  </si>
  <si>
    <t>1969</t>
  </si>
  <si>
    <t>2007-02-19</t>
  </si>
  <si>
    <t>1994-06-10</t>
  </si>
  <si>
    <t>364602532:eng</t>
  </si>
  <si>
    <t>28360</t>
  </si>
  <si>
    <t>991005264509702656</t>
  </si>
  <si>
    <t>2264918330002656</t>
  </si>
  <si>
    <t>9780390818607</t>
  </si>
  <si>
    <t>32285001928646</t>
  </si>
  <si>
    <t>893889941</t>
  </si>
  <si>
    <t>QR181 .A35</t>
  </si>
  <si>
    <t>0                      QR 0181000A  35</t>
  </si>
  <si>
    <t>Immunology and development, edited by Matteo Adinolfi. Pref. by John Humphrey.</t>
  </si>
  <si>
    <t>Adinolfi, Matteo.</t>
  </si>
  <si>
    <t>London, Spastics International Medical Publications in association with W. Heinemann Medical Books [1969]</t>
  </si>
  <si>
    <t>Clinics in development medicine no. 34</t>
  </si>
  <si>
    <t>2000-10-06</t>
  </si>
  <si>
    <t>346945228:eng</t>
  </si>
  <si>
    <t>204389</t>
  </si>
  <si>
    <t>991001785789702656</t>
  </si>
  <si>
    <t>2255461960002656</t>
  </si>
  <si>
    <t>9780433001102</t>
  </si>
  <si>
    <t>32285003081972</t>
  </si>
  <si>
    <t>893250508</t>
  </si>
  <si>
    <t>QR181 .B95</t>
  </si>
  <si>
    <t>0                      QR 0181000B  95</t>
  </si>
  <si>
    <t>The integrity of the body; a discussion of modern immunological ideas.</t>
  </si>
  <si>
    <t>Burnet, F. M. (Frank Macfarlane), Sir, 1899-1985.</t>
  </si>
  <si>
    <t>Cambridge, Harvard University Press, 1962.</t>
  </si>
  <si>
    <t>1962</t>
  </si>
  <si>
    <t>Harvard books in biology, v. 3</t>
  </si>
  <si>
    <t>2007-02-23</t>
  </si>
  <si>
    <t>1102107246:eng</t>
  </si>
  <si>
    <t>326252</t>
  </si>
  <si>
    <t>991001779929702656</t>
  </si>
  <si>
    <t>2272198670002656</t>
  </si>
  <si>
    <t>32285003081980</t>
  </si>
  <si>
    <t>893703319</t>
  </si>
  <si>
    <t>QR181 .C8</t>
  </si>
  <si>
    <t>0                      QR 0181000C  8</t>
  </si>
  <si>
    <t>Principles of immunology / John E. Cushing [and] Dan H. Campbell.</t>
  </si>
  <si>
    <t>Cushing, John Eldridge, 1916-</t>
  </si>
  <si>
    <t>New York : McGraw-Hill, 1957.</t>
  </si>
  <si>
    <t>1957</t>
  </si>
  <si>
    <t>1995-11-22</t>
  </si>
  <si>
    <t>1993-11-16</t>
  </si>
  <si>
    <t>1633007:eng</t>
  </si>
  <si>
    <t>560310</t>
  </si>
  <si>
    <t>991002990409702656</t>
  </si>
  <si>
    <t>2256706610002656</t>
  </si>
  <si>
    <t>32285001798676</t>
  </si>
  <si>
    <t>893440794</t>
  </si>
  <si>
    <t>QR181 .D38 1989</t>
  </si>
  <si>
    <t>0                      QR 0181000D  38          1989</t>
  </si>
  <si>
    <t>Immunology : a foundation text / Basiro Davey.</t>
  </si>
  <si>
    <t>Davey, Basiro.</t>
  </si>
  <si>
    <t>Milton Keynes ; Philadelphia : Open University Press, 1989.</t>
  </si>
  <si>
    <t>2008-05-12</t>
  </si>
  <si>
    <t>1990-01-25</t>
  </si>
  <si>
    <t>4241285641:eng</t>
  </si>
  <si>
    <t>20416680</t>
  </si>
  <si>
    <t>991001573009702656</t>
  </si>
  <si>
    <t>2260295840002656</t>
  </si>
  <si>
    <t>9780335092581</t>
  </si>
  <si>
    <t>32285000035435</t>
  </si>
  <si>
    <t>893244215</t>
  </si>
  <si>
    <t>QR181 .G7</t>
  </si>
  <si>
    <t>0                      QR 0181000G  7</t>
  </si>
  <si>
    <t>Immunology : an outline of basic principles, problems, and theories concerning the immunological behaviour of man and animals / [by] David F. Gray.</t>
  </si>
  <si>
    <t>Gray, David F.</t>
  </si>
  <si>
    <t>New York : American Elsevier Pub. Co., [1964]</t>
  </si>
  <si>
    <t>1964</t>
  </si>
  <si>
    <t>2008-08-13</t>
  </si>
  <si>
    <t>1187297:eng</t>
  </si>
  <si>
    <t>3190507</t>
  </si>
  <si>
    <t>991004371059702656</t>
  </si>
  <si>
    <t>2258144150002656</t>
  </si>
  <si>
    <t>32285001798668</t>
  </si>
  <si>
    <t>893319133</t>
  </si>
  <si>
    <t>QR181 .H47</t>
  </si>
  <si>
    <t>0                      QR 0181000H  47</t>
  </si>
  <si>
    <t>Immunity in natural infectious disease, by F. d'Herelle.</t>
  </si>
  <si>
    <t>D'Herelle, Félix.</t>
  </si>
  <si>
    <t>Baltimore, Williams &amp; Wilkins Company, 1924.</t>
  </si>
  <si>
    <t>1924</t>
  </si>
  <si>
    <t>Authorized English ed. by George H. Smith.</t>
  </si>
  <si>
    <t>mdu</t>
  </si>
  <si>
    <t>2006-04-15</t>
  </si>
  <si>
    <t>146231381:eng</t>
  </si>
  <si>
    <t>586303</t>
  </si>
  <si>
    <t>991003021479702656</t>
  </si>
  <si>
    <t>2269046500002656</t>
  </si>
  <si>
    <t>32285003082004</t>
  </si>
  <si>
    <t>893530774</t>
  </si>
  <si>
    <t>QR181 .J37 1996</t>
  </si>
  <si>
    <t>0                      QR 0181000J  37          1996</t>
  </si>
  <si>
    <t>Immunobiology : the immune system in health and disease / Charles A. Janeway, Jr., Paul Travers.</t>
  </si>
  <si>
    <t>Janeway, Charles.</t>
  </si>
  <si>
    <t>London ; San Francisco : Current Biology ; New York : Garland Pub., c1996.</t>
  </si>
  <si>
    <t>2007-02-25</t>
  </si>
  <si>
    <t>1997-01-30</t>
  </si>
  <si>
    <t>836987839:eng</t>
  </si>
  <si>
    <t>33819665</t>
  </si>
  <si>
    <t>991005254889702656</t>
  </si>
  <si>
    <t>2272707760002656</t>
  </si>
  <si>
    <t>9780443056581</t>
  </si>
  <si>
    <t>32285002412863</t>
  </si>
  <si>
    <t>893877206</t>
  </si>
  <si>
    <t>QR181 .T36 1994</t>
  </si>
  <si>
    <t>0                      QR 0181000T  36          1994</t>
  </si>
  <si>
    <t>The immune self : theory or metaphor? / Alfred I. Tauber.</t>
  </si>
  <si>
    <t>Tauber, Alfred I.</t>
  </si>
  <si>
    <t>Cambridge ; New York : Cambridge University Press, 1994.</t>
  </si>
  <si>
    <t>Cambridge studies in philosophy and biology</t>
  </si>
  <si>
    <t>1996-02-22</t>
  </si>
  <si>
    <t>1995-06-20</t>
  </si>
  <si>
    <t>556829:eng</t>
  </si>
  <si>
    <t>29846160</t>
  </si>
  <si>
    <t>991002300609702656</t>
  </si>
  <si>
    <t>2265976260002656</t>
  </si>
  <si>
    <t>9780521461887</t>
  </si>
  <si>
    <t>32285002051992</t>
  </si>
  <si>
    <t>893335141</t>
  </si>
  <si>
    <t>QR181 .V27 1958</t>
  </si>
  <si>
    <t>0                      QR 0181000V  27          1958</t>
  </si>
  <si>
    <t>Immunity and virus infection; symposium held at Vanderbilt University School of Medicine, May 1-2, 1958 [and] sponsored by National Foundation for Infantile Paralysis, inc. Edited by Victor A. Najjar.</t>
  </si>
  <si>
    <t>Vanderbilt University. School of Medicine.</t>
  </si>
  <si>
    <t>New York, Wiley [1959]</t>
  </si>
  <si>
    <t>1959</t>
  </si>
  <si>
    <t>1997-10-06</t>
  </si>
  <si>
    <t>8343609:eng</t>
  </si>
  <si>
    <t>563440</t>
  </si>
  <si>
    <t>991005264519702656</t>
  </si>
  <si>
    <t>2255732550002656</t>
  </si>
  <si>
    <t>32285003082046</t>
  </si>
  <si>
    <t>893594745</t>
  </si>
  <si>
    <t>QR181.7 .K46 1998</t>
  </si>
  <si>
    <t>0                      QR 0181700K  46          1998</t>
  </si>
  <si>
    <t>Dying to live : how our bodies fight disease / Marion Kendall.</t>
  </si>
  <si>
    <t>Kendall, Marion D.</t>
  </si>
  <si>
    <t>Cambridge, U.K. ; New York : Cambridge University Press, 1998.</t>
  </si>
  <si>
    <t>1998-10-28</t>
  </si>
  <si>
    <t>375233316:eng</t>
  </si>
  <si>
    <t>38841997</t>
  </si>
  <si>
    <t>991002922409702656</t>
  </si>
  <si>
    <t>2256040880002656</t>
  </si>
  <si>
    <t>9780521584791</t>
  </si>
  <si>
    <t>32285003478434</t>
  </si>
  <si>
    <t>893323533</t>
  </si>
  <si>
    <t>QR184 .I44334 1984</t>
  </si>
  <si>
    <t>0                      QR 0184000I  44334       1984</t>
  </si>
  <si>
    <t>Immunogenetics / editor, William E. Paul.</t>
  </si>
  <si>
    <t>New York : Raven Press, c1984.</t>
  </si>
  <si>
    <t>1993-10-19</t>
  </si>
  <si>
    <t>54645200:eng</t>
  </si>
  <si>
    <t>10778678</t>
  </si>
  <si>
    <t>991000430869702656</t>
  </si>
  <si>
    <t>2267947070002656</t>
  </si>
  <si>
    <t>9780881670134</t>
  </si>
  <si>
    <t>32285001564029</t>
  </si>
  <si>
    <t>893865341</t>
  </si>
  <si>
    <t>QR185.2 .A36 1988</t>
  </si>
  <si>
    <t>0                      QR 0185200A  36          1988</t>
  </si>
  <si>
    <t>Antioxidant nutrients and immune functions / edited by Adrianne Bendich, Marshall Phillips, and Robert P. Tengerdy.</t>
  </si>
  <si>
    <t>Agricultural and Food Chemistry Division of the American Chemical Society Symposium on Antioxidant Nutrients and the Immune Response (1988 : Los Angeles, Calif.)</t>
  </si>
  <si>
    <t>New York : Plenum Press, c1990.</t>
  </si>
  <si>
    <t>1990</t>
  </si>
  <si>
    <t>Advances in experimental medicine and biology ; v. 262</t>
  </si>
  <si>
    <t>2007-04-16</t>
  </si>
  <si>
    <t>1990-09-06</t>
  </si>
  <si>
    <t>155026244:eng</t>
  </si>
  <si>
    <t>20690340</t>
  </si>
  <si>
    <t>991001604059702656</t>
  </si>
  <si>
    <t>2258026670002656</t>
  </si>
  <si>
    <t>9780306433962</t>
  </si>
  <si>
    <t>32285000276708</t>
  </si>
  <si>
    <t>893703118</t>
  </si>
  <si>
    <t>QR185.5 .K48 1998</t>
  </si>
  <si>
    <t>0                      QR 0185500K  48          1998</t>
  </si>
  <si>
    <t>The Baltimore case : a trial of politics, science, and character / Daniel J. Kevles.</t>
  </si>
  <si>
    <t>Kevles, Daniel J.</t>
  </si>
  <si>
    <t>New York : Norton, c1998.</t>
  </si>
  <si>
    <t>2001-04-03</t>
  </si>
  <si>
    <t>1999-04-27</t>
  </si>
  <si>
    <t>836962282:eng</t>
  </si>
  <si>
    <t>38130670</t>
  </si>
  <si>
    <t>991002894549702656</t>
  </si>
  <si>
    <t>2262292180002656</t>
  </si>
  <si>
    <t>9780393041033</t>
  </si>
  <si>
    <t>32285003556320</t>
  </si>
  <si>
    <t>893428181</t>
  </si>
  <si>
    <t>QR185.8.A59 A97 1989</t>
  </si>
  <si>
    <t>0                      QR 0185800A  59                 A  97          1989</t>
  </si>
  <si>
    <t>Antigen-presenting cells / Jonathan M. Austyn.</t>
  </si>
  <si>
    <t>Austyn, Jonathan M.</t>
  </si>
  <si>
    <t>Oxford ; New York : IRL Press, 1989.</t>
  </si>
  <si>
    <t>In focus</t>
  </si>
  <si>
    <t>1993-06-02</t>
  </si>
  <si>
    <t>1989-12-29</t>
  </si>
  <si>
    <t>21150956:eng</t>
  </si>
  <si>
    <t>19354039</t>
  </si>
  <si>
    <t>991001455019702656</t>
  </si>
  <si>
    <t>2270248570002656</t>
  </si>
  <si>
    <t>9780199630059</t>
  </si>
  <si>
    <t>32285000026038</t>
  </si>
  <si>
    <t>893509632</t>
  </si>
  <si>
    <t>QR185.8.C95 C54 1991</t>
  </si>
  <si>
    <t>0                      QR 0185800C  95                 C  54          1991</t>
  </si>
  <si>
    <t>Cytokines / M.J. Clemens.</t>
  </si>
  <si>
    <t>Clemens, Michael J.</t>
  </si>
  <si>
    <t>Oxford : BIOS Scientific Publishers, 1991.</t>
  </si>
  <si>
    <t>1991</t>
  </si>
  <si>
    <t>Medical perspectives series</t>
  </si>
  <si>
    <t>2010-04-18</t>
  </si>
  <si>
    <t>1992-12-10</t>
  </si>
  <si>
    <t>144011062:eng</t>
  </si>
  <si>
    <t>26636406</t>
  </si>
  <si>
    <t>991002078459702656</t>
  </si>
  <si>
    <t>2263205720002656</t>
  </si>
  <si>
    <t>9781872748702</t>
  </si>
  <si>
    <t>32285001401974</t>
  </si>
  <si>
    <t>893244738</t>
  </si>
  <si>
    <t>QR185.8.I56 I58 1992</t>
  </si>
  <si>
    <t>0                      QR 0185800I  56                 I  58          1992</t>
  </si>
  <si>
    <t>Interleukin-2 / edited by Jonathan Waxman, Frances Balkwill.</t>
  </si>
  <si>
    <t>Oxford ; Boston : Blackwell Scientific Publications, 1992.</t>
  </si>
  <si>
    <t>1992</t>
  </si>
  <si>
    <t>Frontiers in pharmacology &amp; therapeutics</t>
  </si>
  <si>
    <t>1996-03-08</t>
  </si>
  <si>
    <t>1994-01-13</t>
  </si>
  <si>
    <t>353647675:eng</t>
  </si>
  <si>
    <t>27978373</t>
  </si>
  <si>
    <t>991001804419702656</t>
  </si>
  <si>
    <t>2259738220002656</t>
  </si>
  <si>
    <t>9780632030422</t>
  </si>
  <si>
    <t>32285001831303</t>
  </si>
  <si>
    <t>893621639</t>
  </si>
  <si>
    <t>QR185.8.I56 T35 1995</t>
  </si>
  <si>
    <t>0                      QR 0185800I  56                 T  35          1995</t>
  </si>
  <si>
    <t>Interleukin-5 and its receptor system : from genes to disease / Kiyoshi Takatsu.</t>
  </si>
  <si>
    <t>Takatsu, Kiyoshi, 1944-</t>
  </si>
  <si>
    <t>New York : Springer-Verlag ; Austin : R.G. Landes, 1995.</t>
  </si>
  <si>
    <t>Molecular biology intelligence unit</t>
  </si>
  <si>
    <t>2001-09-28</t>
  </si>
  <si>
    <t>1996-11-22</t>
  </si>
  <si>
    <t>46049962:eng</t>
  </si>
  <si>
    <t>32094125</t>
  </si>
  <si>
    <t>991002463649702656</t>
  </si>
  <si>
    <t>2262821370002656</t>
  </si>
  <si>
    <t>9781570592331</t>
  </si>
  <si>
    <t>32285002385531</t>
  </si>
  <si>
    <t>893226868</t>
  </si>
  <si>
    <t>QR185.8.K54 N365 1992</t>
  </si>
  <si>
    <t>0                      QR 0185800K  54                 N  365         1992</t>
  </si>
  <si>
    <t>The Natural killer cell / edited by Claire E. Lewis and James O'D. McGee.</t>
  </si>
  <si>
    <t>Oxford ; New York : IRL Press at Oxford University Press, c1992.</t>
  </si>
  <si>
    <t>The Natural immune system</t>
  </si>
  <si>
    <t>350455344:eng</t>
  </si>
  <si>
    <t>24467919</t>
  </si>
  <si>
    <t>991001936569702656</t>
  </si>
  <si>
    <t>2269978810002656</t>
  </si>
  <si>
    <t>9780199632329</t>
  </si>
  <si>
    <t>32285001497030</t>
  </si>
  <si>
    <t>893516707</t>
  </si>
  <si>
    <t>QR185.8.L9 A66 1995</t>
  </si>
  <si>
    <t>0                      QR 0185800L  9                  A  66          1995</t>
  </si>
  <si>
    <t>Apoptosis and the immune response / editor, Christopher D. Gregory.</t>
  </si>
  <si>
    <t>New York : Wiley-Liss, c1995.</t>
  </si>
  <si>
    <t>1996-05-06</t>
  </si>
  <si>
    <t>33265821:eng</t>
  </si>
  <si>
    <t>31604665</t>
  </si>
  <si>
    <t>991002422519702656</t>
  </si>
  <si>
    <t>2270958200002656</t>
  </si>
  <si>
    <t>9780471012511</t>
  </si>
  <si>
    <t>32285002159522</t>
  </si>
  <si>
    <t>893529961</t>
  </si>
  <si>
    <t>QR185.B4 C65 1966</t>
  </si>
  <si>
    <t>0                      QR 0185000B  4                  C  65          1966</t>
  </si>
  <si>
    <t>Phage and the origins of molecular biology : [essays] / Edited by John Cairns, Gunther S. Stent [and] James D. Watson.</t>
  </si>
  <si>
    <t>Cold Spring Harbor Laboratory of Quantitative Biology.</t>
  </si>
  <si>
    <t>1966</t>
  </si>
  <si>
    <t>2002-02-24</t>
  </si>
  <si>
    <t>2000-11-21</t>
  </si>
  <si>
    <t>364458376:eng</t>
  </si>
  <si>
    <t>712215</t>
  </si>
  <si>
    <t>991003341089702656</t>
  </si>
  <si>
    <t>2256681050002656</t>
  </si>
  <si>
    <t>32285004267166</t>
  </si>
  <si>
    <t>893342479</t>
  </si>
  <si>
    <t>QR186.7 .S57 1991</t>
  </si>
  <si>
    <t>0                      QR 0186700S  57          1991</t>
  </si>
  <si>
    <t>Somatic hypermutation in V-regions / editor, Edward J. Steele.</t>
  </si>
  <si>
    <t>Boca Raton : CRC Press, c1991.</t>
  </si>
  <si>
    <t>flu</t>
  </si>
  <si>
    <t>1992-10-30</t>
  </si>
  <si>
    <t>1991-05-22</t>
  </si>
  <si>
    <t>24300676:eng</t>
  </si>
  <si>
    <t>22276332</t>
  </si>
  <si>
    <t>991001761989702656</t>
  </si>
  <si>
    <t>2263193870002656</t>
  </si>
  <si>
    <t>9780849353482</t>
  </si>
  <si>
    <t>32285000574342</t>
  </si>
  <si>
    <t>893261935</t>
  </si>
  <si>
    <t>QR186.85 .M6623 1995</t>
  </si>
  <si>
    <t>0                      QR 0186850M  6623        1995</t>
  </si>
  <si>
    <t>Monoclonal antibodies : production, engineering, and clinical application / edited by Mary A. Ritter and Heather M. Ladyman.</t>
  </si>
  <si>
    <t>Cambridge [Egland] ; New York, NY : Published in association with the Royal Postgraduate Medical School, University of London by Cambridge University Press, 1995.</t>
  </si>
  <si>
    <t>Postgraduate medical science</t>
  </si>
  <si>
    <t>2000-04-03</t>
  </si>
  <si>
    <t>1995-07-21</t>
  </si>
  <si>
    <t>795780720:eng</t>
  </si>
  <si>
    <t>30036676</t>
  </si>
  <si>
    <t>991002315389702656</t>
  </si>
  <si>
    <t>2271013630002656</t>
  </si>
  <si>
    <t>9780521425032</t>
  </si>
  <si>
    <t>32285002054871</t>
  </si>
  <si>
    <t>893504276</t>
  </si>
  <si>
    <t>QR186.87 .R43 1999</t>
  </si>
  <si>
    <t>0                      QR 0186870R  43          1999</t>
  </si>
  <si>
    <t>Recombinant antibodies / [edited by] Frank Breitling, Stefan Dübel.</t>
  </si>
  <si>
    <t>New York : John Wiley, c1999.</t>
  </si>
  <si>
    <t>English ed.</t>
  </si>
  <si>
    <t>2000-10-24</t>
  </si>
  <si>
    <t>364160590:eng</t>
  </si>
  <si>
    <t>40964704</t>
  </si>
  <si>
    <t>991003292879702656</t>
  </si>
  <si>
    <t>2268208560002656</t>
  </si>
  <si>
    <t>9780471178477</t>
  </si>
  <si>
    <t>32285003769998</t>
  </si>
  <si>
    <t>893874624</t>
  </si>
  <si>
    <t>QR187.5 .P36 1984</t>
  </si>
  <si>
    <t>0                      QR 0187500P  36          1984</t>
  </si>
  <si>
    <t>The interferon crusade / Sandra Panem.</t>
  </si>
  <si>
    <t>Panem, Sandra, 1946-</t>
  </si>
  <si>
    <t>Washington, D.C. : Brookings Institution, c1984.</t>
  </si>
  <si>
    <t>2004-04-07</t>
  </si>
  <si>
    <t>4046780:eng</t>
  </si>
  <si>
    <t>11089751</t>
  </si>
  <si>
    <t>991000487439702656</t>
  </si>
  <si>
    <t>2265293830002656</t>
  </si>
  <si>
    <t>9780815768999</t>
  </si>
  <si>
    <t>32285001564136</t>
  </si>
  <si>
    <t>893351543</t>
  </si>
  <si>
    <t>QR188.4 .C45 1995</t>
  </si>
  <si>
    <t>0                      QR 0188400C  45          1995</t>
  </si>
  <si>
    <t>Chimerism and tolerance / [edited by] Suzanne T. Ildstad.</t>
  </si>
  <si>
    <t>New York : Springer-Verlag ; Austin : R.G. Landes, c1995.</t>
  </si>
  <si>
    <t>Medical intelligence unit</t>
  </si>
  <si>
    <t>1997-11-02</t>
  </si>
  <si>
    <t>1996-06-06</t>
  </si>
  <si>
    <t>34493163:eng</t>
  </si>
  <si>
    <t>31940361</t>
  </si>
  <si>
    <t>991002449999702656</t>
  </si>
  <si>
    <t>2258460940002656</t>
  </si>
  <si>
    <t>9781879702936</t>
  </si>
  <si>
    <t>32285002188943</t>
  </si>
  <si>
    <t>893804625</t>
  </si>
  <si>
    <t>QR189.5.A33 C64 2001</t>
  </si>
  <si>
    <t>0                      QR 0189500A  33                 C  64          2001</t>
  </si>
  <si>
    <t>Shots in the dark : the wayward search for an AIDS vaccine / Jon Cohen.</t>
  </si>
  <si>
    <t>Cohen, Jon, 1958-</t>
  </si>
  <si>
    <t>New York : Norton, c2001.</t>
  </si>
  <si>
    <t>2001</t>
  </si>
  <si>
    <t>2002-03-22</t>
  </si>
  <si>
    <t>2001-09-25</t>
  </si>
  <si>
    <t>838268090:eng</t>
  </si>
  <si>
    <t>44803079</t>
  </si>
  <si>
    <t>991003604899702656</t>
  </si>
  <si>
    <t>2272761610002656</t>
  </si>
  <si>
    <t>9780393050271</t>
  </si>
  <si>
    <t>32285004392865</t>
  </si>
  <si>
    <t>893342744</t>
  </si>
  <si>
    <t>QR201.A37 M6613 2000</t>
  </si>
  <si>
    <t>0                      QR 0201000A  37                 M  6613        2000</t>
  </si>
  <si>
    <t>Virus : the co-discoverer of HIV tracks its rampage and charts the future / Luc Montagnier ; translated from the French by Stephen Sartarelli.</t>
  </si>
  <si>
    <t>Montagnier, Luc.</t>
  </si>
  <si>
    <t>New York : W.W. Norton, c2000.</t>
  </si>
  <si>
    <t>2008-02-25</t>
  </si>
  <si>
    <t>2000-11-01</t>
  </si>
  <si>
    <t>4160319215:eng</t>
  </si>
  <si>
    <t>40762839</t>
  </si>
  <si>
    <t>991003292789702656</t>
  </si>
  <si>
    <t>2267118870002656</t>
  </si>
  <si>
    <t>9780393039238</t>
  </si>
  <si>
    <t>32285004261789</t>
  </si>
  <si>
    <t>893336341</t>
  </si>
  <si>
    <t>QR201.H48 H86 1993</t>
  </si>
  <si>
    <t>0                      QR 0201000H  48                 H  86          1993</t>
  </si>
  <si>
    <t>The Human herpesviruses / editors, Bernard Roizman, Richard J. Whitley, Carlos Lopez.</t>
  </si>
  <si>
    <t>New York : Raven Press, c1993.</t>
  </si>
  <si>
    <t>2009-02-20</t>
  </si>
  <si>
    <t>1994-06-02</t>
  </si>
  <si>
    <t>509332313:eng</t>
  </si>
  <si>
    <t>27640768</t>
  </si>
  <si>
    <t>991002144969702656</t>
  </si>
  <si>
    <t>2256640240002656</t>
  </si>
  <si>
    <t>9780781700245</t>
  </si>
  <si>
    <t>32285001920601</t>
  </si>
  <si>
    <t>893316445</t>
  </si>
  <si>
    <t>QR201.L88 K37 2000</t>
  </si>
  <si>
    <t>0                      QR 0201000L  88                 K  37          2000</t>
  </si>
  <si>
    <t>Biography of a germ / Arno Karlen.</t>
  </si>
  <si>
    <t>Karlen, Arno.</t>
  </si>
  <si>
    <t>New York : Pantheon Books, c2000.</t>
  </si>
  <si>
    <t>2000-10-05</t>
  </si>
  <si>
    <t>17307338:eng</t>
  </si>
  <si>
    <t>42889718</t>
  </si>
  <si>
    <t>991003292759702656</t>
  </si>
  <si>
    <t>2260776490002656</t>
  </si>
  <si>
    <t>9780375401992</t>
  </si>
  <si>
    <t>32285003766986</t>
  </si>
  <si>
    <t>893893573</t>
  </si>
  <si>
    <t>QR201.P27 M65 1995</t>
  </si>
  <si>
    <t>0                      QR 0201000P  27                 M  65          1995</t>
  </si>
  <si>
    <t>Molecular approaches to parasitology / editors, John C. Boothroyd and Richard Komuniecki.</t>
  </si>
  <si>
    <t>New York : Wiley-Liss, 1995.</t>
  </si>
  <si>
    <t>MBL lectures in biology ; 12</t>
  </si>
  <si>
    <t>2009-02-09</t>
  </si>
  <si>
    <t>1995-04-05</t>
  </si>
  <si>
    <t>355860104:eng</t>
  </si>
  <si>
    <t>31606281</t>
  </si>
  <si>
    <t>991002423909702656</t>
  </si>
  <si>
    <t>2262744610002656</t>
  </si>
  <si>
    <t>9780471103417</t>
  </si>
  <si>
    <t>32285002016433</t>
  </si>
  <si>
    <t>893262276</t>
  </si>
  <si>
    <t>QR251 .A35</t>
  </si>
  <si>
    <t>0                      QR 0251000A  35</t>
  </si>
  <si>
    <t>Intracellular parasitic protozoa [by] Masamichi Aikawa [and] Charles R. Sterling.</t>
  </si>
  <si>
    <t>Aikawa, Masamichi.</t>
  </si>
  <si>
    <t>New York, Academic Press [1974]</t>
  </si>
  <si>
    <t>1974</t>
  </si>
  <si>
    <t>Ultrastructure of cells and organisms</t>
  </si>
  <si>
    <t>1998-02-22</t>
  </si>
  <si>
    <t>1837491:eng</t>
  </si>
  <si>
    <t>902802</t>
  </si>
  <si>
    <t>991003367639702656</t>
  </si>
  <si>
    <t>2262612640002656</t>
  </si>
  <si>
    <t>9780120453504</t>
  </si>
  <si>
    <t>32285003082251</t>
  </si>
  <si>
    <t>893252311</t>
  </si>
  <si>
    <t>QR251 .B56 1991</t>
  </si>
  <si>
    <t>0                      QR 0251000B  56          1991</t>
  </si>
  <si>
    <t>Biochemical protozoology / edited by Graham H. Coombs, Michael J. North.</t>
  </si>
  <si>
    <t>London ; Washington, D.C. : Taylor &amp; Francis, 1991.</t>
  </si>
  <si>
    <t>2003-09-03</t>
  </si>
  <si>
    <t>1992-09-23</t>
  </si>
  <si>
    <t>350238611:eng</t>
  </si>
  <si>
    <t>28159700</t>
  </si>
  <si>
    <t>991002058899702656</t>
  </si>
  <si>
    <t>2265598280002656</t>
  </si>
  <si>
    <t>9780748400003</t>
  </si>
  <si>
    <t>32285001289015</t>
  </si>
  <si>
    <t>893703618</t>
  </si>
  <si>
    <t>QR251 .K74 1987</t>
  </si>
  <si>
    <t>0                      QR 0251000K  74          1987</t>
  </si>
  <si>
    <t>Parasitic protozoa / J.P. Kreier and J.R. Baker.</t>
  </si>
  <si>
    <t>Kreier, Julius P.</t>
  </si>
  <si>
    <t>Boston : Allen &amp; Unwin, 1987.</t>
  </si>
  <si>
    <t>2005-02-27</t>
  </si>
  <si>
    <t>363763657:eng</t>
  </si>
  <si>
    <t>15414965</t>
  </si>
  <si>
    <t>991001022899702656</t>
  </si>
  <si>
    <t>2266649590002656</t>
  </si>
  <si>
    <t>9780045910229</t>
  </si>
  <si>
    <t>32285001564144</t>
  </si>
  <si>
    <t>893778484</t>
  </si>
  <si>
    <t>QR251 .K74 1991</t>
  </si>
  <si>
    <t>0                      QR 0251000K  74          1991</t>
  </si>
  <si>
    <t>Parasitic protozoa / edited by Julius P. Kreier, John R. Baker.</t>
  </si>
  <si>
    <t>V.6</t>
  </si>
  <si>
    <t>San Diego : Academic Press, 1991-</t>
  </si>
  <si>
    <t>5577163551:eng</t>
  </si>
  <si>
    <t>23868964</t>
  </si>
  <si>
    <t>991001890729702656</t>
  </si>
  <si>
    <t>2269699750002656</t>
  </si>
  <si>
    <t>9780124260115</t>
  </si>
  <si>
    <t>32285001913549</t>
  </si>
  <si>
    <t>893522938</t>
  </si>
  <si>
    <t>V.1</t>
  </si>
  <si>
    <t>1992-06-22</t>
  </si>
  <si>
    <t>32285001155083</t>
  </si>
  <si>
    <t>893510039</t>
  </si>
  <si>
    <t>QR251 .M66 1993</t>
  </si>
  <si>
    <t>0                      QR 0251000M  66          1993</t>
  </si>
  <si>
    <t>Modern parasitology : a textbook of parasitology / edited by F.E.G. Cox.</t>
  </si>
  <si>
    <t>Oxford ; Boston ; Blackwell Scientific Publications, 1993.</t>
  </si>
  <si>
    <t>2009-02-12</t>
  </si>
  <si>
    <t>1994-05-11</t>
  </si>
  <si>
    <t>802155631:eng</t>
  </si>
  <si>
    <t>27729119</t>
  </si>
  <si>
    <t>991005416629702656</t>
  </si>
  <si>
    <t>2265828300002656</t>
  </si>
  <si>
    <t>9780632025855</t>
  </si>
  <si>
    <t>32285001895183</t>
  </si>
  <si>
    <t>893242712</t>
  </si>
  <si>
    <t>QR30 .K76 2008</t>
  </si>
  <si>
    <t>0                      QR 0030000K  76          2008</t>
  </si>
  <si>
    <t>20th century microbe hunters : their lives, accomplishments, and legacies Robert I. Krasner.</t>
  </si>
  <si>
    <t>Krasner, Robert I.</t>
  </si>
  <si>
    <t>Sudbury, MA : Jones and Bartlett Publishers, c2008.</t>
  </si>
  <si>
    <t>2008</t>
  </si>
  <si>
    <t>2008-11-25</t>
  </si>
  <si>
    <t>155128692:eng</t>
  </si>
  <si>
    <t>136316476</t>
  </si>
  <si>
    <t>991005278929702656</t>
  </si>
  <si>
    <t>2264392040002656</t>
  </si>
  <si>
    <t>9780763742010</t>
  </si>
  <si>
    <t>32285005468896</t>
  </si>
  <si>
    <t>893883614</t>
  </si>
  <si>
    <t>QR342 .P82 1986</t>
  </si>
  <si>
    <t>0                      QR 0342000P  82          1986</t>
  </si>
  <si>
    <t>A genetic switch : gene control and phage [lambda] / by Mark Ptashne.</t>
  </si>
  <si>
    <t>Ptashne, Mark.</t>
  </si>
  <si>
    <t>Cambridge, Mass. : Cell Press &amp; Blackwell Scientific Publications, c1986.</t>
  </si>
  <si>
    <t>1986</t>
  </si>
  <si>
    <t>2009-02-16</t>
  </si>
  <si>
    <t>365829421:eng</t>
  </si>
  <si>
    <t>14719427</t>
  </si>
  <si>
    <t>991001802049702656</t>
  </si>
  <si>
    <t>2256893870002656</t>
  </si>
  <si>
    <t>9780865423152</t>
  </si>
  <si>
    <t>32285001564151</t>
  </si>
  <si>
    <t>893609158</t>
  </si>
  <si>
    <t>QR342 .R18</t>
  </si>
  <si>
    <t>0                      QR 0342000R  18</t>
  </si>
  <si>
    <t>RNA phages / edited by Norton D. Zinder.</t>
  </si>
  <si>
    <t>[Cold Spring Harbor, N.Y.] : Cold Spring Harbor Laboratory, [1975].</t>
  </si>
  <si>
    <t>Cold Spring Harbor monograph series</t>
  </si>
  <si>
    <t>2002-02-23</t>
  </si>
  <si>
    <t>2462001:eng</t>
  </si>
  <si>
    <t>1582488</t>
  </si>
  <si>
    <t>991003828349702656</t>
  </si>
  <si>
    <t>2270683170002656</t>
  </si>
  <si>
    <t>9780879691097</t>
  </si>
  <si>
    <t>32285003082269</t>
  </si>
  <si>
    <t>893228516</t>
  </si>
  <si>
    <t>QR351 .V5 1990</t>
  </si>
  <si>
    <t>0                      QR 0351000V  5           1990</t>
  </si>
  <si>
    <t>Viral genes and plant pathogenesis / Thomas P. Pirone, John G. Shaw, editors.</t>
  </si>
  <si>
    <t>New York : Springer-Verlag, c1990.</t>
  </si>
  <si>
    <t>1998-02-20</t>
  </si>
  <si>
    <t>1991-06-18</t>
  </si>
  <si>
    <t>355640517:eng</t>
  </si>
  <si>
    <t>21411432</t>
  </si>
  <si>
    <t>991001688769702656</t>
  </si>
  <si>
    <t>2255283860002656</t>
  </si>
  <si>
    <t>9780387973135</t>
  </si>
  <si>
    <t>32285000656636</t>
  </si>
  <si>
    <t>893261910</t>
  </si>
  <si>
    <t>QR357 .F72 v.17</t>
  </si>
  <si>
    <t>0                      QR 0357000F  72                                                      v.17</t>
  </si>
  <si>
    <t>Methods used in the study of viruses / edited by Heinz Fraenkel-Conrat and Robert R. Wagner.</t>
  </si>
  <si>
    <t>V.17</t>
  </si>
  <si>
    <t>Fraenkel-Conrat, Heinz, 1910-1999.</t>
  </si>
  <si>
    <t>New York : Plenum Press, c1981.</t>
  </si>
  <si>
    <t>1981</t>
  </si>
  <si>
    <t>Comprehensive virology ; v. 17</t>
  </si>
  <si>
    <t>2007-03-23</t>
  </si>
  <si>
    <t>3769173413:eng</t>
  </si>
  <si>
    <t>6708497</t>
  </si>
  <si>
    <t>991001779719702656</t>
  </si>
  <si>
    <t>2255094990002656</t>
  </si>
  <si>
    <t>9780306404184</t>
  </si>
  <si>
    <t>32285001564219</t>
  </si>
  <si>
    <t>893238333</t>
  </si>
  <si>
    <t>QR357 .P58 1985, v.1</t>
  </si>
  <si>
    <t>0                      QR 0357000P  58          1985                                        v.1</t>
  </si>
  <si>
    <t>Polyhedral virions with tripartite genomes / edited by R.I.B. Francki.</t>
  </si>
  <si>
    <t>New York : Plenum Press, c1985.</t>
  </si>
  <si>
    <t>1985</t>
  </si>
  <si>
    <t>The Plant viruses ; v. 1</t>
  </si>
  <si>
    <t>8907064929:eng</t>
  </si>
  <si>
    <t>11785696</t>
  </si>
  <si>
    <t>991000592199702656</t>
  </si>
  <si>
    <t>2255773500002656</t>
  </si>
  <si>
    <t>9780306419584</t>
  </si>
  <si>
    <t>32285001564227</t>
  </si>
  <si>
    <t>893432097</t>
  </si>
  <si>
    <t>QR358 .H85 1989</t>
  </si>
  <si>
    <t>0                      QR 0358000H  85          1989</t>
  </si>
  <si>
    <t>Virology : directory &amp; dictionary of animal, bacterial, and plant viruses / Roger Hull, Fred Brown, Chris Payne.</t>
  </si>
  <si>
    <t>Hull, Roger, 1937-</t>
  </si>
  <si>
    <t>London : Macmillan Press, 1989.</t>
  </si>
  <si>
    <t>2000-10-07</t>
  </si>
  <si>
    <t>1992-04-23</t>
  </si>
  <si>
    <t>4926885661:eng</t>
  </si>
  <si>
    <t>18780386</t>
  </si>
  <si>
    <t>991001394369702656</t>
  </si>
  <si>
    <t>2260424370002656</t>
  </si>
  <si>
    <t>9780935859591</t>
  </si>
  <si>
    <t>32285001085975</t>
  </si>
  <si>
    <t>893785083</t>
  </si>
  <si>
    <t>QR359 .R33 1991</t>
  </si>
  <si>
    <t>0                      QR 0359000R  33          1991</t>
  </si>
  <si>
    <t>The invisible invaders : the story of the emerging age of viruses / by Peter Radetsky.</t>
  </si>
  <si>
    <t>Radetsky, Peter.</t>
  </si>
  <si>
    <t>Boston : Little, Brown, c1991.</t>
  </si>
  <si>
    <t>1998-02-26</t>
  </si>
  <si>
    <t>1991-02-14</t>
  </si>
  <si>
    <t>20903162:eng</t>
  </si>
  <si>
    <t>22111009</t>
  </si>
  <si>
    <t>991001744719702656</t>
  </si>
  <si>
    <t>2266135930002656</t>
  </si>
  <si>
    <t>9780316732161</t>
  </si>
  <si>
    <t>32285000464767</t>
  </si>
  <si>
    <t>893328340</t>
  </si>
  <si>
    <t>QR360 .A59 1967b</t>
  </si>
  <si>
    <t>0                      QR 0360000A  59          1967b</t>
  </si>
  <si>
    <t>The natural history of viruses [by] C. H. Andrewes.</t>
  </si>
  <si>
    <t>Andrewes, C. H. (Christopher Howard), Sir.</t>
  </si>
  <si>
    <t>New York, W. W. Norton [1967]</t>
  </si>
  <si>
    <t>1967</t>
  </si>
  <si>
    <t>The World naturalist</t>
  </si>
  <si>
    <t>2002-02-28</t>
  </si>
  <si>
    <t>460221:eng</t>
  </si>
  <si>
    <t>493155</t>
  </si>
  <si>
    <t>991002861259702656</t>
  </si>
  <si>
    <t>2254860090002656</t>
  </si>
  <si>
    <t>32285003082277</t>
  </si>
  <si>
    <t>893786649</t>
  </si>
  <si>
    <t>QR360 .A6 1967</t>
  </si>
  <si>
    <t>0                      QR 0360000A  6           1967</t>
  </si>
  <si>
    <t>Viruses of vertebrates [by] Sir Christopher Andrewes and H. G. Pereira.</t>
  </si>
  <si>
    <t>London, Baillière, Tindall and Cassell [1967]</t>
  </si>
  <si>
    <t xml:space="preserve">xx </t>
  </si>
  <si>
    <t>1541502:eng</t>
  </si>
  <si>
    <t>4019489</t>
  </si>
  <si>
    <t>991004570139702656</t>
  </si>
  <si>
    <t>2265649470002656</t>
  </si>
  <si>
    <t>32285003082285</t>
  </si>
  <si>
    <t>893901380</t>
  </si>
  <si>
    <t>QR360 .B25</t>
  </si>
  <si>
    <t>0                      QR 0360000B  25</t>
  </si>
  <si>
    <t>The Bacteriophage lambda. Edited by A. D. Hershey.</t>
  </si>
  <si>
    <t>[Cold Spring Harbor, N.Y.] Cold Spring Harbor Laboratory, 1971.</t>
  </si>
  <si>
    <t>1971</t>
  </si>
  <si>
    <t>2002-02-10</t>
  </si>
  <si>
    <t>1321371:eng</t>
  </si>
  <si>
    <t>220264</t>
  </si>
  <si>
    <t>991005353819702656</t>
  </si>
  <si>
    <t>2261538080002656</t>
  </si>
  <si>
    <t>32285003082293</t>
  </si>
  <si>
    <t>893424955</t>
  </si>
  <si>
    <t>QR360 .F68</t>
  </si>
  <si>
    <t>0                      QR 0360000F  68</t>
  </si>
  <si>
    <t>The chemistry and biology of viruses.</t>
  </si>
  <si>
    <t>New York, Academic Press, 1969.</t>
  </si>
  <si>
    <t>2005-08-30</t>
  </si>
  <si>
    <t>1186303:eng</t>
  </si>
  <si>
    <t>32481</t>
  </si>
  <si>
    <t>991000083139702656</t>
  </si>
  <si>
    <t>2258366840002656</t>
  </si>
  <si>
    <t>32285003082319</t>
  </si>
  <si>
    <t>893607604</t>
  </si>
  <si>
    <t>QR360 .F715 1985</t>
  </si>
  <si>
    <t>0                      QR 0360000F  715         1985</t>
  </si>
  <si>
    <t>The viruses : catalogue, characterization, and classification / Heinz Fraenkel-Conrat.</t>
  </si>
  <si>
    <t>The Viruses</t>
  </si>
  <si>
    <t>1997-10-02</t>
  </si>
  <si>
    <t>1993-04-20</t>
  </si>
  <si>
    <t>836698276:eng</t>
  </si>
  <si>
    <t>11599265</t>
  </si>
  <si>
    <t>991000562559702656</t>
  </si>
  <si>
    <t>2261540660002656</t>
  </si>
  <si>
    <t>9780306417665</t>
  </si>
  <si>
    <t>32285001621845</t>
  </si>
  <si>
    <t>893315055</t>
  </si>
  <si>
    <t>QR360 .L38 1992</t>
  </si>
  <si>
    <t>0                      QR 0360000L  38          1992</t>
  </si>
  <si>
    <t>Viruses / Arnold J. Levine.</t>
  </si>
  <si>
    <t>Levine, Arnold J. (Arnold Jay), 1939-</t>
  </si>
  <si>
    <t>New York : Scientific American Library : Distributed by W.H. Freeman and Co., c1992.</t>
  </si>
  <si>
    <t>1992-06-18</t>
  </si>
  <si>
    <t>1993-01-06</t>
  </si>
  <si>
    <t>25089989:eng</t>
  </si>
  <si>
    <t>23868127</t>
  </si>
  <si>
    <t>991001796729702656</t>
  </si>
  <si>
    <t>2269111580002656</t>
  </si>
  <si>
    <t>9780716750314</t>
  </si>
  <si>
    <t>32285001129682</t>
  </si>
  <si>
    <t>893328387</t>
  </si>
  <si>
    <t>QR360 .S56</t>
  </si>
  <si>
    <t>0                      QR 0360000S  56</t>
  </si>
  <si>
    <t>An introduction to the study of viruses.</t>
  </si>
  <si>
    <t>Smith, Kenneth M. (Kenneth Manley), 1892-1981.</t>
  </si>
  <si>
    <t>New York, Pitman Pub. Corp. [1950]</t>
  </si>
  <si>
    <t>1950</t>
  </si>
  <si>
    <t>Pitman "microbiology" series</t>
  </si>
  <si>
    <t>2007-03-22</t>
  </si>
  <si>
    <t>477585684:eng</t>
  </si>
  <si>
    <t>14660074</t>
  </si>
  <si>
    <t>991003295099702656</t>
  </si>
  <si>
    <t>2269778580002656</t>
  </si>
  <si>
    <t>32285003082350</t>
  </si>
  <si>
    <t>893686413</t>
  </si>
  <si>
    <t>QR360 .S83 1966</t>
  </si>
  <si>
    <t>0                      QR 0360000S  83          1966</t>
  </si>
  <si>
    <t>The molecular biology of viruses; proceedings. Edited by John S. Colter and William Paranchych.</t>
  </si>
  <si>
    <t>Symposium of the Molecular Biology of Viruses (1966 : University of Alberta)</t>
  </si>
  <si>
    <t>New York, Academic Press, 1967.</t>
  </si>
  <si>
    <t>5619202059:eng</t>
  </si>
  <si>
    <t>772462</t>
  </si>
  <si>
    <t>991003247559702656</t>
  </si>
  <si>
    <t>2264357230002656</t>
  </si>
  <si>
    <t>32285003082368</t>
  </si>
  <si>
    <t>893246173</t>
  </si>
  <si>
    <t>QR360 .W5</t>
  </si>
  <si>
    <t>0                      QR 0360000W  5</t>
  </si>
  <si>
    <t>Virus hunters. --</t>
  </si>
  <si>
    <t>Williams, Greer, 1909-1986.</t>
  </si>
  <si>
    <t>New York: Knopf, 1959.</t>
  </si>
  <si>
    <t>[1st ed.]</t>
  </si>
  <si>
    <t>1998-04-05</t>
  </si>
  <si>
    <t>1990-03-01</t>
  </si>
  <si>
    <t>116489516:eng</t>
  </si>
  <si>
    <t>479276</t>
  </si>
  <si>
    <t>991002834399702656</t>
  </si>
  <si>
    <t>2263714440002656</t>
  </si>
  <si>
    <t>32285000073360</t>
  </si>
  <si>
    <t>893341906</t>
  </si>
  <si>
    <t>QR363 .A25 1995</t>
  </si>
  <si>
    <t>0                      QR 0363000A  25          1995</t>
  </si>
  <si>
    <t>Atlas of virus diagrams / Hans-W. Ackermann and Laurent Berthiaume.</t>
  </si>
  <si>
    <t>Ackermann, Hans-Wolfgang, 1936-</t>
  </si>
  <si>
    <t>Boca Raton : CRC Press, c1995.</t>
  </si>
  <si>
    <t>1995-08-14</t>
  </si>
  <si>
    <t>33988758:eng</t>
  </si>
  <si>
    <t>31819705</t>
  </si>
  <si>
    <t>991002441519702656</t>
  </si>
  <si>
    <t>2259812710002656</t>
  </si>
  <si>
    <t>9780849324574</t>
  </si>
  <si>
    <t>32285002077245</t>
  </si>
  <si>
    <t>893251235</t>
  </si>
  <si>
    <t>QR364 .C73 2000</t>
  </si>
  <si>
    <t>0                      QR 0364000C  73          2000</t>
  </si>
  <si>
    <t>The invisible enemy : a natural history of viruses / Dorothy H. Crawford.</t>
  </si>
  <si>
    <t>Crawford, Dorothy H.</t>
  </si>
  <si>
    <t>Oxford ; New York : Oxford University Press, 2000.</t>
  </si>
  <si>
    <t>2001-12-04</t>
  </si>
  <si>
    <t>43470:eng</t>
  </si>
  <si>
    <t>44185293</t>
  </si>
  <si>
    <t>991003666419702656</t>
  </si>
  <si>
    <t>2257065010002656</t>
  </si>
  <si>
    <t>9780198503323</t>
  </si>
  <si>
    <t>32285004425640</t>
  </si>
  <si>
    <t>893330632</t>
  </si>
  <si>
    <t>QR364 .F48 1990</t>
  </si>
  <si>
    <t>0                      QR 0364000F  48          1990</t>
  </si>
  <si>
    <t>Viruses : agents of change / Ann Giudici Fettner.</t>
  </si>
  <si>
    <t>Fettner, Ann Giudici.</t>
  </si>
  <si>
    <t>New York : McGraw-Hill Pub. Co., c1990.</t>
  </si>
  <si>
    <t>1991-03-28</t>
  </si>
  <si>
    <t>5358546096:eng</t>
  </si>
  <si>
    <t>21119105</t>
  </si>
  <si>
    <t>991001655219702656</t>
  </si>
  <si>
    <t>2258250040002656</t>
  </si>
  <si>
    <t>9780070206649</t>
  </si>
  <si>
    <t>32285000514090</t>
  </si>
  <si>
    <t>893420482</t>
  </si>
  <si>
    <t>QR364 .H46 1993</t>
  </si>
  <si>
    <t>0                      QR 0364000H  46          1993</t>
  </si>
  <si>
    <t>A dancing matrix : voyages along the viral frontier / by Robin Marantz Henig.</t>
  </si>
  <si>
    <t>Henig, Robin Marantz.</t>
  </si>
  <si>
    <t>New York : A.A. Knopf, 1993.</t>
  </si>
  <si>
    <t>1997-10-01</t>
  </si>
  <si>
    <t>1998-02-02</t>
  </si>
  <si>
    <t>1993-09-01</t>
  </si>
  <si>
    <t>28525869:eng</t>
  </si>
  <si>
    <t>25914047</t>
  </si>
  <si>
    <t>991001802569702656</t>
  </si>
  <si>
    <t>2272088640002656</t>
  </si>
  <si>
    <t>9780394588780</t>
  </si>
  <si>
    <t>32285001729358</t>
  </si>
  <si>
    <t>893420640</t>
  </si>
  <si>
    <t>QR372.O6 M64 1981, pt.3</t>
  </si>
  <si>
    <t>0                      QR 0372000O  6                  M  64          1981                  pt.3</t>
  </si>
  <si>
    <t>RNA tumor viruses / edited by Robin Weiss ... [et al.] ; contributors, A. Bernstein ... [et al.].</t>
  </si>
  <si>
    <t>pt.3*</t>
  </si>
  <si>
    <t>Cold Spring Harbor, N.Y. : Cold Spring Harbor Laboratory, 1982.</t>
  </si>
  <si>
    <t>1982</t>
  </si>
  <si>
    <t>Cold Spring Harbor monograph series ; 10C</t>
  </si>
  <si>
    <t>2003-03-15</t>
  </si>
  <si>
    <t>5218941286:eng</t>
  </si>
  <si>
    <t>8431508</t>
  </si>
  <si>
    <t>991001785939702656</t>
  </si>
  <si>
    <t>2261770990002656</t>
  </si>
  <si>
    <t>9780879691325</t>
  </si>
  <si>
    <t>32285001564276</t>
  </si>
  <si>
    <t>893879171</t>
  </si>
  <si>
    <t>QR372.O6 T66</t>
  </si>
  <si>
    <t>0                      QR 0372000O  6                  T  66</t>
  </si>
  <si>
    <t>The molecular biology of tumour viruses, edited by John Tooze.</t>
  </si>
  <si>
    <t>Tooze, John.</t>
  </si>
  <si>
    <t>[Cold Spring Harbor, N.Y.] Cold Spring Harbor Laboratory, 1973.</t>
  </si>
  <si>
    <t>4917840552:eng</t>
  </si>
  <si>
    <t>723865</t>
  </si>
  <si>
    <t>991001778989702656</t>
  </si>
  <si>
    <t>2255621780002656</t>
  </si>
  <si>
    <t>9780879691080</t>
  </si>
  <si>
    <t>32285003082376</t>
  </si>
  <si>
    <t>893414502</t>
  </si>
  <si>
    <t>QR372.O6 V58</t>
  </si>
  <si>
    <t>0                      QR 0372000O  6                  V  58</t>
  </si>
  <si>
    <t>Viruses in naturally occuring cancers / edited by Myron Essex, George Todaro, Harald zur Hausen.</t>
  </si>
  <si>
    <t>V.2</t>
  </si>
  <si>
    <t>[Cold Spring Harbor, N.Y.] : Cold Spring Harbor Laboratory, 1980.</t>
  </si>
  <si>
    <t>1980</t>
  </si>
  <si>
    <t>Cold Spring Harbor conferences on cell proliferation ; v. 7</t>
  </si>
  <si>
    <t>365160121:eng</t>
  </si>
  <si>
    <t>6487905</t>
  </si>
  <si>
    <t>991004993219702656</t>
  </si>
  <si>
    <t>2256318690002656</t>
  </si>
  <si>
    <t>9780879691318</t>
  </si>
  <si>
    <t>32285001564292</t>
  </si>
  <si>
    <t>893883191</t>
  </si>
  <si>
    <t>32285001564284</t>
  </si>
  <si>
    <t>893895719</t>
  </si>
  <si>
    <t>QR395 .B56 1987</t>
  </si>
  <si>
    <t>0                      QR 0395000B  56          1987</t>
  </si>
  <si>
    <t>The Biology of negative strand viruses / edited by Brian Mahy and Dan Kolakofsky.</t>
  </si>
  <si>
    <t>Amsterdam ; New York : Elsevier, 1987.</t>
  </si>
  <si>
    <t>2412316:eng</t>
  </si>
  <si>
    <t>15197002</t>
  </si>
  <si>
    <t>991001000139702656</t>
  </si>
  <si>
    <t>2259907390002656</t>
  </si>
  <si>
    <t>9780444808332</t>
  </si>
  <si>
    <t>32285000073386</t>
  </si>
  <si>
    <t>893407731</t>
  </si>
  <si>
    <t>QR400.2.H47 H47 1991</t>
  </si>
  <si>
    <t>0                      QR 0400200H  47                 H  47          1991</t>
  </si>
  <si>
    <t>Herpesvirus transcription and its regulation / editor, Edward K. Wagner.</t>
  </si>
  <si>
    <t>Boca Raton, Fla. : CRC Press, c1991.</t>
  </si>
  <si>
    <t>1998-02-10</t>
  </si>
  <si>
    <t>24162040:eng</t>
  </si>
  <si>
    <t>22314261</t>
  </si>
  <si>
    <t>991001767319702656</t>
  </si>
  <si>
    <t>2263953580002656</t>
  </si>
  <si>
    <t>9780849360978</t>
  </si>
  <si>
    <t>32285000574334</t>
  </si>
  <si>
    <t>893891816</t>
  </si>
  <si>
    <t>QR41 .C68 1958</t>
  </si>
  <si>
    <t>0                      QR 0041000C  68          1958</t>
  </si>
  <si>
    <t>Introduction to the bacteria.</t>
  </si>
  <si>
    <t>Clifton, C. E. (Charles Egolf), 1904-</t>
  </si>
  <si>
    <t>New York, McGraw-Hill, 1958.</t>
  </si>
  <si>
    <t>1958</t>
  </si>
  <si>
    <t>1502718:eng</t>
  </si>
  <si>
    <t>1436556</t>
  </si>
  <si>
    <t>991003755889702656</t>
  </si>
  <si>
    <t>2267596150002656</t>
  </si>
  <si>
    <t>32285003081535</t>
  </si>
  <si>
    <t>893531554</t>
  </si>
  <si>
    <t>QR41 .G38 1965</t>
  </si>
  <si>
    <t>0                      QR 0041000G  38          1965</t>
  </si>
  <si>
    <t>Microbiology [by] Louis P. Gebhardt [and] Dean A. Anderson.</t>
  </si>
  <si>
    <t>Gebhardt, Louis P. (Louis Philipp), 1905-</t>
  </si>
  <si>
    <t>Saint Louis, C. V. Mosby Co., 1965 [c1964]</t>
  </si>
  <si>
    <t>1965</t>
  </si>
  <si>
    <t>2008-12-09</t>
  </si>
  <si>
    <t>4820371724:eng</t>
  </si>
  <si>
    <t>2338204</t>
  </si>
  <si>
    <t>991004088629702656</t>
  </si>
  <si>
    <t>2258494170002656</t>
  </si>
  <si>
    <t>32285003081543</t>
  </si>
  <si>
    <t>893810351</t>
  </si>
  <si>
    <t>QR41 .L3</t>
  </si>
  <si>
    <t>0                      QR 0041000L  3</t>
  </si>
  <si>
    <t>Basic bacteriology; its biological and chemical background [by] Carl Lamanna [and] M. Frank Mallette.</t>
  </si>
  <si>
    <t>Lamanna, Carl.</t>
  </si>
  <si>
    <t>Baltimore, Williams &amp; Wilkins Co., 1965.</t>
  </si>
  <si>
    <t>2006-03-20</t>
  </si>
  <si>
    <t>2153957:eng</t>
  </si>
  <si>
    <t>13396843</t>
  </si>
  <si>
    <t>991000823179702656</t>
  </si>
  <si>
    <t>2260807960002656</t>
  </si>
  <si>
    <t>32285003081584</t>
  </si>
  <si>
    <t>893589771</t>
  </si>
  <si>
    <t>QR41 .S8 1967</t>
  </si>
  <si>
    <t>0                      QR 0041000S  8           1967</t>
  </si>
  <si>
    <t>Insect microbiology; an account of the microbes associated with insects and ticks, with special reference to the biologic relationships involved, by Edward A. Steinhaus.</t>
  </si>
  <si>
    <t>Steinhaus, Edward A. (Edward Arthur), 1914-1969.</t>
  </si>
  <si>
    <t>New York, Hafner Pub. Co., 1967 [c1946]</t>
  </si>
  <si>
    <t>2005-02-26</t>
  </si>
  <si>
    <t>793018113:eng</t>
  </si>
  <si>
    <t>342790</t>
  </si>
  <si>
    <t>991002421059702656</t>
  </si>
  <si>
    <t>2266287870002656</t>
  </si>
  <si>
    <t>32285003081600</t>
  </si>
  <si>
    <t>893603580</t>
  </si>
  <si>
    <t>QR41.2 .B87 1973</t>
  </si>
  <si>
    <t>0                      QR 0041200B  87          1973</t>
  </si>
  <si>
    <t>Textbook of microbiology.</t>
  </si>
  <si>
    <t>Burrows, William, 1908-1978.</t>
  </si>
  <si>
    <t>Philadelphia, Saunders, 1973.</t>
  </si>
  <si>
    <t>20th ed.</t>
  </si>
  <si>
    <t>142820515:eng</t>
  </si>
  <si>
    <t>706980</t>
  </si>
  <si>
    <t>991003170819702656</t>
  </si>
  <si>
    <t>2270750190002656</t>
  </si>
  <si>
    <t>9780721621951</t>
  </si>
  <si>
    <t>32285003081634</t>
  </si>
  <si>
    <t>893868159</t>
  </si>
  <si>
    <t>QR41.2 .L48</t>
  </si>
  <si>
    <t>0                      QR 0041200L  48</t>
  </si>
  <si>
    <t>Introductory microbiology / [by] Julia Levy, Jack J. R. Campbell [and] T. Henry Blackburn.</t>
  </si>
  <si>
    <t>Levy, Julia, 1935-</t>
  </si>
  <si>
    <t>New York : Wiley, 1973.</t>
  </si>
  <si>
    <t>2006-02-14</t>
  </si>
  <si>
    <t>1581573:eng</t>
  </si>
  <si>
    <t>446154</t>
  </si>
  <si>
    <t>991002799189702656</t>
  </si>
  <si>
    <t>2265595600002656</t>
  </si>
  <si>
    <t>9780471531555</t>
  </si>
  <si>
    <t>32285001563732</t>
  </si>
  <si>
    <t>893347941</t>
  </si>
  <si>
    <t>QR410 .P53 1990</t>
  </si>
  <si>
    <t>0                      QR 0410000P  53          1990</t>
  </si>
  <si>
    <t>Picornaviruses / edited by V.R. Racaniello.</t>
  </si>
  <si>
    <t>Berlin ; New York : Springer-Verlag, c1990.</t>
  </si>
  <si>
    <t xml:space="preserve">gw </t>
  </si>
  <si>
    <t>Current topics in microbiology and immunology ; 161</t>
  </si>
  <si>
    <t>1999-10-08</t>
  </si>
  <si>
    <t>1991-09-20</t>
  </si>
  <si>
    <t>24066418:eng</t>
  </si>
  <si>
    <t>22957656</t>
  </si>
  <si>
    <t>991001767479702656</t>
  </si>
  <si>
    <t>2264758320002656</t>
  </si>
  <si>
    <t>9780387524290</t>
  </si>
  <si>
    <t>32285000704709</t>
  </si>
  <si>
    <t>893791686</t>
  </si>
  <si>
    <t>QR414.5 .R48 1992, v...</t>
  </si>
  <si>
    <t>0                      QR 0414500R  48          1992                                        v...</t>
  </si>
  <si>
    <t>The Retroviridae / edited by Jay A. Levy.</t>
  </si>
  <si>
    <t>New York : Plenum Press, c1992-</t>
  </si>
  <si>
    <t>Viruses</t>
  </si>
  <si>
    <t>2008-04-09</t>
  </si>
  <si>
    <t>10792252240:eng</t>
  </si>
  <si>
    <t>26363792</t>
  </si>
  <si>
    <t>991002060469702656</t>
  </si>
  <si>
    <t>2263432730002656</t>
  </si>
  <si>
    <t>9780306440748</t>
  </si>
  <si>
    <t>32285001920734</t>
  </si>
  <si>
    <t>893684909</t>
  </si>
  <si>
    <t>32285001920742</t>
  </si>
  <si>
    <t>893721257</t>
  </si>
  <si>
    <t>QR450 .A55 1987</t>
  </si>
  <si>
    <t>0                      QR 0450000A  55          1987</t>
  </si>
  <si>
    <t>Animal virus structure / editors, M.V. Nermut and A.C. Steven.</t>
  </si>
  <si>
    <t>Amsterdam ; New York : Elsevier ; New York, NY, USA : Sole distributors for the USA and Canada, Elsevier Science Pub. Co., 1987.</t>
  </si>
  <si>
    <t>Perspectives in medical virology, 0168-7069 ; v. 3</t>
  </si>
  <si>
    <t>2008-02-26</t>
  </si>
  <si>
    <t>766079423:eng</t>
  </si>
  <si>
    <t>16081875</t>
  </si>
  <si>
    <t>991001078459702656</t>
  </si>
  <si>
    <t>2259997410002656</t>
  </si>
  <si>
    <t>9780444808790</t>
  </si>
  <si>
    <t>32285001564300</t>
  </si>
  <si>
    <t>893432582</t>
  </si>
  <si>
    <t>QR456 .M47 1984</t>
  </si>
  <si>
    <t>0                      QR 0456000M  47          1984</t>
  </si>
  <si>
    <t>Methylation of DNA / edited by Thomas A. Trautner.</t>
  </si>
  <si>
    <t>Berlin ; New York : Springer-Verlag, 1984.</t>
  </si>
  <si>
    <t>Current topics in microbiology and immunology, 0070-217X ; 108</t>
  </si>
  <si>
    <t>2008-09-28</t>
  </si>
  <si>
    <t>2914883:eng</t>
  </si>
  <si>
    <t>10708649</t>
  </si>
  <si>
    <t>991000410339702656</t>
  </si>
  <si>
    <t>2268062410002656</t>
  </si>
  <si>
    <t>9780387128498</t>
  </si>
  <si>
    <t>32285001564318</t>
  </si>
  <si>
    <t>893796616</t>
  </si>
  <si>
    <t>QR46 .B28</t>
  </si>
  <si>
    <t>0                      QR 0046000B  28</t>
  </si>
  <si>
    <t>The battle against bacteria; a history of the development of antibacterial drugs, for the general reader, by P. E. Baldry.</t>
  </si>
  <si>
    <t>Baldry, Peter.</t>
  </si>
  <si>
    <t>Cambridge [Eng.] University press, 1965.</t>
  </si>
  <si>
    <t>10141496363:eng</t>
  </si>
  <si>
    <t>965381</t>
  </si>
  <si>
    <t>991003430119702656</t>
  </si>
  <si>
    <t>2258244950002656</t>
  </si>
  <si>
    <t>32285003081642</t>
  </si>
  <si>
    <t>893441282</t>
  </si>
  <si>
    <t>QR46 .F78 1969</t>
  </si>
  <si>
    <t>0                      QR 0046000F  78          1969</t>
  </si>
  <si>
    <t>Microbiology in health and disease [by] Martin Frobisher, Lucille Sommermeyer [and] Robert Fuerst.</t>
  </si>
  <si>
    <t>Frobisher, Martin, 1896-1984.</t>
  </si>
  <si>
    <t>Philadelphia, Saunders, 1969.</t>
  </si>
  <si>
    <t>12th ed.</t>
  </si>
  <si>
    <t>2009-12-07</t>
  </si>
  <si>
    <t>1133515:eng</t>
  </si>
  <si>
    <t>10351</t>
  </si>
  <si>
    <t>991000001379702656</t>
  </si>
  <si>
    <t>2268284170002656</t>
  </si>
  <si>
    <t>32285003081667</t>
  </si>
  <si>
    <t>893802394</t>
  </si>
  <si>
    <t>QR46 .F79 1960</t>
  </si>
  <si>
    <t>0                      QR 0046000F  79          1960</t>
  </si>
  <si>
    <t>Microbiology and pathology for nurses / [by] Martin Frobisher, Jr., Lucille Sommermeyer [and] Raymond H. Goodale.</t>
  </si>
  <si>
    <t>Philadelphia : Saunders, 1960.</t>
  </si>
  <si>
    <t>1960</t>
  </si>
  <si>
    <t>5th ed.</t>
  </si>
  <si>
    <t>2001-08-30</t>
  </si>
  <si>
    <t>1994-09-14</t>
  </si>
  <si>
    <t>2452567058:eng</t>
  </si>
  <si>
    <t>560052</t>
  </si>
  <si>
    <t>991002989909702656</t>
  </si>
  <si>
    <t>2256667440002656</t>
  </si>
  <si>
    <t>32285001939437</t>
  </si>
  <si>
    <t>893440793</t>
  </si>
  <si>
    <t>QR46 .M5383 1999</t>
  </si>
  <si>
    <t>0                      QR 0046000M  5383        1999</t>
  </si>
  <si>
    <t>Microbial ecology and infectious disease / edited by Eugene Rosenberg.</t>
  </si>
  <si>
    <t>Washington, DC : ASM Press, c1999.</t>
  </si>
  <si>
    <t>2002-12-10</t>
  </si>
  <si>
    <t>41359162:eng</t>
  </si>
  <si>
    <t>39700782</t>
  </si>
  <si>
    <t>991003930439702656</t>
  </si>
  <si>
    <t>2256339680002656</t>
  </si>
  <si>
    <t>9781555811488</t>
  </si>
  <si>
    <t>32285004669981</t>
  </si>
  <si>
    <t>893253029</t>
  </si>
  <si>
    <t>QR46 .S6 1929</t>
  </si>
  <si>
    <t>0                      QR 0046000S  6           1929</t>
  </si>
  <si>
    <t>Bacteriology for nurses / by Mary A. Smeeton.</t>
  </si>
  <si>
    <t>Smeeton, Mary A. (Mary Alice)</t>
  </si>
  <si>
    <t>New York : Macmillan, 1929.</t>
  </si>
  <si>
    <t>1929</t>
  </si>
  <si>
    <t>3d ed. rev.</t>
  </si>
  <si>
    <t>2005-12-15</t>
  </si>
  <si>
    <t>1995-02-23</t>
  </si>
  <si>
    <t>1765064:eng</t>
  </si>
  <si>
    <t>684946</t>
  </si>
  <si>
    <t>991003143709702656</t>
  </si>
  <si>
    <t>2266144140002656</t>
  </si>
  <si>
    <t>32285001988574</t>
  </si>
  <si>
    <t>893317685</t>
  </si>
  <si>
    <t>QR46 .S63 1968</t>
  </si>
  <si>
    <t>0                      QR 0046000S  63          1968</t>
  </si>
  <si>
    <t>Microbiology and pathology / Alice Lorraine Smith.</t>
  </si>
  <si>
    <t>Smith, Alice Lorraine, 1920-2014.</t>
  </si>
  <si>
    <t>St. Louis : C. V. Mosby Co., 1968.</t>
  </si>
  <si>
    <t>1968</t>
  </si>
  <si>
    <t>9th ed.</t>
  </si>
  <si>
    <t>mou</t>
  </si>
  <si>
    <t>2009-02-27</t>
  </si>
  <si>
    <t>1994-05-17</t>
  </si>
  <si>
    <t>1860431:eng</t>
  </si>
  <si>
    <t>452163</t>
  </si>
  <si>
    <t>991002810479702656</t>
  </si>
  <si>
    <t>2258351410002656</t>
  </si>
  <si>
    <t>32285001897163</t>
  </si>
  <si>
    <t>893323407</t>
  </si>
  <si>
    <t>QR46 .W5</t>
  </si>
  <si>
    <t>0                      QR 0046000W  5</t>
  </si>
  <si>
    <t>Applied bacteriology for nurses / by Jean Martin White.</t>
  </si>
  <si>
    <t>White, Jean Martin, 1887-</t>
  </si>
  <si>
    <t>New York : The Macmillian company, 1928.</t>
  </si>
  <si>
    <t>1928</t>
  </si>
  <si>
    <t>1995-02-10</t>
  </si>
  <si>
    <t>8938792:eng</t>
  </si>
  <si>
    <t>6496010</t>
  </si>
  <si>
    <t>991004993959702656</t>
  </si>
  <si>
    <t>2272764090002656</t>
  </si>
  <si>
    <t>32285001988566</t>
  </si>
  <si>
    <t>893895721</t>
  </si>
  <si>
    <t>QR470 .N38 1986</t>
  </si>
  <si>
    <t>0                      QR 0470000N  38          1986</t>
  </si>
  <si>
    <t>The molecular basis of viral replication / edited by R. Pérez-Bercoff.</t>
  </si>
  <si>
    <t>NATO Advanced Study Institute Summer School on the Molecular Basis of Viral Replication (1986 : Maratea, Italy)</t>
  </si>
  <si>
    <t>New York : Plenum Press, c1987.</t>
  </si>
  <si>
    <t>NATO advanced study institutes series. Series A, Life sciences ; v. 136</t>
  </si>
  <si>
    <t>479646448:eng</t>
  </si>
  <si>
    <t>16003566</t>
  </si>
  <si>
    <t>991001073219702656</t>
  </si>
  <si>
    <t>2272646580002656</t>
  </si>
  <si>
    <t>9780306426193</t>
  </si>
  <si>
    <t>32285001564326</t>
  </si>
  <si>
    <t>893885016</t>
  </si>
  <si>
    <t>QR48 .L47 1999</t>
  </si>
  <si>
    <t>0                      QR 0048000L  47          1999</t>
  </si>
  <si>
    <t>Microbiology and chemistry for environmental scientists and engineers / J.N. Lester and J.W. Birkett.</t>
  </si>
  <si>
    <t>Lester, J. N. (John Norman), 1949-</t>
  </si>
  <si>
    <t>New York : E &amp; FN Spon, 1999.</t>
  </si>
  <si>
    <t>2008-04-02</t>
  </si>
  <si>
    <t>2001-02-01</t>
  </si>
  <si>
    <t>9731612:eng</t>
  </si>
  <si>
    <t>40555785</t>
  </si>
  <si>
    <t>991003469209702656</t>
  </si>
  <si>
    <t>2265259720002656</t>
  </si>
  <si>
    <t>9780419226802</t>
  </si>
  <si>
    <t>32285004293550</t>
  </si>
  <si>
    <t>893787343</t>
  </si>
  <si>
    <t>QR48 .M58</t>
  </si>
  <si>
    <t>0                      QR 0048000M  58</t>
  </si>
  <si>
    <t>Water pollution microbiology. Edited by Ralph Mitchell.</t>
  </si>
  <si>
    <t>Mitchell, Ralph, 1934-</t>
  </si>
  <si>
    <t>New York, Wiley-Interscience [1971-78, v. 1, c1972]</t>
  </si>
  <si>
    <t>1378983:eng</t>
  </si>
  <si>
    <t>239157</t>
  </si>
  <si>
    <t>991001899889702656</t>
  </si>
  <si>
    <t>2256983950002656</t>
  </si>
  <si>
    <t>9780471019022</t>
  </si>
  <si>
    <t>32285003081709</t>
  </si>
  <si>
    <t>893414589</t>
  </si>
  <si>
    <t>QR500 .V5687 1991</t>
  </si>
  <si>
    <t>0                      QR 0500000V  5687        1991</t>
  </si>
  <si>
    <t>Viroids and satellites : molecular parasites at the frontier of life / editor, Karl Maramorosch.</t>
  </si>
  <si>
    <t>2007-02-03</t>
  </si>
  <si>
    <t>1992-05-08</t>
  </si>
  <si>
    <t>24713615:eng</t>
  </si>
  <si>
    <t>23144957</t>
  </si>
  <si>
    <t>991001843859702656</t>
  </si>
  <si>
    <t>2266250940002656</t>
  </si>
  <si>
    <t>9780849367830</t>
  </si>
  <si>
    <t>32285001039295</t>
  </si>
  <si>
    <t>893791758</t>
  </si>
  <si>
    <t>QR502 .P75 1999</t>
  </si>
  <si>
    <t>0                      QR 0502000P  75          1999</t>
  </si>
  <si>
    <t>Prions : molecular and cellular biology / edited by David A. Harris.</t>
  </si>
  <si>
    <t>Wymondham, Norfolk : Horizon Scientific Press, c1999.</t>
  </si>
  <si>
    <t>2006-11-12</t>
  </si>
  <si>
    <t>1999-04-29</t>
  </si>
  <si>
    <t>131704117:eng</t>
  </si>
  <si>
    <t>40659800</t>
  </si>
  <si>
    <t>991003001029702656</t>
  </si>
  <si>
    <t>2259951590002656</t>
  </si>
  <si>
    <t>9781898486077</t>
  </si>
  <si>
    <t>32285003557773</t>
  </si>
  <si>
    <t>893233714</t>
  </si>
  <si>
    <t>QR53 .G37 1984</t>
  </si>
  <si>
    <t>0                      QR 0053000G  37          1984</t>
  </si>
  <si>
    <t>Genetics and breeding of industrial microorganisms / editor, Christopher Ball.</t>
  </si>
  <si>
    <t>Boca Raton, Fla. : CRC Press, c1984.</t>
  </si>
  <si>
    <t>43573330:eng</t>
  </si>
  <si>
    <t>9785917</t>
  </si>
  <si>
    <t>991000259569702656</t>
  </si>
  <si>
    <t>2259658340002656</t>
  </si>
  <si>
    <t>9780849356728</t>
  </si>
  <si>
    <t>32285001563740</t>
  </si>
  <si>
    <t>893790376</t>
  </si>
  <si>
    <t>QR53 .I533</t>
  </si>
  <si>
    <t>0                      QR 0053000I  533</t>
  </si>
  <si>
    <t>Industrial microbiology and the advent of genetic engineering.</t>
  </si>
  <si>
    <t>San Francisco : W.H. Freeman, c1981.</t>
  </si>
  <si>
    <t>1999-04-19</t>
  </si>
  <si>
    <t>352599835:eng</t>
  </si>
  <si>
    <t>7837678</t>
  </si>
  <si>
    <t>991005168849702656</t>
  </si>
  <si>
    <t>2256914690002656</t>
  </si>
  <si>
    <t>9780716713852</t>
  </si>
  <si>
    <t>32285001563757</t>
  </si>
  <si>
    <t>893326274</t>
  </si>
  <si>
    <t>QR56 .B4 1934</t>
  </si>
  <si>
    <t>0                      QR 0056000B  4           1934</t>
  </si>
  <si>
    <t>The story of microbes; your germs and mine, by Berl ben Meÿr ... with linecut illustrations by J. D. Laudermilk.</t>
  </si>
  <si>
    <t>Ben Meÿr, Berl, 1899-</t>
  </si>
  <si>
    <t>New York, Blue ribbon books, inc. [c1934]</t>
  </si>
  <si>
    <t>1934</t>
  </si>
  <si>
    <t>2004-09-26</t>
  </si>
  <si>
    <t>1992-03-16</t>
  </si>
  <si>
    <t>1781475667:eng</t>
  </si>
  <si>
    <t>3208106</t>
  </si>
  <si>
    <t>991004378739702656</t>
  </si>
  <si>
    <t>2272670080002656</t>
  </si>
  <si>
    <t>32285001021764</t>
  </si>
  <si>
    <t>893869643</t>
  </si>
  <si>
    <t>QR56 .C7 1912</t>
  </si>
  <si>
    <t>0                      QR 0056000C  7           1912</t>
  </si>
  <si>
    <t>Bacteria, yeasts, and molds in the home, by H. W. Conn.</t>
  </si>
  <si>
    <t>Conn, H. W. (Herbert William), 1859-1917.</t>
  </si>
  <si>
    <t>Boston, New York [etc.] Ginn and company [1912, c1903]</t>
  </si>
  <si>
    <t>1912</t>
  </si>
  <si>
    <t>Rev. ed.</t>
  </si>
  <si>
    <t>1998-02-25</t>
  </si>
  <si>
    <t>1895810:eng</t>
  </si>
  <si>
    <t>1663901</t>
  </si>
  <si>
    <t>991003859979702656</t>
  </si>
  <si>
    <t>2267672050002656</t>
  </si>
  <si>
    <t>32285003081717</t>
  </si>
  <si>
    <t>893246806</t>
  </si>
  <si>
    <t>QR58 .B7</t>
  </si>
  <si>
    <t>0                      QR 0058000B  7</t>
  </si>
  <si>
    <t>Milestones in microbiology.</t>
  </si>
  <si>
    <t>Brock, Thomas D. editor, translator.</t>
  </si>
  <si>
    <t>Englewood Cliffs, N.J., Prentice-Hall, 1961.</t>
  </si>
  <si>
    <t>1961</t>
  </si>
  <si>
    <t>nju</t>
  </si>
  <si>
    <t>1300664:eng</t>
  </si>
  <si>
    <t>172447</t>
  </si>
  <si>
    <t>991001005019702656</t>
  </si>
  <si>
    <t>2270387320002656</t>
  </si>
  <si>
    <t>32285003081733</t>
  </si>
  <si>
    <t>893503015</t>
  </si>
  <si>
    <t>QR62 .I56 1999</t>
  </si>
  <si>
    <t>0                      QR 0062000I  56          1999</t>
  </si>
  <si>
    <t>Instant notes in microbiology / J. Nicklin ... [et al.].</t>
  </si>
  <si>
    <t>Oxford, UK : Bios Scientific Publishers ; New York : Springer, 1999.</t>
  </si>
  <si>
    <t>The instant notes series</t>
  </si>
  <si>
    <t>2006-12-03</t>
  </si>
  <si>
    <t>1999-03-25</t>
  </si>
  <si>
    <t>1180381685:eng</t>
  </si>
  <si>
    <t>39912704</t>
  </si>
  <si>
    <t>991002976309702656</t>
  </si>
  <si>
    <t>2266770420002656</t>
  </si>
  <si>
    <t>9780387915593</t>
  </si>
  <si>
    <t>32285003546255</t>
  </si>
  <si>
    <t>893774250</t>
  </si>
  <si>
    <t>QR66.3 .I8 1995</t>
  </si>
  <si>
    <t>0                      QR 0066300I  8           1995</t>
  </si>
  <si>
    <t>Microbial culture / Susan Isaac and David Jennings.</t>
  </si>
  <si>
    <t>Isaac, Susan, 1952-</t>
  </si>
  <si>
    <t>Oxford, UK : Bios Scientific Publishers ; Herndon, VA : Books International [USA/Canada distributor], 1995.</t>
  </si>
  <si>
    <t>Introduction to biotechniques series</t>
  </si>
  <si>
    <t>2001-03-19</t>
  </si>
  <si>
    <t>1996-06-20</t>
  </si>
  <si>
    <t>3114215:eng</t>
  </si>
  <si>
    <t>33163383</t>
  </si>
  <si>
    <t>991002552479702656</t>
  </si>
  <si>
    <t>2255047420002656</t>
  </si>
  <si>
    <t>9781872748924</t>
  </si>
  <si>
    <t>32285002170891</t>
  </si>
  <si>
    <t>893523752</t>
  </si>
  <si>
    <t>QR73 .H3 1968b</t>
  </si>
  <si>
    <t>0                      QR 0073000H  3           1968b</t>
  </si>
  <si>
    <t>The genetics of bacteria and their viruses : studies in basic genetics and molecular biology.</t>
  </si>
  <si>
    <t>Hayes, William, 1913-1994.</t>
  </si>
  <si>
    <t>New York : Wiley [1968]</t>
  </si>
  <si>
    <t>489911:eng</t>
  </si>
  <si>
    <t>5628</t>
  </si>
  <si>
    <t>991005437929702656</t>
  </si>
  <si>
    <t>2264705320002656</t>
  </si>
  <si>
    <t>32285003081790</t>
  </si>
  <si>
    <t>893790030</t>
  </si>
  <si>
    <t>QR73 .H613</t>
  </si>
  <si>
    <t>0                      QR 0073000H  613</t>
  </si>
  <si>
    <t>Fundamental genetics of streptomycetes, by J. Horváth. [Translated by P. Szöke]</t>
  </si>
  <si>
    <t>Horváth, János, 1914-</t>
  </si>
  <si>
    <t>Budapest, Akadémiai Kiadó, 1968.</t>
  </si>
  <si>
    <t xml:space="preserve">hu </t>
  </si>
  <si>
    <t>2002-02-20</t>
  </si>
  <si>
    <t>1546993:eng</t>
  </si>
  <si>
    <t>433737</t>
  </si>
  <si>
    <t>991002765899702656</t>
  </si>
  <si>
    <t>2270272910002656</t>
  </si>
  <si>
    <t>32285003081808</t>
  </si>
  <si>
    <t>893892975</t>
  </si>
  <si>
    <t>QR73.5 .D48</t>
  </si>
  <si>
    <t>0                      QR 0073500D  48</t>
  </si>
  <si>
    <t>Developmental biology of prokaryotes / edited by J. H. Parish.</t>
  </si>
  <si>
    <t>Berkeley : University of California Press, 1979.</t>
  </si>
  <si>
    <t>Studies in microbiology ; v. 1</t>
  </si>
  <si>
    <t>54312990:eng</t>
  </si>
  <si>
    <t>5264764</t>
  </si>
  <si>
    <t>991004809149702656</t>
  </si>
  <si>
    <t>2259102380002656</t>
  </si>
  <si>
    <t>9780520040168</t>
  </si>
  <si>
    <t>32285001563773</t>
  </si>
  <si>
    <t>893443082</t>
  </si>
  <si>
    <t>QR74.5 .H36 1990</t>
  </si>
  <si>
    <t>0                      QR 0074500H  36          1990</t>
  </si>
  <si>
    <t>Handbook of protoctista : the structure, cultivation, habitats, and life histories of the eukaryotic microorganisms and their descendants exclusive of animals, plants, and fungi : a guide to the algae, ciliates, foraminifera, sporozoa, water molds, slime molds, and the other protoctists / editors, Lynn Margulis ... [et al.].</t>
  </si>
  <si>
    <t>Boston : Jones and Bartlett Publishers, c1990.</t>
  </si>
  <si>
    <t>The Jones and Bartlett series in life sciences</t>
  </si>
  <si>
    <t>2006-04-25</t>
  </si>
  <si>
    <t>1991-01-16</t>
  </si>
  <si>
    <t>807121563:eng</t>
  </si>
  <si>
    <t>18715347</t>
  </si>
  <si>
    <t>991001384939702656</t>
  </si>
  <si>
    <t>2265588860002656</t>
  </si>
  <si>
    <t>9780867200522</t>
  </si>
  <si>
    <t>32285000408152</t>
  </si>
  <si>
    <t>893321886</t>
  </si>
  <si>
    <t>QR74.5 .I44 1993</t>
  </si>
  <si>
    <t>0                      QR 0074500I  44          1993</t>
  </si>
  <si>
    <t>Illustrated glossary of protoctista : vocabulary of the algae, apicomplexa, ciliates, foraminifera, microspora, water molds, slime molds, and the other protoctists / editors, Lynn Margulis, Heather I. McKhann, Lorraine Olendzenski ; editorial coordinator, Stephanie Hiebert.</t>
  </si>
  <si>
    <t>Boston : Jones and Bartlett Publishers, c1993.</t>
  </si>
  <si>
    <t>2005-03-03</t>
  </si>
  <si>
    <t>1993-12-10</t>
  </si>
  <si>
    <t>2864717418:eng</t>
  </si>
  <si>
    <t>26974943</t>
  </si>
  <si>
    <t>991002102379702656</t>
  </si>
  <si>
    <t>2255652580002656</t>
  </si>
  <si>
    <t>9780867200812</t>
  </si>
  <si>
    <t>32285001814788</t>
  </si>
  <si>
    <t>893316388</t>
  </si>
  <si>
    <t>QR75 .B5 1970</t>
  </si>
  <si>
    <t>0                      QR 0075000B  5           1970</t>
  </si>
  <si>
    <t>The cytology and life-history of bacteria / [by] K.A. Bisset.</t>
  </si>
  <si>
    <t>Bisset, K. A. (Kenneth Alexander)</t>
  </si>
  <si>
    <t>Edinburgh : Livingstone, 1970.</t>
  </si>
  <si>
    <t>1970</t>
  </si>
  <si>
    <t>3rd ed.</t>
  </si>
  <si>
    <t>stk</t>
  </si>
  <si>
    <t>1991-09-05</t>
  </si>
  <si>
    <t>1181757:eng</t>
  </si>
  <si>
    <t>104256</t>
  </si>
  <si>
    <t>991000625829702656</t>
  </si>
  <si>
    <t>2260636700002656</t>
  </si>
  <si>
    <t>9780443006609</t>
  </si>
  <si>
    <t>32285000736594</t>
  </si>
  <si>
    <t>893871834</t>
  </si>
  <si>
    <t>QR76.6 .I57 1981</t>
  </si>
  <si>
    <t>0                      QR 0076600I  57          1981</t>
  </si>
  <si>
    <t>Molecular biology, pathogenicity, and ecology of bacterial plasmids / edited by Stuart B. Levy, Royston C. Clowes, and Ellen L. Koenig.</t>
  </si>
  <si>
    <t>International Plasmid Conference on Molecular Biology, Pathogenicity, and Ecology of Bacterial Plasmids (1981 : Santo Domingo, Dominican Republic)</t>
  </si>
  <si>
    <t>New York, N.Y. : Plenum Press, c1981.</t>
  </si>
  <si>
    <t>437923:eng</t>
  </si>
  <si>
    <t>7572898</t>
  </si>
  <si>
    <t>991005131549702656</t>
  </si>
  <si>
    <t>2271707750002656</t>
  </si>
  <si>
    <t>9780306407536</t>
  </si>
  <si>
    <t>32285001563781</t>
  </si>
  <si>
    <t>893713492</t>
  </si>
  <si>
    <t>QR76.6 .P53 1988</t>
  </si>
  <si>
    <t>0                      QR 0076600P  53          1988</t>
  </si>
  <si>
    <t>Plasmid technology / edited by J. Grinsted and P.M. Bennett.</t>
  </si>
  <si>
    <t>London ; San Diego, CA : Academic Press, 1988.</t>
  </si>
  <si>
    <t>1988</t>
  </si>
  <si>
    <t>Methods in microbiology ; v. 21</t>
  </si>
  <si>
    <t>365141515:eng</t>
  </si>
  <si>
    <t>18998005</t>
  </si>
  <si>
    <t>991001425289702656</t>
  </si>
  <si>
    <t>2264364070002656</t>
  </si>
  <si>
    <t>32285001563799</t>
  </si>
  <si>
    <t>893885294</t>
  </si>
  <si>
    <t>QR76.6 .S85 1996</t>
  </si>
  <si>
    <t>0                      QR 0076600S  85          1996</t>
  </si>
  <si>
    <t>The biology of plasmids / David K. Summers.</t>
  </si>
  <si>
    <t>Summers, David K.</t>
  </si>
  <si>
    <t>Oxford ; Cambridge, Mass. : Blackwell Science, 1996.</t>
  </si>
  <si>
    <t>2002-11-06</t>
  </si>
  <si>
    <t>38317694:eng</t>
  </si>
  <si>
    <t>33243169</t>
  </si>
  <si>
    <t>991002556329702656</t>
  </si>
  <si>
    <t>2255080050002656</t>
  </si>
  <si>
    <t>9780632034369</t>
  </si>
  <si>
    <t>32285002188935</t>
  </si>
  <si>
    <t>893523756</t>
  </si>
  <si>
    <t>QR81 .B46 2001</t>
  </si>
  <si>
    <t>0                      QR 0081000B  46          2001</t>
  </si>
  <si>
    <t>Bergey's manual of systematic bacteriology / George M. Garrity, editor-in-chief.</t>
  </si>
  <si>
    <t>V. 2 PT. C</t>
  </si>
  <si>
    <t>New York : Springer, 2001-</t>
  </si>
  <si>
    <t>3769192889:eng</t>
  </si>
  <si>
    <t>45951601</t>
  </si>
  <si>
    <t>991005040739702656</t>
  </si>
  <si>
    <t>2255616260002656</t>
  </si>
  <si>
    <t>9780387241432</t>
  </si>
  <si>
    <t>32285005282594</t>
  </si>
  <si>
    <t>893719687</t>
  </si>
  <si>
    <t>V. 2 PT. B</t>
  </si>
  <si>
    <t>32285005282586</t>
  </si>
  <si>
    <t>893688508</t>
  </si>
  <si>
    <t>V. 2 PT. A</t>
  </si>
  <si>
    <t>32285005282578</t>
  </si>
  <si>
    <t>893707159</t>
  </si>
  <si>
    <t>QR82.A69 F75 2007</t>
  </si>
  <si>
    <t>0                      QR 0082000A  69                 F  75          2007</t>
  </si>
  <si>
    <t>The third domain : the untold story of archaea and the future of biotechnology / Tim Friend.</t>
  </si>
  <si>
    <t>Friend, Tim.</t>
  </si>
  <si>
    <t>Washington, D.C. : Joseph Henry Press, c2007.</t>
  </si>
  <si>
    <t>2007</t>
  </si>
  <si>
    <t>2007-11-13</t>
  </si>
  <si>
    <t>802793410:eng</t>
  </si>
  <si>
    <t>84903415</t>
  </si>
  <si>
    <t>991005143529702656</t>
  </si>
  <si>
    <t>2255422560002656</t>
  </si>
  <si>
    <t>9780309102377</t>
  </si>
  <si>
    <t>32285005366793</t>
  </si>
  <si>
    <t>893719863</t>
  </si>
  <si>
    <t>QR82.A69 H69 2000</t>
  </si>
  <si>
    <t>0                      QR 0082000A  69                 H  69          2000</t>
  </si>
  <si>
    <t>The surprising archaea : discovering another domain of life / John L. Howland.</t>
  </si>
  <si>
    <t>Howland, John L.</t>
  </si>
  <si>
    <t>New York : Oxford University, 2000.</t>
  </si>
  <si>
    <t>2002-03-17</t>
  </si>
  <si>
    <t>205204674:eng</t>
  </si>
  <si>
    <t>41185064</t>
  </si>
  <si>
    <t>991003292809702656</t>
  </si>
  <si>
    <t>2266464110002656</t>
  </si>
  <si>
    <t>9780195111835</t>
  </si>
  <si>
    <t>32285004261797</t>
  </si>
  <si>
    <t>893330174</t>
  </si>
  <si>
    <t>QR82.E6 B47 2004</t>
  </si>
  <si>
    <t>0                      QR 0082000E  6                  B  47          2004</t>
  </si>
  <si>
    <t>E. coli in motion / Howard C. Berg.</t>
  </si>
  <si>
    <t>Berg, Howard C., 1934-</t>
  </si>
  <si>
    <t>New York : Springer, c2004.</t>
  </si>
  <si>
    <t>2004</t>
  </si>
  <si>
    <t>Biological and medical physics series</t>
  </si>
  <si>
    <t>2009-12-02</t>
  </si>
  <si>
    <t>2004-08-09</t>
  </si>
  <si>
    <t>9949148:eng</t>
  </si>
  <si>
    <t>51892820</t>
  </si>
  <si>
    <t>991004320039702656</t>
  </si>
  <si>
    <t>2272725580002656</t>
  </si>
  <si>
    <t>9780387008882</t>
  </si>
  <si>
    <t>32285004980636</t>
  </si>
  <si>
    <t>893788557</t>
  </si>
  <si>
    <t>QR82.E6 S55 1989</t>
  </si>
  <si>
    <t>0                      QR 0082000E  6                  S  55          1989</t>
  </si>
  <si>
    <t>Molecular genetics of Escherichia coli / P.F. Smith-Keary.</t>
  </si>
  <si>
    <t>Smith-Keary, P. F.</t>
  </si>
  <si>
    <t>New York, NY : Guilford Press, c1989.</t>
  </si>
  <si>
    <t>Molecular cell biology</t>
  </si>
  <si>
    <t>1989-10-20</t>
  </si>
  <si>
    <t>2260904653:eng</t>
  </si>
  <si>
    <t>18589408</t>
  </si>
  <si>
    <t>991001373319702656</t>
  </si>
  <si>
    <t>2264330360002656</t>
  </si>
  <si>
    <t>9780898624021</t>
  </si>
  <si>
    <t>32285000002872</t>
  </si>
  <si>
    <t>893503363</t>
  </si>
  <si>
    <t>QR82.E6 Z56 2008</t>
  </si>
  <si>
    <t>0                      QR 0082000E  6                  Z  56          2008</t>
  </si>
  <si>
    <t>Microcosm : E. coli and the new science of life / Carl Zimmer.</t>
  </si>
  <si>
    <t>Zimmer, Carl, 1966-</t>
  </si>
  <si>
    <t>New York : Pantheon Books, c2008.</t>
  </si>
  <si>
    <t>2008-06-05</t>
  </si>
  <si>
    <t>198498351:eng</t>
  </si>
  <si>
    <t>171152057</t>
  </si>
  <si>
    <t>991005222509702656</t>
  </si>
  <si>
    <t>2263023360002656</t>
  </si>
  <si>
    <t>9780375424304</t>
  </si>
  <si>
    <t>32285005442610</t>
  </si>
  <si>
    <t>893905317</t>
  </si>
  <si>
    <t>QR84 .D96 1985</t>
  </si>
  <si>
    <t>0                      QR 0084000D  96          1985</t>
  </si>
  <si>
    <t>Developmental biology of the bacteria / Martin Dworkin.</t>
  </si>
  <si>
    <t>Dworkin, Martin.</t>
  </si>
  <si>
    <t>Reading, Mass. : Benjamin/Cummings Pub. Co., c1985.</t>
  </si>
  <si>
    <t>5281330:eng</t>
  </si>
  <si>
    <t>12343464</t>
  </si>
  <si>
    <t>991000674639702656</t>
  </si>
  <si>
    <t>2268001340002656</t>
  </si>
  <si>
    <t>9780805324600</t>
  </si>
  <si>
    <t>32285001563823</t>
  </si>
  <si>
    <t>893696046</t>
  </si>
  <si>
    <t>QR84 .M64 2002</t>
  </si>
  <si>
    <t>0                      QR 0084000M  64          2002</t>
  </si>
  <si>
    <t>Microbial physiology / Albert G. Moat, John W. Foster, Michael P. Spector.</t>
  </si>
  <si>
    <t>Moat, Albert G.</t>
  </si>
  <si>
    <t>New York : Wiley-Liss, c2002.</t>
  </si>
  <si>
    <t>2002</t>
  </si>
  <si>
    <t>4th ed.</t>
  </si>
  <si>
    <t>10810458:eng</t>
  </si>
  <si>
    <t>49760696</t>
  </si>
  <si>
    <t>991003930269702656</t>
  </si>
  <si>
    <t>2256870910002656</t>
  </si>
  <si>
    <t>9780471394839</t>
  </si>
  <si>
    <t>32285004667100</t>
  </si>
  <si>
    <t>893781648</t>
  </si>
  <si>
    <t>QR84 .S326 1984</t>
  </si>
  <si>
    <t>0                      QR 0084000S  326         1984</t>
  </si>
  <si>
    <t>The molecular basis of sex and differentiation : a comparative study of evolution, mechanism, and control in microorganisms / Milton H. Saier, Gary R. Jacobson.</t>
  </si>
  <si>
    <t>Saier, Milton H.</t>
  </si>
  <si>
    <t>New York : Springer-Verlag, c1984.</t>
  </si>
  <si>
    <t>1996-11-24</t>
  </si>
  <si>
    <t>796076980:eng</t>
  </si>
  <si>
    <t>10850826</t>
  </si>
  <si>
    <t>991000446239702656</t>
  </si>
  <si>
    <t>2268863840002656</t>
  </si>
  <si>
    <t>9780387960074</t>
  </si>
  <si>
    <t>32285001563831</t>
  </si>
  <si>
    <t>893321036</t>
  </si>
  <si>
    <t>QR84 .T48 1963</t>
  </si>
  <si>
    <t>0                      QR 0084000T  48          1963</t>
  </si>
  <si>
    <t>The life of bacteria: their growth, metabolism, and relationships.</t>
  </si>
  <si>
    <t>Thimann, Kenneth Vivian, 1904-1997.</t>
  </si>
  <si>
    <t>New York, Macmillan [1963]</t>
  </si>
  <si>
    <t>1963</t>
  </si>
  <si>
    <t>197876548:eng</t>
  </si>
  <si>
    <t>1175449</t>
  </si>
  <si>
    <t>991003593669702656</t>
  </si>
  <si>
    <t>2271825870002656</t>
  </si>
  <si>
    <t>32285003081881</t>
  </si>
  <si>
    <t>893228199</t>
  </si>
  <si>
    <t>QR84 .W613</t>
  </si>
  <si>
    <t>0                      QR 0084000W  613</t>
  </si>
  <si>
    <t>Sexuality and the genetics of bacteria / [by] François Jacob and Élie L. Wollman.</t>
  </si>
  <si>
    <t>Wollman, Élie L., 1917-</t>
  </si>
  <si>
    <t>New York, Academic Press, 1961.</t>
  </si>
  <si>
    <t>2002-02-25</t>
  </si>
  <si>
    <t>1997-08-08</t>
  </si>
  <si>
    <t>111600007:eng</t>
  </si>
  <si>
    <t>556031</t>
  </si>
  <si>
    <t>991001779599702656</t>
  </si>
  <si>
    <t>2259825900002656</t>
  </si>
  <si>
    <t>32285003081899</t>
  </si>
  <si>
    <t>893602889</t>
  </si>
  <si>
    <t>QR86 .M5 1990</t>
  </si>
  <si>
    <t>0                      QR 0086000M  5           1990</t>
  </si>
  <si>
    <t>Microbial growth dynamics / edited by Robert K. Poole, Michael J. Bazin, C. William Keevil.</t>
  </si>
  <si>
    <t>Oxford [England] ; New York : Published for the Society for General Microbiology by IRL Press at Oxford University Press, 1990.</t>
  </si>
  <si>
    <t>Special publications of the Society for General Microbiology ; v. 28</t>
  </si>
  <si>
    <t>1997-02-16</t>
  </si>
  <si>
    <t>1991-06-20</t>
  </si>
  <si>
    <t>353788514:eng</t>
  </si>
  <si>
    <t>20560591</t>
  </si>
  <si>
    <t>991001587739702656</t>
  </si>
  <si>
    <t>2259281590002656</t>
  </si>
  <si>
    <t>9780199631193</t>
  </si>
  <si>
    <t>32285000657519</t>
  </si>
  <si>
    <t>893608965</t>
  </si>
  <si>
    <t>QR88 .G67 1986</t>
  </si>
  <si>
    <t>0                      QR 0088000G  67          1986</t>
  </si>
  <si>
    <t>Bacterial metabolism / Gerhard Gottschalk.</t>
  </si>
  <si>
    <t>Gottschalk, Gerhard.</t>
  </si>
  <si>
    <t>New York : Springer-Verlag, c1986.</t>
  </si>
  <si>
    <t>Springer series in microbiology</t>
  </si>
  <si>
    <t>1999-05-05</t>
  </si>
  <si>
    <t>4824626:eng</t>
  </si>
  <si>
    <t>12104993</t>
  </si>
  <si>
    <t>991000641479702656</t>
  </si>
  <si>
    <t>2260030290002656</t>
  </si>
  <si>
    <t>9780387961538</t>
  </si>
  <si>
    <t>32285003559001</t>
  </si>
  <si>
    <t>893890886</t>
  </si>
  <si>
    <t>QR88 .W48 2007</t>
  </si>
  <si>
    <t>0                      QR 0088000W  48          2007</t>
  </si>
  <si>
    <t>The physiology and biochemistry of prokaryotes / David White.</t>
  </si>
  <si>
    <t>White, David, 1936-</t>
  </si>
  <si>
    <t>New York : Oxford University Press, 2007.</t>
  </si>
  <si>
    <t>2006-10-25</t>
  </si>
  <si>
    <t>20369398:eng</t>
  </si>
  <si>
    <t>60414377</t>
  </si>
  <si>
    <t>991004933159702656</t>
  </si>
  <si>
    <t>2258258200002656</t>
  </si>
  <si>
    <t>9780195301687</t>
  </si>
  <si>
    <t>32285005232706</t>
  </si>
  <si>
    <t>893424355</t>
  </si>
  <si>
    <t>QR89.5 .L48 1990</t>
  </si>
  <si>
    <t>0                      QR 0089500L  48          1990</t>
  </si>
  <si>
    <t>Anaerobic bacteria : a functional biology / Paul N. Levett.</t>
  </si>
  <si>
    <t>Levett, Paul N. (Paul Nigel), 1957-</t>
  </si>
  <si>
    <t>Milton Keynes ; Philadelphia : Open University Press, 1990.</t>
  </si>
  <si>
    <t>2001-02-07</t>
  </si>
  <si>
    <t>1991-11-05</t>
  </si>
  <si>
    <t>329262160:eng</t>
  </si>
  <si>
    <t>22311341</t>
  </si>
  <si>
    <t>991001767129702656</t>
  </si>
  <si>
    <t>2264512220002656</t>
  </si>
  <si>
    <t>9780335092062</t>
  </si>
  <si>
    <t>32285000729516</t>
  </si>
  <si>
    <t>893322228</t>
  </si>
  <si>
    <t>QR89.7 .R4</t>
  </si>
  <si>
    <t>0                      QR 0089700R  4</t>
  </si>
  <si>
    <t>Recent developments in nitrogen fixation / edited by W. Newton, J. R. Postgate, C. Rodriguez-Barrueco.</t>
  </si>
  <si>
    <t>London ; New York : Academic Press, 1977.</t>
  </si>
  <si>
    <t>1977</t>
  </si>
  <si>
    <t>1998-02-06</t>
  </si>
  <si>
    <t>607214463:eng</t>
  </si>
  <si>
    <t>3913258</t>
  </si>
  <si>
    <t>991004545399702656</t>
  </si>
  <si>
    <t>2258198490002656</t>
  </si>
  <si>
    <t>9780125173506</t>
  </si>
  <si>
    <t>32285001563849</t>
  </si>
  <si>
    <t>893712747</t>
  </si>
  <si>
    <t>QR89.7 .S95 1980</t>
  </si>
  <si>
    <t>0                      QR 0089700S  95          1980</t>
  </si>
  <si>
    <t>Genetic engineering of symbiotic nitrogen fixation and conservation of fixed nitrogen / edited by J.M. Lyons ... [et al.].</t>
  </si>
  <si>
    <t>Symposium on Enhancing Biological Production of Ammonia From Atmospheric Nitrogen and Soil Nitrate (1980 : Tahoe City, Calif.)</t>
  </si>
  <si>
    <t>Basic life sciences ; v. 17</t>
  </si>
  <si>
    <t>1998-02-05</t>
  </si>
  <si>
    <t>355394938:eng</t>
  </si>
  <si>
    <t>7279072</t>
  </si>
  <si>
    <t>991005099119702656</t>
  </si>
  <si>
    <t>2262256770002656</t>
  </si>
  <si>
    <t>9780306407307</t>
  </si>
  <si>
    <t>32285001563856</t>
  </si>
  <si>
    <t>893713440</t>
  </si>
  <si>
    <t>QR9 .S56 1987</t>
  </si>
  <si>
    <t>0                      QR 0009000S  56          1987</t>
  </si>
  <si>
    <t>Dictionary of microbiology and molecular biology / Paul Singleton, Diana Sainsbury.</t>
  </si>
  <si>
    <t>Singleton, Paul.</t>
  </si>
  <si>
    <t>Chichester [West Sussex] ; New York : Wiley, c1987.</t>
  </si>
  <si>
    <t>2002-02-27</t>
  </si>
  <si>
    <t>1995-02-14</t>
  </si>
  <si>
    <t>6050794:eng</t>
  </si>
  <si>
    <t>16226156</t>
  </si>
  <si>
    <t>991001092579702656</t>
  </si>
  <si>
    <t>2266380930002656</t>
  </si>
  <si>
    <t>9780471911142</t>
  </si>
  <si>
    <t>32285001998508</t>
  </si>
  <si>
    <t>893420055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</si>
</sst>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</xdr:row>
          <xdr:rowOff>9525</xdr:rowOff>
        </xdr:from>
        <xdr:to>
          <xdr:col>1</xdr:col>
          <xdr:colOff>19050</xdr:colOff>
          <xdr:row>1</xdr:row>
          <xdr:rowOff>485775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</xdr:row>
          <xdr:rowOff>9525</xdr:rowOff>
        </xdr:from>
        <xdr:to>
          <xdr:col>1</xdr:col>
          <xdr:colOff>19050</xdr:colOff>
          <xdr:row>2</xdr:row>
          <xdr:rowOff>485775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</xdr:row>
          <xdr:rowOff>9525</xdr:rowOff>
        </xdr:from>
        <xdr:to>
          <xdr:col>1</xdr:col>
          <xdr:colOff>19050</xdr:colOff>
          <xdr:row>3</xdr:row>
          <xdr:rowOff>485775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</xdr:row>
          <xdr:rowOff>9525</xdr:rowOff>
        </xdr:from>
        <xdr:to>
          <xdr:col>1</xdr:col>
          <xdr:colOff>19050</xdr:colOff>
          <xdr:row>4</xdr:row>
          <xdr:rowOff>485775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</xdr:row>
          <xdr:rowOff>9525</xdr:rowOff>
        </xdr:from>
        <xdr:to>
          <xdr:col>1</xdr:col>
          <xdr:colOff>19050</xdr:colOff>
          <xdr:row>5</xdr:row>
          <xdr:rowOff>485775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</xdr:row>
          <xdr:rowOff>9525</xdr:rowOff>
        </xdr:from>
        <xdr:to>
          <xdr:col>1</xdr:col>
          <xdr:colOff>19050</xdr:colOff>
          <xdr:row>6</xdr:row>
          <xdr:rowOff>485775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</xdr:row>
          <xdr:rowOff>9525</xdr:rowOff>
        </xdr:from>
        <xdr:to>
          <xdr:col>1</xdr:col>
          <xdr:colOff>19050</xdr:colOff>
          <xdr:row>7</xdr:row>
          <xdr:rowOff>485775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</xdr:row>
          <xdr:rowOff>9525</xdr:rowOff>
        </xdr:from>
        <xdr:to>
          <xdr:col>1</xdr:col>
          <xdr:colOff>19050</xdr:colOff>
          <xdr:row>8</xdr:row>
          <xdr:rowOff>485775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</xdr:row>
          <xdr:rowOff>9525</xdr:rowOff>
        </xdr:from>
        <xdr:to>
          <xdr:col>1</xdr:col>
          <xdr:colOff>19050</xdr:colOff>
          <xdr:row>9</xdr:row>
          <xdr:rowOff>485775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</xdr:row>
          <xdr:rowOff>9525</xdr:rowOff>
        </xdr:from>
        <xdr:to>
          <xdr:col>1</xdr:col>
          <xdr:colOff>19050</xdr:colOff>
          <xdr:row>10</xdr:row>
          <xdr:rowOff>485775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</xdr:row>
          <xdr:rowOff>9525</xdr:rowOff>
        </xdr:from>
        <xdr:to>
          <xdr:col>1</xdr:col>
          <xdr:colOff>19050</xdr:colOff>
          <xdr:row>11</xdr:row>
          <xdr:rowOff>485775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</xdr:row>
          <xdr:rowOff>9525</xdr:rowOff>
        </xdr:from>
        <xdr:to>
          <xdr:col>1</xdr:col>
          <xdr:colOff>19050</xdr:colOff>
          <xdr:row>12</xdr:row>
          <xdr:rowOff>485775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</xdr:row>
          <xdr:rowOff>9525</xdr:rowOff>
        </xdr:from>
        <xdr:to>
          <xdr:col>1</xdr:col>
          <xdr:colOff>19050</xdr:colOff>
          <xdr:row>13</xdr:row>
          <xdr:rowOff>485775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</xdr:row>
          <xdr:rowOff>9525</xdr:rowOff>
        </xdr:from>
        <xdr:to>
          <xdr:col>1</xdr:col>
          <xdr:colOff>19050</xdr:colOff>
          <xdr:row>14</xdr:row>
          <xdr:rowOff>485775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15</xdr:row>
          <xdr:rowOff>9525</xdr:rowOff>
        </xdr:from>
        <xdr:to>
          <xdr:col>1</xdr:col>
          <xdr:colOff>19050</xdr:colOff>
          <xdr:row>15</xdr:row>
          <xdr:rowOff>485775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16</xdr:row>
          <xdr:rowOff>9525</xdr:rowOff>
        </xdr:from>
        <xdr:to>
          <xdr:col>1</xdr:col>
          <xdr:colOff>19050</xdr:colOff>
          <xdr:row>16</xdr:row>
          <xdr:rowOff>485775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17</xdr:row>
          <xdr:rowOff>9525</xdr:rowOff>
        </xdr:from>
        <xdr:to>
          <xdr:col>1</xdr:col>
          <xdr:colOff>19050</xdr:colOff>
          <xdr:row>17</xdr:row>
          <xdr:rowOff>485775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18</xdr:row>
          <xdr:rowOff>9525</xdr:rowOff>
        </xdr:from>
        <xdr:to>
          <xdr:col>1</xdr:col>
          <xdr:colOff>19050</xdr:colOff>
          <xdr:row>18</xdr:row>
          <xdr:rowOff>485775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19</xdr:row>
          <xdr:rowOff>9525</xdr:rowOff>
        </xdr:from>
        <xdr:to>
          <xdr:col>1</xdr:col>
          <xdr:colOff>19050</xdr:colOff>
          <xdr:row>19</xdr:row>
          <xdr:rowOff>485775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20</xdr:row>
          <xdr:rowOff>9525</xdr:rowOff>
        </xdr:from>
        <xdr:to>
          <xdr:col>1</xdr:col>
          <xdr:colOff>19050</xdr:colOff>
          <xdr:row>20</xdr:row>
          <xdr:rowOff>485775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21</xdr:row>
          <xdr:rowOff>9525</xdr:rowOff>
        </xdr:from>
        <xdr:to>
          <xdr:col>1</xdr:col>
          <xdr:colOff>19050</xdr:colOff>
          <xdr:row>21</xdr:row>
          <xdr:rowOff>485775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22</xdr:row>
          <xdr:rowOff>9525</xdr:rowOff>
        </xdr:from>
        <xdr:to>
          <xdr:col>1</xdr:col>
          <xdr:colOff>19050</xdr:colOff>
          <xdr:row>22</xdr:row>
          <xdr:rowOff>485775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23</xdr:row>
          <xdr:rowOff>9525</xdr:rowOff>
        </xdr:from>
        <xdr:to>
          <xdr:col>1</xdr:col>
          <xdr:colOff>19050</xdr:colOff>
          <xdr:row>23</xdr:row>
          <xdr:rowOff>485775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24</xdr:row>
          <xdr:rowOff>9525</xdr:rowOff>
        </xdr:from>
        <xdr:to>
          <xdr:col>1</xdr:col>
          <xdr:colOff>19050</xdr:colOff>
          <xdr:row>24</xdr:row>
          <xdr:rowOff>485775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25</xdr:row>
          <xdr:rowOff>9525</xdr:rowOff>
        </xdr:from>
        <xdr:to>
          <xdr:col>1</xdr:col>
          <xdr:colOff>19050</xdr:colOff>
          <xdr:row>25</xdr:row>
          <xdr:rowOff>485775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26</xdr:row>
          <xdr:rowOff>9525</xdr:rowOff>
        </xdr:from>
        <xdr:to>
          <xdr:col>1</xdr:col>
          <xdr:colOff>19050</xdr:colOff>
          <xdr:row>26</xdr:row>
          <xdr:rowOff>485775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27</xdr:row>
          <xdr:rowOff>9525</xdr:rowOff>
        </xdr:from>
        <xdr:to>
          <xdr:col>1</xdr:col>
          <xdr:colOff>19050</xdr:colOff>
          <xdr:row>27</xdr:row>
          <xdr:rowOff>485775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28</xdr:row>
          <xdr:rowOff>9525</xdr:rowOff>
        </xdr:from>
        <xdr:to>
          <xdr:col>1</xdr:col>
          <xdr:colOff>19050</xdr:colOff>
          <xdr:row>28</xdr:row>
          <xdr:rowOff>485775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29</xdr:row>
          <xdr:rowOff>9525</xdr:rowOff>
        </xdr:from>
        <xdr:to>
          <xdr:col>1</xdr:col>
          <xdr:colOff>19050</xdr:colOff>
          <xdr:row>29</xdr:row>
          <xdr:rowOff>485775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30</xdr:row>
          <xdr:rowOff>9525</xdr:rowOff>
        </xdr:from>
        <xdr:to>
          <xdr:col>1</xdr:col>
          <xdr:colOff>19050</xdr:colOff>
          <xdr:row>30</xdr:row>
          <xdr:rowOff>485775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31</xdr:row>
          <xdr:rowOff>9525</xdr:rowOff>
        </xdr:from>
        <xdr:to>
          <xdr:col>1</xdr:col>
          <xdr:colOff>19050</xdr:colOff>
          <xdr:row>31</xdr:row>
          <xdr:rowOff>485775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32</xdr:row>
          <xdr:rowOff>9525</xdr:rowOff>
        </xdr:from>
        <xdr:to>
          <xdr:col>1</xdr:col>
          <xdr:colOff>19050</xdr:colOff>
          <xdr:row>32</xdr:row>
          <xdr:rowOff>485775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33</xdr:row>
          <xdr:rowOff>9525</xdr:rowOff>
        </xdr:from>
        <xdr:to>
          <xdr:col>1</xdr:col>
          <xdr:colOff>19050</xdr:colOff>
          <xdr:row>33</xdr:row>
          <xdr:rowOff>485775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34</xdr:row>
          <xdr:rowOff>9525</xdr:rowOff>
        </xdr:from>
        <xdr:to>
          <xdr:col>1</xdr:col>
          <xdr:colOff>19050</xdr:colOff>
          <xdr:row>34</xdr:row>
          <xdr:rowOff>485775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35</xdr:row>
          <xdr:rowOff>9525</xdr:rowOff>
        </xdr:from>
        <xdr:to>
          <xdr:col>1</xdr:col>
          <xdr:colOff>19050</xdr:colOff>
          <xdr:row>35</xdr:row>
          <xdr:rowOff>485775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36</xdr:row>
          <xdr:rowOff>9525</xdr:rowOff>
        </xdr:from>
        <xdr:to>
          <xdr:col>1</xdr:col>
          <xdr:colOff>19050</xdr:colOff>
          <xdr:row>36</xdr:row>
          <xdr:rowOff>485775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37</xdr:row>
          <xdr:rowOff>9525</xdr:rowOff>
        </xdr:from>
        <xdr:to>
          <xdr:col>1</xdr:col>
          <xdr:colOff>19050</xdr:colOff>
          <xdr:row>37</xdr:row>
          <xdr:rowOff>485775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38</xdr:row>
          <xdr:rowOff>9525</xdr:rowOff>
        </xdr:from>
        <xdr:to>
          <xdr:col>1</xdr:col>
          <xdr:colOff>19050</xdr:colOff>
          <xdr:row>38</xdr:row>
          <xdr:rowOff>485775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39</xdr:row>
          <xdr:rowOff>9525</xdr:rowOff>
        </xdr:from>
        <xdr:to>
          <xdr:col>1</xdr:col>
          <xdr:colOff>19050</xdr:colOff>
          <xdr:row>39</xdr:row>
          <xdr:rowOff>485775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40</xdr:row>
          <xdr:rowOff>9525</xdr:rowOff>
        </xdr:from>
        <xdr:to>
          <xdr:col>1</xdr:col>
          <xdr:colOff>19050</xdr:colOff>
          <xdr:row>40</xdr:row>
          <xdr:rowOff>485775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41</xdr:row>
          <xdr:rowOff>9525</xdr:rowOff>
        </xdr:from>
        <xdr:to>
          <xdr:col>1</xdr:col>
          <xdr:colOff>19050</xdr:colOff>
          <xdr:row>41</xdr:row>
          <xdr:rowOff>485775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42</xdr:row>
          <xdr:rowOff>9525</xdr:rowOff>
        </xdr:from>
        <xdr:to>
          <xdr:col>1</xdr:col>
          <xdr:colOff>19050</xdr:colOff>
          <xdr:row>42</xdr:row>
          <xdr:rowOff>485775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43</xdr:row>
          <xdr:rowOff>9525</xdr:rowOff>
        </xdr:from>
        <xdr:to>
          <xdr:col>1</xdr:col>
          <xdr:colOff>19050</xdr:colOff>
          <xdr:row>43</xdr:row>
          <xdr:rowOff>485775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44</xdr:row>
          <xdr:rowOff>9525</xdr:rowOff>
        </xdr:from>
        <xdr:to>
          <xdr:col>1</xdr:col>
          <xdr:colOff>19050</xdr:colOff>
          <xdr:row>44</xdr:row>
          <xdr:rowOff>485775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45</xdr:row>
          <xdr:rowOff>9525</xdr:rowOff>
        </xdr:from>
        <xdr:to>
          <xdr:col>1</xdr:col>
          <xdr:colOff>19050</xdr:colOff>
          <xdr:row>45</xdr:row>
          <xdr:rowOff>485775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46</xdr:row>
          <xdr:rowOff>9525</xdr:rowOff>
        </xdr:from>
        <xdr:to>
          <xdr:col>1</xdr:col>
          <xdr:colOff>19050</xdr:colOff>
          <xdr:row>46</xdr:row>
          <xdr:rowOff>485775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47</xdr:row>
          <xdr:rowOff>9525</xdr:rowOff>
        </xdr:from>
        <xdr:to>
          <xdr:col>1</xdr:col>
          <xdr:colOff>19050</xdr:colOff>
          <xdr:row>47</xdr:row>
          <xdr:rowOff>485775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48</xdr:row>
          <xdr:rowOff>9525</xdr:rowOff>
        </xdr:from>
        <xdr:to>
          <xdr:col>1</xdr:col>
          <xdr:colOff>19050</xdr:colOff>
          <xdr:row>48</xdr:row>
          <xdr:rowOff>485775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49</xdr:row>
          <xdr:rowOff>9525</xdr:rowOff>
        </xdr:from>
        <xdr:to>
          <xdr:col>1</xdr:col>
          <xdr:colOff>19050</xdr:colOff>
          <xdr:row>49</xdr:row>
          <xdr:rowOff>485775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50</xdr:row>
          <xdr:rowOff>9525</xdr:rowOff>
        </xdr:from>
        <xdr:to>
          <xdr:col>1</xdr:col>
          <xdr:colOff>19050</xdr:colOff>
          <xdr:row>50</xdr:row>
          <xdr:rowOff>485775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51</xdr:row>
          <xdr:rowOff>9525</xdr:rowOff>
        </xdr:from>
        <xdr:to>
          <xdr:col>1</xdr:col>
          <xdr:colOff>19050</xdr:colOff>
          <xdr:row>51</xdr:row>
          <xdr:rowOff>485775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52</xdr:row>
          <xdr:rowOff>9525</xdr:rowOff>
        </xdr:from>
        <xdr:to>
          <xdr:col>1</xdr:col>
          <xdr:colOff>19050</xdr:colOff>
          <xdr:row>52</xdr:row>
          <xdr:rowOff>485775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53</xdr:row>
          <xdr:rowOff>9525</xdr:rowOff>
        </xdr:from>
        <xdr:to>
          <xdr:col>1</xdr:col>
          <xdr:colOff>19050</xdr:colOff>
          <xdr:row>53</xdr:row>
          <xdr:rowOff>485775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54</xdr:row>
          <xdr:rowOff>9525</xdr:rowOff>
        </xdr:from>
        <xdr:to>
          <xdr:col>1</xdr:col>
          <xdr:colOff>19050</xdr:colOff>
          <xdr:row>54</xdr:row>
          <xdr:rowOff>485775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55</xdr:row>
          <xdr:rowOff>9525</xdr:rowOff>
        </xdr:from>
        <xdr:to>
          <xdr:col>1</xdr:col>
          <xdr:colOff>19050</xdr:colOff>
          <xdr:row>55</xdr:row>
          <xdr:rowOff>485775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56</xdr:row>
          <xdr:rowOff>9525</xdr:rowOff>
        </xdr:from>
        <xdr:to>
          <xdr:col>1</xdr:col>
          <xdr:colOff>19050</xdr:colOff>
          <xdr:row>56</xdr:row>
          <xdr:rowOff>485775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57</xdr:row>
          <xdr:rowOff>9525</xdr:rowOff>
        </xdr:from>
        <xdr:to>
          <xdr:col>1</xdr:col>
          <xdr:colOff>19050</xdr:colOff>
          <xdr:row>57</xdr:row>
          <xdr:rowOff>485775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58</xdr:row>
          <xdr:rowOff>9525</xdr:rowOff>
        </xdr:from>
        <xdr:to>
          <xdr:col>1</xdr:col>
          <xdr:colOff>19050</xdr:colOff>
          <xdr:row>58</xdr:row>
          <xdr:rowOff>485775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59</xdr:row>
          <xdr:rowOff>9525</xdr:rowOff>
        </xdr:from>
        <xdr:to>
          <xdr:col>1</xdr:col>
          <xdr:colOff>19050</xdr:colOff>
          <xdr:row>59</xdr:row>
          <xdr:rowOff>485775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60</xdr:row>
          <xdr:rowOff>9525</xdr:rowOff>
        </xdr:from>
        <xdr:to>
          <xdr:col>1</xdr:col>
          <xdr:colOff>19050</xdr:colOff>
          <xdr:row>60</xdr:row>
          <xdr:rowOff>485775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61</xdr:row>
          <xdr:rowOff>9525</xdr:rowOff>
        </xdr:from>
        <xdr:to>
          <xdr:col>1</xdr:col>
          <xdr:colOff>19050</xdr:colOff>
          <xdr:row>61</xdr:row>
          <xdr:rowOff>485775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62</xdr:row>
          <xdr:rowOff>9525</xdr:rowOff>
        </xdr:from>
        <xdr:to>
          <xdr:col>1</xdr:col>
          <xdr:colOff>19050</xdr:colOff>
          <xdr:row>62</xdr:row>
          <xdr:rowOff>485775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63</xdr:row>
          <xdr:rowOff>9525</xdr:rowOff>
        </xdr:from>
        <xdr:to>
          <xdr:col>1</xdr:col>
          <xdr:colOff>19050</xdr:colOff>
          <xdr:row>63</xdr:row>
          <xdr:rowOff>485775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64</xdr:row>
          <xdr:rowOff>9525</xdr:rowOff>
        </xdr:from>
        <xdr:to>
          <xdr:col>1</xdr:col>
          <xdr:colOff>19050</xdr:colOff>
          <xdr:row>64</xdr:row>
          <xdr:rowOff>485775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65</xdr:row>
          <xdr:rowOff>9525</xdr:rowOff>
        </xdr:from>
        <xdr:to>
          <xdr:col>1</xdr:col>
          <xdr:colOff>19050</xdr:colOff>
          <xdr:row>65</xdr:row>
          <xdr:rowOff>485775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66</xdr:row>
          <xdr:rowOff>9525</xdr:rowOff>
        </xdr:from>
        <xdr:to>
          <xdr:col>1</xdr:col>
          <xdr:colOff>19050</xdr:colOff>
          <xdr:row>66</xdr:row>
          <xdr:rowOff>485775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67</xdr:row>
          <xdr:rowOff>9525</xdr:rowOff>
        </xdr:from>
        <xdr:to>
          <xdr:col>1</xdr:col>
          <xdr:colOff>19050</xdr:colOff>
          <xdr:row>67</xdr:row>
          <xdr:rowOff>485775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68</xdr:row>
          <xdr:rowOff>9525</xdr:rowOff>
        </xdr:from>
        <xdr:to>
          <xdr:col>1</xdr:col>
          <xdr:colOff>19050</xdr:colOff>
          <xdr:row>68</xdr:row>
          <xdr:rowOff>485775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69</xdr:row>
          <xdr:rowOff>9525</xdr:rowOff>
        </xdr:from>
        <xdr:to>
          <xdr:col>1</xdr:col>
          <xdr:colOff>19050</xdr:colOff>
          <xdr:row>69</xdr:row>
          <xdr:rowOff>485775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70</xdr:row>
          <xdr:rowOff>9525</xdr:rowOff>
        </xdr:from>
        <xdr:to>
          <xdr:col>1</xdr:col>
          <xdr:colOff>19050</xdr:colOff>
          <xdr:row>70</xdr:row>
          <xdr:rowOff>485775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71</xdr:row>
          <xdr:rowOff>9525</xdr:rowOff>
        </xdr:from>
        <xdr:to>
          <xdr:col>1</xdr:col>
          <xdr:colOff>19050</xdr:colOff>
          <xdr:row>71</xdr:row>
          <xdr:rowOff>485775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72</xdr:row>
          <xdr:rowOff>9525</xdr:rowOff>
        </xdr:from>
        <xdr:to>
          <xdr:col>1</xdr:col>
          <xdr:colOff>19050</xdr:colOff>
          <xdr:row>72</xdr:row>
          <xdr:rowOff>485775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73</xdr:row>
          <xdr:rowOff>9525</xdr:rowOff>
        </xdr:from>
        <xdr:to>
          <xdr:col>1</xdr:col>
          <xdr:colOff>19050</xdr:colOff>
          <xdr:row>73</xdr:row>
          <xdr:rowOff>485775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74</xdr:row>
          <xdr:rowOff>9525</xdr:rowOff>
        </xdr:from>
        <xdr:to>
          <xdr:col>1</xdr:col>
          <xdr:colOff>19050</xdr:colOff>
          <xdr:row>74</xdr:row>
          <xdr:rowOff>485775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75</xdr:row>
          <xdr:rowOff>9525</xdr:rowOff>
        </xdr:from>
        <xdr:to>
          <xdr:col>1</xdr:col>
          <xdr:colOff>19050</xdr:colOff>
          <xdr:row>75</xdr:row>
          <xdr:rowOff>485775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76</xdr:row>
          <xdr:rowOff>9525</xdr:rowOff>
        </xdr:from>
        <xdr:to>
          <xdr:col>1</xdr:col>
          <xdr:colOff>19050</xdr:colOff>
          <xdr:row>76</xdr:row>
          <xdr:rowOff>485775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77</xdr:row>
          <xdr:rowOff>9525</xdr:rowOff>
        </xdr:from>
        <xdr:to>
          <xdr:col>1</xdr:col>
          <xdr:colOff>19050</xdr:colOff>
          <xdr:row>77</xdr:row>
          <xdr:rowOff>485775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78</xdr:row>
          <xdr:rowOff>9525</xdr:rowOff>
        </xdr:from>
        <xdr:to>
          <xdr:col>1</xdr:col>
          <xdr:colOff>19050</xdr:colOff>
          <xdr:row>78</xdr:row>
          <xdr:rowOff>485775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79</xdr:row>
          <xdr:rowOff>9525</xdr:rowOff>
        </xdr:from>
        <xdr:to>
          <xdr:col>1</xdr:col>
          <xdr:colOff>19050</xdr:colOff>
          <xdr:row>79</xdr:row>
          <xdr:rowOff>485775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80</xdr:row>
          <xdr:rowOff>9525</xdr:rowOff>
        </xdr:from>
        <xdr:to>
          <xdr:col>1</xdr:col>
          <xdr:colOff>19050</xdr:colOff>
          <xdr:row>80</xdr:row>
          <xdr:rowOff>485775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81</xdr:row>
          <xdr:rowOff>9525</xdr:rowOff>
        </xdr:from>
        <xdr:to>
          <xdr:col>1</xdr:col>
          <xdr:colOff>19050</xdr:colOff>
          <xdr:row>81</xdr:row>
          <xdr:rowOff>485775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82</xdr:row>
          <xdr:rowOff>9525</xdr:rowOff>
        </xdr:from>
        <xdr:to>
          <xdr:col>1</xdr:col>
          <xdr:colOff>19050</xdr:colOff>
          <xdr:row>82</xdr:row>
          <xdr:rowOff>485775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83</xdr:row>
          <xdr:rowOff>9525</xdr:rowOff>
        </xdr:from>
        <xdr:to>
          <xdr:col>1</xdr:col>
          <xdr:colOff>19050</xdr:colOff>
          <xdr:row>83</xdr:row>
          <xdr:rowOff>485775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84</xdr:row>
          <xdr:rowOff>9525</xdr:rowOff>
        </xdr:from>
        <xdr:to>
          <xdr:col>1</xdr:col>
          <xdr:colOff>19050</xdr:colOff>
          <xdr:row>84</xdr:row>
          <xdr:rowOff>485775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85</xdr:row>
          <xdr:rowOff>9525</xdr:rowOff>
        </xdr:from>
        <xdr:to>
          <xdr:col>1</xdr:col>
          <xdr:colOff>19050</xdr:colOff>
          <xdr:row>85</xdr:row>
          <xdr:rowOff>485775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86</xdr:row>
          <xdr:rowOff>9525</xdr:rowOff>
        </xdr:from>
        <xdr:to>
          <xdr:col>1</xdr:col>
          <xdr:colOff>19050</xdr:colOff>
          <xdr:row>86</xdr:row>
          <xdr:rowOff>485775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87</xdr:row>
          <xdr:rowOff>9525</xdr:rowOff>
        </xdr:from>
        <xdr:to>
          <xdr:col>1</xdr:col>
          <xdr:colOff>19050</xdr:colOff>
          <xdr:row>87</xdr:row>
          <xdr:rowOff>485775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88</xdr:row>
          <xdr:rowOff>9525</xdr:rowOff>
        </xdr:from>
        <xdr:to>
          <xdr:col>1</xdr:col>
          <xdr:colOff>19050</xdr:colOff>
          <xdr:row>88</xdr:row>
          <xdr:rowOff>485775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89</xdr:row>
          <xdr:rowOff>9525</xdr:rowOff>
        </xdr:from>
        <xdr:to>
          <xdr:col>1</xdr:col>
          <xdr:colOff>19050</xdr:colOff>
          <xdr:row>89</xdr:row>
          <xdr:rowOff>485775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90</xdr:row>
          <xdr:rowOff>9525</xdr:rowOff>
        </xdr:from>
        <xdr:to>
          <xdr:col>1</xdr:col>
          <xdr:colOff>19050</xdr:colOff>
          <xdr:row>90</xdr:row>
          <xdr:rowOff>485775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91</xdr:row>
          <xdr:rowOff>9525</xdr:rowOff>
        </xdr:from>
        <xdr:to>
          <xdr:col>1</xdr:col>
          <xdr:colOff>19050</xdr:colOff>
          <xdr:row>91</xdr:row>
          <xdr:rowOff>485775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92</xdr:row>
          <xdr:rowOff>9525</xdr:rowOff>
        </xdr:from>
        <xdr:to>
          <xdr:col>1</xdr:col>
          <xdr:colOff>19050</xdr:colOff>
          <xdr:row>92</xdr:row>
          <xdr:rowOff>485775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93</xdr:row>
          <xdr:rowOff>9525</xdr:rowOff>
        </xdr:from>
        <xdr:to>
          <xdr:col>1</xdr:col>
          <xdr:colOff>19050</xdr:colOff>
          <xdr:row>93</xdr:row>
          <xdr:rowOff>485775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94</xdr:row>
          <xdr:rowOff>9525</xdr:rowOff>
        </xdr:from>
        <xdr:to>
          <xdr:col>1</xdr:col>
          <xdr:colOff>19050</xdr:colOff>
          <xdr:row>94</xdr:row>
          <xdr:rowOff>485775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95</xdr:row>
          <xdr:rowOff>9525</xdr:rowOff>
        </xdr:from>
        <xdr:to>
          <xdr:col>1</xdr:col>
          <xdr:colOff>19050</xdr:colOff>
          <xdr:row>95</xdr:row>
          <xdr:rowOff>485775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96</xdr:row>
          <xdr:rowOff>9525</xdr:rowOff>
        </xdr:from>
        <xdr:to>
          <xdr:col>1</xdr:col>
          <xdr:colOff>19050</xdr:colOff>
          <xdr:row>96</xdr:row>
          <xdr:rowOff>485775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97</xdr:row>
          <xdr:rowOff>9525</xdr:rowOff>
        </xdr:from>
        <xdr:to>
          <xdr:col>1</xdr:col>
          <xdr:colOff>19050</xdr:colOff>
          <xdr:row>97</xdr:row>
          <xdr:rowOff>485775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98</xdr:row>
          <xdr:rowOff>9525</xdr:rowOff>
        </xdr:from>
        <xdr:to>
          <xdr:col>1</xdr:col>
          <xdr:colOff>19050</xdr:colOff>
          <xdr:row>98</xdr:row>
          <xdr:rowOff>485775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99</xdr:row>
          <xdr:rowOff>9525</xdr:rowOff>
        </xdr:from>
        <xdr:to>
          <xdr:col>1</xdr:col>
          <xdr:colOff>19050</xdr:colOff>
          <xdr:row>99</xdr:row>
          <xdr:rowOff>485775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100</xdr:row>
          <xdr:rowOff>9525</xdr:rowOff>
        </xdr:from>
        <xdr:to>
          <xdr:col>1</xdr:col>
          <xdr:colOff>19050</xdr:colOff>
          <xdr:row>100</xdr:row>
          <xdr:rowOff>485775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101</xdr:row>
          <xdr:rowOff>9525</xdr:rowOff>
        </xdr:from>
        <xdr:to>
          <xdr:col>1</xdr:col>
          <xdr:colOff>19050</xdr:colOff>
          <xdr:row>101</xdr:row>
          <xdr:rowOff>485775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102</xdr:row>
          <xdr:rowOff>9525</xdr:rowOff>
        </xdr:from>
        <xdr:to>
          <xdr:col>1</xdr:col>
          <xdr:colOff>19050</xdr:colOff>
          <xdr:row>102</xdr:row>
          <xdr:rowOff>485775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103</xdr:row>
          <xdr:rowOff>9525</xdr:rowOff>
        </xdr:from>
        <xdr:to>
          <xdr:col>1</xdr:col>
          <xdr:colOff>19050</xdr:colOff>
          <xdr:row>103</xdr:row>
          <xdr:rowOff>485775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104</xdr:row>
          <xdr:rowOff>9525</xdr:rowOff>
        </xdr:from>
        <xdr:to>
          <xdr:col>1</xdr:col>
          <xdr:colOff>19050</xdr:colOff>
          <xdr:row>104</xdr:row>
          <xdr:rowOff>485775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105</xdr:row>
          <xdr:rowOff>9525</xdr:rowOff>
        </xdr:from>
        <xdr:to>
          <xdr:col>1</xdr:col>
          <xdr:colOff>19050</xdr:colOff>
          <xdr:row>105</xdr:row>
          <xdr:rowOff>485775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106</xdr:row>
          <xdr:rowOff>9525</xdr:rowOff>
        </xdr:from>
        <xdr:to>
          <xdr:col>1</xdr:col>
          <xdr:colOff>19050</xdr:colOff>
          <xdr:row>106</xdr:row>
          <xdr:rowOff>485775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107</xdr:row>
          <xdr:rowOff>9525</xdr:rowOff>
        </xdr:from>
        <xdr:to>
          <xdr:col>1</xdr:col>
          <xdr:colOff>19050</xdr:colOff>
          <xdr:row>107</xdr:row>
          <xdr:rowOff>485775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108</xdr:row>
          <xdr:rowOff>9525</xdr:rowOff>
        </xdr:from>
        <xdr:to>
          <xdr:col>1</xdr:col>
          <xdr:colOff>19050</xdr:colOff>
          <xdr:row>108</xdr:row>
          <xdr:rowOff>485775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109</xdr:row>
          <xdr:rowOff>9525</xdr:rowOff>
        </xdr:from>
        <xdr:to>
          <xdr:col>1</xdr:col>
          <xdr:colOff>19050</xdr:colOff>
          <xdr:row>109</xdr:row>
          <xdr:rowOff>485775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110</xdr:row>
          <xdr:rowOff>9525</xdr:rowOff>
        </xdr:from>
        <xdr:to>
          <xdr:col>1</xdr:col>
          <xdr:colOff>19050</xdr:colOff>
          <xdr:row>110</xdr:row>
          <xdr:rowOff>485775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111</xdr:row>
          <xdr:rowOff>9525</xdr:rowOff>
        </xdr:from>
        <xdr:to>
          <xdr:col>1</xdr:col>
          <xdr:colOff>19050</xdr:colOff>
          <xdr:row>111</xdr:row>
          <xdr:rowOff>485775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112</xdr:row>
          <xdr:rowOff>9525</xdr:rowOff>
        </xdr:from>
        <xdr:to>
          <xdr:col>1</xdr:col>
          <xdr:colOff>19050</xdr:colOff>
          <xdr:row>112</xdr:row>
          <xdr:rowOff>485775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113</xdr:row>
          <xdr:rowOff>9525</xdr:rowOff>
        </xdr:from>
        <xdr:to>
          <xdr:col>1</xdr:col>
          <xdr:colOff>19050</xdr:colOff>
          <xdr:row>113</xdr:row>
          <xdr:rowOff>485775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114</xdr:row>
          <xdr:rowOff>9525</xdr:rowOff>
        </xdr:from>
        <xdr:to>
          <xdr:col>1</xdr:col>
          <xdr:colOff>19050</xdr:colOff>
          <xdr:row>114</xdr:row>
          <xdr:rowOff>485775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115</xdr:row>
          <xdr:rowOff>9525</xdr:rowOff>
        </xdr:from>
        <xdr:to>
          <xdr:col>1</xdr:col>
          <xdr:colOff>19050</xdr:colOff>
          <xdr:row>115</xdr:row>
          <xdr:rowOff>485775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116</xdr:row>
          <xdr:rowOff>9525</xdr:rowOff>
        </xdr:from>
        <xdr:to>
          <xdr:col>1</xdr:col>
          <xdr:colOff>19050</xdr:colOff>
          <xdr:row>116</xdr:row>
          <xdr:rowOff>485775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117</xdr:row>
          <xdr:rowOff>9525</xdr:rowOff>
        </xdr:from>
        <xdr:to>
          <xdr:col>1</xdr:col>
          <xdr:colOff>19050</xdr:colOff>
          <xdr:row>117</xdr:row>
          <xdr:rowOff>485775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118</xdr:row>
          <xdr:rowOff>9525</xdr:rowOff>
        </xdr:from>
        <xdr:to>
          <xdr:col>1</xdr:col>
          <xdr:colOff>19050</xdr:colOff>
          <xdr:row>118</xdr:row>
          <xdr:rowOff>485775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119</xdr:row>
          <xdr:rowOff>9525</xdr:rowOff>
        </xdr:from>
        <xdr:to>
          <xdr:col>1</xdr:col>
          <xdr:colOff>19050</xdr:colOff>
          <xdr:row>119</xdr:row>
          <xdr:rowOff>485775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120</xdr:row>
          <xdr:rowOff>9525</xdr:rowOff>
        </xdr:from>
        <xdr:to>
          <xdr:col>1</xdr:col>
          <xdr:colOff>19050</xdr:colOff>
          <xdr:row>120</xdr:row>
          <xdr:rowOff>485775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121</xdr:row>
          <xdr:rowOff>9525</xdr:rowOff>
        </xdr:from>
        <xdr:to>
          <xdr:col>1</xdr:col>
          <xdr:colOff>19050</xdr:colOff>
          <xdr:row>121</xdr:row>
          <xdr:rowOff>485775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122</xdr:row>
          <xdr:rowOff>9525</xdr:rowOff>
        </xdr:from>
        <xdr:to>
          <xdr:col>1</xdr:col>
          <xdr:colOff>19050</xdr:colOff>
          <xdr:row>122</xdr:row>
          <xdr:rowOff>485775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123</xdr:row>
          <xdr:rowOff>9525</xdr:rowOff>
        </xdr:from>
        <xdr:to>
          <xdr:col>1</xdr:col>
          <xdr:colOff>19050</xdr:colOff>
          <xdr:row>123</xdr:row>
          <xdr:rowOff>485775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124</xdr:row>
          <xdr:rowOff>9525</xdr:rowOff>
        </xdr:from>
        <xdr:to>
          <xdr:col>1</xdr:col>
          <xdr:colOff>19050</xdr:colOff>
          <xdr:row>124</xdr:row>
          <xdr:rowOff>485775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125</xdr:row>
          <xdr:rowOff>9525</xdr:rowOff>
        </xdr:from>
        <xdr:to>
          <xdr:col>1</xdr:col>
          <xdr:colOff>19050</xdr:colOff>
          <xdr:row>125</xdr:row>
          <xdr:rowOff>485775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126</xdr:row>
          <xdr:rowOff>9525</xdr:rowOff>
        </xdr:from>
        <xdr:to>
          <xdr:col>1</xdr:col>
          <xdr:colOff>19050</xdr:colOff>
          <xdr:row>126</xdr:row>
          <xdr:rowOff>485775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127</xdr:row>
          <xdr:rowOff>9525</xdr:rowOff>
        </xdr:from>
        <xdr:to>
          <xdr:col>1</xdr:col>
          <xdr:colOff>19050</xdr:colOff>
          <xdr:row>127</xdr:row>
          <xdr:rowOff>485775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128</xdr:row>
          <xdr:rowOff>9525</xdr:rowOff>
        </xdr:from>
        <xdr:to>
          <xdr:col>1</xdr:col>
          <xdr:colOff>19050</xdr:colOff>
          <xdr:row>128</xdr:row>
          <xdr:rowOff>485775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129</xdr:row>
          <xdr:rowOff>9525</xdr:rowOff>
        </xdr:from>
        <xdr:to>
          <xdr:col>1</xdr:col>
          <xdr:colOff>19050</xdr:colOff>
          <xdr:row>129</xdr:row>
          <xdr:rowOff>485775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130</xdr:row>
          <xdr:rowOff>9525</xdr:rowOff>
        </xdr:from>
        <xdr:to>
          <xdr:col>1</xdr:col>
          <xdr:colOff>19050</xdr:colOff>
          <xdr:row>130</xdr:row>
          <xdr:rowOff>485775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131</xdr:row>
          <xdr:rowOff>9525</xdr:rowOff>
        </xdr:from>
        <xdr:to>
          <xdr:col>1</xdr:col>
          <xdr:colOff>19050</xdr:colOff>
          <xdr:row>131</xdr:row>
          <xdr:rowOff>485775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132</xdr:row>
          <xdr:rowOff>9525</xdr:rowOff>
        </xdr:from>
        <xdr:to>
          <xdr:col>1</xdr:col>
          <xdr:colOff>19050</xdr:colOff>
          <xdr:row>132</xdr:row>
          <xdr:rowOff>485775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133</xdr:row>
          <xdr:rowOff>9525</xdr:rowOff>
        </xdr:from>
        <xdr:to>
          <xdr:col>1</xdr:col>
          <xdr:colOff>19050</xdr:colOff>
          <xdr:row>133</xdr:row>
          <xdr:rowOff>485775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134</xdr:row>
          <xdr:rowOff>9525</xdr:rowOff>
        </xdr:from>
        <xdr:to>
          <xdr:col>1</xdr:col>
          <xdr:colOff>19050</xdr:colOff>
          <xdr:row>134</xdr:row>
          <xdr:rowOff>485775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135</xdr:row>
          <xdr:rowOff>9525</xdr:rowOff>
        </xdr:from>
        <xdr:to>
          <xdr:col>1</xdr:col>
          <xdr:colOff>19050</xdr:colOff>
          <xdr:row>135</xdr:row>
          <xdr:rowOff>485775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136</xdr:row>
          <xdr:rowOff>9525</xdr:rowOff>
        </xdr:from>
        <xdr:to>
          <xdr:col>1</xdr:col>
          <xdr:colOff>19050</xdr:colOff>
          <xdr:row>136</xdr:row>
          <xdr:rowOff>485775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137</xdr:row>
          <xdr:rowOff>9525</xdr:rowOff>
        </xdr:from>
        <xdr:to>
          <xdr:col>1</xdr:col>
          <xdr:colOff>19050</xdr:colOff>
          <xdr:row>137</xdr:row>
          <xdr:rowOff>485775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138</xdr:row>
          <xdr:rowOff>9525</xdr:rowOff>
        </xdr:from>
        <xdr:to>
          <xdr:col>1</xdr:col>
          <xdr:colOff>19050</xdr:colOff>
          <xdr:row>138</xdr:row>
          <xdr:rowOff>485775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139</xdr:row>
          <xdr:rowOff>9525</xdr:rowOff>
        </xdr:from>
        <xdr:to>
          <xdr:col>1</xdr:col>
          <xdr:colOff>19050</xdr:colOff>
          <xdr:row>139</xdr:row>
          <xdr:rowOff>485775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140</xdr:row>
          <xdr:rowOff>9525</xdr:rowOff>
        </xdr:from>
        <xdr:to>
          <xdr:col>1</xdr:col>
          <xdr:colOff>19050</xdr:colOff>
          <xdr:row>140</xdr:row>
          <xdr:rowOff>485775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Keep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38" Type="http://schemas.openxmlformats.org/officeDocument/2006/relationships/ctrlProp" Target="../ctrlProps/ctrlProp135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34" Type="http://schemas.openxmlformats.org/officeDocument/2006/relationships/ctrlProp" Target="../ctrlProps/ctrlProp131.xml"/><Relationship Id="rId139" Type="http://schemas.openxmlformats.org/officeDocument/2006/relationships/ctrlProp" Target="../ctrlProps/ctrlProp13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16" Type="http://schemas.openxmlformats.org/officeDocument/2006/relationships/ctrlProp" Target="../ctrlProps/ctrlProp113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137" Type="http://schemas.openxmlformats.org/officeDocument/2006/relationships/ctrlProp" Target="../ctrlProps/ctrlProp13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40" Type="http://schemas.openxmlformats.org/officeDocument/2006/relationships/ctrlProp" Target="../ctrlProps/ctrlProp13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43" Type="http://schemas.openxmlformats.org/officeDocument/2006/relationships/ctrlProp" Target="../ctrlProps/ctrlProp14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A20FC-8573-47A2-A40A-1A23715E614F}">
  <dimension ref="A1:BF141"/>
  <sheetViews>
    <sheetView tabSelected="1" workbookViewId="0">
      <pane ySplit="1" topLeftCell="A2" activePane="bottomLeft" state="frozen"/>
      <selection pane="bottomLeft" activeCell="D1" sqref="D1:BG1048576"/>
    </sheetView>
  </sheetViews>
  <sheetFormatPr defaultRowHeight="15" x14ac:dyDescent="0.25"/>
  <cols>
    <col min="1" max="1" width="15.85546875" customWidth="1"/>
    <col min="2" max="3" width="5.28515625" customWidth="1"/>
    <col min="4" max="4" width="15.85546875" customWidth="1"/>
    <col min="5" max="5" width="0" hidden="1" customWidth="1"/>
    <col min="6" max="6" width="30.42578125" customWidth="1"/>
    <col min="8" max="12" width="0" hidden="1" customWidth="1"/>
    <col min="13" max="13" width="18" customWidth="1"/>
    <col min="14" max="14" width="16.28515625" customWidth="1"/>
    <col min="16" max="19" width="0" hidden="1" customWidth="1"/>
    <col min="22" max="28" width="0" hidden="1" customWidth="1"/>
    <col min="30" max="30" width="0" hidden="1" customWidth="1"/>
    <col min="32" max="32" width="0" hidden="1" customWidth="1"/>
    <col min="33" max="33" width="16.5703125" customWidth="1"/>
    <col min="34" max="43" width="0" hidden="1" customWidth="1"/>
    <col min="44" max="46" width="10.42578125" customWidth="1"/>
    <col min="49" max="58" width="0" hidden="1" customWidth="1"/>
  </cols>
  <sheetData>
    <row r="1" spans="1:58" ht="39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</row>
    <row r="2" spans="1:58" ht="39.75" customHeight="1" x14ac:dyDescent="0.25">
      <c r="A2" s="1"/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H2" s="2" t="s">
        <v>63</v>
      </c>
      <c r="I2" s="2" t="s">
        <v>64</v>
      </c>
      <c r="J2" s="2" t="s">
        <v>63</v>
      </c>
      <c r="K2" s="2" t="s">
        <v>63</v>
      </c>
      <c r="L2" s="2" t="s">
        <v>65</v>
      </c>
      <c r="M2" s="1" t="s">
        <v>66</v>
      </c>
      <c r="N2" s="1" t="s">
        <v>67</v>
      </c>
      <c r="O2" s="2" t="s">
        <v>68</v>
      </c>
      <c r="Q2" s="2" t="s">
        <v>69</v>
      </c>
      <c r="R2" s="2" t="s">
        <v>70</v>
      </c>
      <c r="T2" s="2" t="s">
        <v>71</v>
      </c>
      <c r="U2" s="3">
        <v>6</v>
      </c>
      <c r="V2" s="3">
        <v>6</v>
      </c>
      <c r="W2" s="4" t="s">
        <v>72</v>
      </c>
      <c r="X2" s="4" t="s">
        <v>72</v>
      </c>
      <c r="Y2" s="4" t="s">
        <v>73</v>
      </c>
      <c r="Z2" s="4" t="s">
        <v>73</v>
      </c>
      <c r="AA2" s="3">
        <v>336</v>
      </c>
      <c r="AB2" s="3">
        <v>237</v>
      </c>
      <c r="AC2" s="3">
        <v>243</v>
      </c>
      <c r="AD2" s="3">
        <v>1</v>
      </c>
      <c r="AE2" s="3">
        <v>1</v>
      </c>
      <c r="AF2" s="3">
        <v>2</v>
      </c>
      <c r="AG2" s="3">
        <v>2</v>
      </c>
      <c r="AH2" s="3">
        <v>0</v>
      </c>
      <c r="AI2" s="3">
        <v>0</v>
      </c>
      <c r="AJ2" s="3">
        <v>1</v>
      </c>
      <c r="AK2" s="3">
        <v>1</v>
      </c>
      <c r="AL2" s="3">
        <v>1</v>
      </c>
      <c r="AM2" s="3">
        <v>1</v>
      </c>
      <c r="AN2" s="3">
        <v>0</v>
      </c>
      <c r="AO2" s="3">
        <v>0</v>
      </c>
      <c r="AP2" s="3">
        <v>0</v>
      </c>
      <c r="AQ2" s="3">
        <v>0</v>
      </c>
      <c r="AR2" s="2" t="s">
        <v>63</v>
      </c>
      <c r="AS2" s="2" t="s">
        <v>74</v>
      </c>
      <c r="AT2" s="5" t="str">
        <f>HYPERLINK("http://catalog.hathitrust.org/Record/000569002","HathiTrust Record")</f>
        <v>HathiTrust Record</v>
      </c>
      <c r="AU2" s="5" t="str">
        <f>HYPERLINK("https://creighton-primo.hosted.exlibrisgroup.com/primo-explore/search?tab=default_tab&amp;search_scope=EVERYTHING&amp;vid=01CRU&amp;lang=en_US&amp;offset=0&amp;query=any,contains,991000367829702656","Catalog Record")</f>
        <v>Catalog Record</v>
      </c>
      <c r="AV2" s="5" t="str">
        <f>HYPERLINK("http://www.worldcat.org/oclc/10404466","WorldCat Record")</f>
        <v>WorldCat Record</v>
      </c>
      <c r="AW2" s="2" t="s">
        <v>75</v>
      </c>
      <c r="AX2" s="2" t="s">
        <v>76</v>
      </c>
      <c r="AY2" s="2" t="s">
        <v>77</v>
      </c>
      <c r="AZ2" s="2" t="s">
        <v>77</v>
      </c>
      <c r="BA2" s="2" t="s">
        <v>78</v>
      </c>
      <c r="BB2" s="2" t="s">
        <v>79</v>
      </c>
      <c r="BD2" s="2" t="s">
        <v>80</v>
      </c>
      <c r="BE2" s="2" t="s">
        <v>81</v>
      </c>
      <c r="BF2" s="2" t="s">
        <v>82</v>
      </c>
    </row>
    <row r="3" spans="1:58" ht="39.75" customHeight="1" x14ac:dyDescent="0.25">
      <c r="A3" s="1"/>
      <c r="B3" s="1" t="s">
        <v>58</v>
      </c>
      <c r="C3" s="1" t="s">
        <v>59</v>
      </c>
      <c r="D3" s="1" t="s">
        <v>83</v>
      </c>
      <c r="E3" s="1" t="s">
        <v>84</v>
      </c>
      <c r="F3" s="1" t="s">
        <v>85</v>
      </c>
      <c r="H3" s="2" t="s">
        <v>63</v>
      </c>
      <c r="I3" s="2" t="s">
        <v>64</v>
      </c>
      <c r="J3" s="2" t="s">
        <v>63</v>
      </c>
      <c r="K3" s="2" t="s">
        <v>63</v>
      </c>
      <c r="L3" s="2" t="s">
        <v>65</v>
      </c>
      <c r="N3" s="1" t="s">
        <v>86</v>
      </c>
      <c r="O3" s="2" t="s">
        <v>87</v>
      </c>
      <c r="Q3" s="2" t="s">
        <v>69</v>
      </c>
      <c r="R3" s="2" t="s">
        <v>88</v>
      </c>
      <c r="T3" s="2" t="s">
        <v>71</v>
      </c>
      <c r="U3" s="3">
        <v>4</v>
      </c>
      <c r="V3" s="3">
        <v>4</v>
      </c>
      <c r="W3" s="4" t="s">
        <v>89</v>
      </c>
      <c r="X3" s="4" t="s">
        <v>89</v>
      </c>
      <c r="Y3" s="4" t="s">
        <v>73</v>
      </c>
      <c r="Z3" s="4" t="s">
        <v>73</v>
      </c>
      <c r="AA3" s="3">
        <v>261</v>
      </c>
      <c r="AB3" s="3">
        <v>236</v>
      </c>
      <c r="AC3" s="3">
        <v>308</v>
      </c>
      <c r="AD3" s="3">
        <v>1</v>
      </c>
      <c r="AE3" s="3">
        <v>2</v>
      </c>
      <c r="AF3" s="3">
        <v>10</v>
      </c>
      <c r="AG3" s="3">
        <v>13</v>
      </c>
      <c r="AH3" s="3">
        <v>4</v>
      </c>
      <c r="AI3" s="3">
        <v>4</v>
      </c>
      <c r="AJ3" s="3">
        <v>2</v>
      </c>
      <c r="AK3" s="3">
        <v>2</v>
      </c>
      <c r="AL3" s="3">
        <v>9</v>
      </c>
      <c r="AM3" s="3">
        <v>11</v>
      </c>
      <c r="AN3" s="3">
        <v>0</v>
      </c>
      <c r="AO3" s="3">
        <v>1</v>
      </c>
      <c r="AP3" s="3">
        <v>0</v>
      </c>
      <c r="AQ3" s="3">
        <v>0</v>
      </c>
      <c r="AR3" s="2" t="s">
        <v>63</v>
      </c>
      <c r="AS3" s="2" t="s">
        <v>74</v>
      </c>
      <c r="AT3" s="5" t="str">
        <f>HYPERLINK("http://catalog.hathitrust.org/Record/000022861","HathiTrust Record")</f>
        <v>HathiTrust Record</v>
      </c>
      <c r="AU3" s="5" t="str">
        <f>HYPERLINK("https://creighton-primo.hosted.exlibrisgroup.com/primo-explore/search?tab=default_tab&amp;search_scope=EVERYTHING&amp;vid=01CRU&amp;lang=en_US&amp;offset=0&amp;query=any,contains,991004605149702656","Catalog Record")</f>
        <v>Catalog Record</v>
      </c>
      <c r="AV3" s="5" t="str">
        <f>HYPERLINK("http://www.worldcat.org/oclc/4194124","WorldCat Record")</f>
        <v>WorldCat Record</v>
      </c>
      <c r="AW3" s="2" t="s">
        <v>90</v>
      </c>
      <c r="AX3" s="2" t="s">
        <v>91</v>
      </c>
      <c r="AY3" s="2" t="s">
        <v>92</v>
      </c>
      <c r="AZ3" s="2" t="s">
        <v>92</v>
      </c>
      <c r="BA3" s="2" t="s">
        <v>93</v>
      </c>
      <c r="BB3" s="2" t="s">
        <v>79</v>
      </c>
      <c r="BD3" s="2" t="s">
        <v>94</v>
      </c>
      <c r="BE3" s="2" t="s">
        <v>95</v>
      </c>
      <c r="BF3" s="2" t="s">
        <v>96</v>
      </c>
    </row>
    <row r="4" spans="1:58" ht="39.75" customHeight="1" x14ac:dyDescent="0.25">
      <c r="A4" s="1"/>
      <c r="B4" s="1" t="s">
        <v>58</v>
      </c>
      <c r="C4" s="1" t="s">
        <v>59</v>
      </c>
      <c r="D4" s="1" t="s">
        <v>97</v>
      </c>
      <c r="E4" s="1" t="s">
        <v>98</v>
      </c>
      <c r="F4" s="1" t="s">
        <v>99</v>
      </c>
      <c r="H4" s="2" t="s">
        <v>63</v>
      </c>
      <c r="I4" s="2" t="s">
        <v>64</v>
      </c>
      <c r="J4" s="2" t="s">
        <v>63</v>
      </c>
      <c r="K4" s="2" t="s">
        <v>63</v>
      </c>
      <c r="L4" s="2" t="s">
        <v>65</v>
      </c>
      <c r="N4" s="1" t="s">
        <v>100</v>
      </c>
      <c r="O4" s="2" t="s">
        <v>101</v>
      </c>
      <c r="Q4" s="2" t="s">
        <v>69</v>
      </c>
      <c r="R4" s="2" t="s">
        <v>102</v>
      </c>
      <c r="S4" s="1" t="s">
        <v>103</v>
      </c>
      <c r="T4" s="2" t="s">
        <v>71</v>
      </c>
      <c r="U4" s="3">
        <v>1</v>
      </c>
      <c r="V4" s="3">
        <v>1</v>
      </c>
      <c r="W4" s="4" t="s">
        <v>104</v>
      </c>
      <c r="X4" s="4" t="s">
        <v>104</v>
      </c>
      <c r="Y4" s="4" t="s">
        <v>105</v>
      </c>
      <c r="Z4" s="4" t="s">
        <v>105</v>
      </c>
      <c r="AA4" s="3">
        <v>233</v>
      </c>
      <c r="AB4" s="3">
        <v>167</v>
      </c>
      <c r="AC4" s="3">
        <v>174</v>
      </c>
      <c r="AD4" s="3">
        <v>1</v>
      </c>
      <c r="AE4" s="3">
        <v>1</v>
      </c>
      <c r="AF4" s="3">
        <v>4</v>
      </c>
      <c r="AG4" s="3">
        <v>4</v>
      </c>
      <c r="AH4" s="3">
        <v>2</v>
      </c>
      <c r="AI4" s="3">
        <v>2</v>
      </c>
      <c r="AJ4" s="3">
        <v>3</v>
      </c>
      <c r="AK4" s="3">
        <v>3</v>
      </c>
      <c r="AL4" s="3">
        <v>2</v>
      </c>
      <c r="AM4" s="3">
        <v>2</v>
      </c>
      <c r="AN4" s="3">
        <v>0</v>
      </c>
      <c r="AO4" s="3">
        <v>0</v>
      </c>
      <c r="AP4" s="3">
        <v>0</v>
      </c>
      <c r="AQ4" s="3">
        <v>0</v>
      </c>
      <c r="AR4" s="2" t="s">
        <v>63</v>
      </c>
      <c r="AS4" s="2" t="s">
        <v>74</v>
      </c>
      <c r="AT4" s="5" t="str">
        <f>HYPERLINK("http://catalog.hathitrust.org/Record/000017101","HathiTrust Record")</f>
        <v>HathiTrust Record</v>
      </c>
      <c r="AU4" s="5" t="str">
        <f>HYPERLINK("https://creighton-primo.hosted.exlibrisgroup.com/primo-explore/search?tab=default_tab&amp;search_scope=EVERYTHING&amp;vid=01CRU&amp;lang=en_US&amp;offset=0&amp;query=any,contains,991003803999702656","Catalog Record")</f>
        <v>Catalog Record</v>
      </c>
      <c r="AV4" s="5" t="str">
        <f>HYPERLINK("http://www.worldcat.org/oclc/1529428","WorldCat Record")</f>
        <v>WorldCat Record</v>
      </c>
      <c r="AW4" s="2" t="s">
        <v>106</v>
      </c>
      <c r="AX4" s="2" t="s">
        <v>107</v>
      </c>
      <c r="AY4" s="2" t="s">
        <v>108</v>
      </c>
      <c r="AZ4" s="2" t="s">
        <v>108</v>
      </c>
      <c r="BA4" s="2" t="s">
        <v>109</v>
      </c>
      <c r="BB4" s="2" t="s">
        <v>79</v>
      </c>
      <c r="BD4" s="2" t="s">
        <v>110</v>
      </c>
      <c r="BE4" s="2" t="s">
        <v>111</v>
      </c>
      <c r="BF4" s="2" t="s">
        <v>112</v>
      </c>
    </row>
    <row r="5" spans="1:58" ht="39.75" customHeight="1" x14ac:dyDescent="0.25">
      <c r="A5" s="1"/>
      <c r="B5" s="1" t="s">
        <v>58</v>
      </c>
      <c r="C5" s="1" t="s">
        <v>59</v>
      </c>
      <c r="D5" s="1" t="s">
        <v>113</v>
      </c>
      <c r="E5" s="1" t="s">
        <v>114</v>
      </c>
      <c r="F5" s="1" t="s">
        <v>115</v>
      </c>
      <c r="H5" s="2" t="s">
        <v>63</v>
      </c>
      <c r="I5" s="2" t="s">
        <v>64</v>
      </c>
      <c r="J5" s="2" t="s">
        <v>63</v>
      </c>
      <c r="K5" s="2" t="s">
        <v>63</v>
      </c>
      <c r="L5" s="2" t="s">
        <v>65</v>
      </c>
      <c r="N5" s="1" t="s">
        <v>116</v>
      </c>
      <c r="O5" s="2" t="s">
        <v>117</v>
      </c>
      <c r="Q5" s="2" t="s">
        <v>69</v>
      </c>
      <c r="R5" s="2" t="s">
        <v>118</v>
      </c>
      <c r="T5" s="2" t="s">
        <v>71</v>
      </c>
      <c r="U5" s="3">
        <v>5</v>
      </c>
      <c r="V5" s="3">
        <v>5</v>
      </c>
      <c r="W5" s="4" t="s">
        <v>72</v>
      </c>
      <c r="X5" s="4" t="s">
        <v>72</v>
      </c>
      <c r="Y5" s="4" t="s">
        <v>73</v>
      </c>
      <c r="Z5" s="4" t="s">
        <v>73</v>
      </c>
      <c r="AA5" s="3">
        <v>446</v>
      </c>
      <c r="AB5" s="3">
        <v>294</v>
      </c>
      <c r="AC5" s="3">
        <v>296</v>
      </c>
      <c r="AD5" s="3">
        <v>4</v>
      </c>
      <c r="AE5" s="3">
        <v>4</v>
      </c>
      <c r="AF5" s="3">
        <v>10</v>
      </c>
      <c r="AG5" s="3">
        <v>10</v>
      </c>
      <c r="AH5" s="3">
        <v>2</v>
      </c>
      <c r="AI5" s="3">
        <v>2</v>
      </c>
      <c r="AJ5" s="3">
        <v>3</v>
      </c>
      <c r="AK5" s="3">
        <v>3</v>
      </c>
      <c r="AL5" s="3">
        <v>4</v>
      </c>
      <c r="AM5" s="3">
        <v>4</v>
      </c>
      <c r="AN5" s="3">
        <v>3</v>
      </c>
      <c r="AO5" s="3">
        <v>3</v>
      </c>
      <c r="AP5" s="3">
        <v>0</v>
      </c>
      <c r="AQ5" s="3">
        <v>0</v>
      </c>
      <c r="AR5" s="2" t="s">
        <v>63</v>
      </c>
      <c r="AS5" s="2" t="s">
        <v>74</v>
      </c>
      <c r="AT5" s="5" t="str">
        <f>HYPERLINK("http://catalog.hathitrust.org/Record/000043462","HathiTrust Record")</f>
        <v>HathiTrust Record</v>
      </c>
      <c r="AU5" s="5" t="str">
        <f>HYPERLINK("https://creighton-primo.hosted.exlibrisgroup.com/primo-explore/search?tab=default_tab&amp;search_scope=EVERYTHING&amp;vid=01CRU&amp;lang=en_US&amp;offset=0&amp;query=any,contains,991004621029702656","Catalog Record")</f>
        <v>Catalog Record</v>
      </c>
      <c r="AV5" s="5" t="str">
        <f>HYPERLINK("http://www.worldcat.org/oclc/4295286","WorldCat Record")</f>
        <v>WorldCat Record</v>
      </c>
      <c r="AW5" s="2" t="s">
        <v>119</v>
      </c>
      <c r="AX5" s="2" t="s">
        <v>120</v>
      </c>
      <c r="AY5" s="2" t="s">
        <v>121</v>
      </c>
      <c r="AZ5" s="2" t="s">
        <v>121</v>
      </c>
      <c r="BA5" s="2" t="s">
        <v>122</v>
      </c>
      <c r="BB5" s="2" t="s">
        <v>79</v>
      </c>
      <c r="BD5" s="2" t="s">
        <v>123</v>
      </c>
      <c r="BE5" s="2" t="s">
        <v>124</v>
      </c>
      <c r="BF5" s="2" t="s">
        <v>125</v>
      </c>
    </row>
    <row r="6" spans="1:58" ht="39.75" customHeight="1" x14ac:dyDescent="0.25">
      <c r="A6" s="1"/>
      <c r="B6" s="1" t="s">
        <v>58</v>
      </c>
      <c r="C6" s="1" t="s">
        <v>59</v>
      </c>
      <c r="D6" s="1" t="s">
        <v>126</v>
      </c>
      <c r="E6" s="1" t="s">
        <v>127</v>
      </c>
      <c r="F6" s="1" t="s">
        <v>128</v>
      </c>
      <c r="H6" s="2" t="s">
        <v>63</v>
      </c>
      <c r="I6" s="2" t="s">
        <v>64</v>
      </c>
      <c r="J6" s="2" t="s">
        <v>63</v>
      </c>
      <c r="K6" s="2" t="s">
        <v>63</v>
      </c>
      <c r="L6" s="2" t="s">
        <v>65</v>
      </c>
      <c r="M6" s="1" t="s">
        <v>129</v>
      </c>
      <c r="N6" s="1" t="s">
        <v>130</v>
      </c>
      <c r="O6" s="2" t="s">
        <v>131</v>
      </c>
      <c r="P6" s="1" t="s">
        <v>132</v>
      </c>
      <c r="Q6" s="2" t="s">
        <v>69</v>
      </c>
      <c r="R6" s="2" t="s">
        <v>118</v>
      </c>
      <c r="T6" s="2" t="s">
        <v>71</v>
      </c>
      <c r="U6" s="3">
        <v>11</v>
      </c>
      <c r="V6" s="3">
        <v>11</v>
      </c>
      <c r="W6" s="4" t="s">
        <v>133</v>
      </c>
      <c r="X6" s="4" t="s">
        <v>133</v>
      </c>
      <c r="Y6" s="4" t="s">
        <v>134</v>
      </c>
      <c r="Z6" s="4" t="s">
        <v>134</v>
      </c>
      <c r="AA6" s="3">
        <v>841</v>
      </c>
      <c r="AB6" s="3">
        <v>680</v>
      </c>
      <c r="AC6" s="3">
        <v>695</v>
      </c>
      <c r="AD6" s="3">
        <v>4</v>
      </c>
      <c r="AE6" s="3">
        <v>4</v>
      </c>
      <c r="AF6" s="3">
        <v>29</v>
      </c>
      <c r="AG6" s="3">
        <v>29</v>
      </c>
      <c r="AH6" s="3">
        <v>11</v>
      </c>
      <c r="AI6" s="3">
        <v>11</v>
      </c>
      <c r="AJ6" s="3">
        <v>8</v>
      </c>
      <c r="AK6" s="3">
        <v>8</v>
      </c>
      <c r="AL6" s="3">
        <v>15</v>
      </c>
      <c r="AM6" s="3">
        <v>15</v>
      </c>
      <c r="AN6" s="3">
        <v>3</v>
      </c>
      <c r="AO6" s="3">
        <v>3</v>
      </c>
      <c r="AP6" s="3">
        <v>0</v>
      </c>
      <c r="AQ6" s="3">
        <v>0</v>
      </c>
      <c r="AR6" s="2" t="s">
        <v>63</v>
      </c>
      <c r="AS6" s="2" t="s">
        <v>63</v>
      </c>
      <c r="AU6" s="5" t="str">
        <f>HYPERLINK("https://creighton-primo.hosted.exlibrisgroup.com/primo-explore/search?tab=default_tab&amp;search_scope=EVERYTHING&amp;vid=01CRU&amp;lang=en_US&amp;offset=0&amp;query=any,contains,991002211389702656","Catalog Record")</f>
        <v>Catalog Record</v>
      </c>
      <c r="AV6" s="5" t="str">
        <f>HYPERLINK("http://www.worldcat.org/oclc/28424370","WorldCat Record")</f>
        <v>WorldCat Record</v>
      </c>
      <c r="AW6" s="2" t="s">
        <v>135</v>
      </c>
      <c r="AX6" s="2" t="s">
        <v>136</v>
      </c>
      <c r="AY6" s="2" t="s">
        <v>137</v>
      </c>
      <c r="AZ6" s="2" t="s">
        <v>137</v>
      </c>
      <c r="BA6" s="2" t="s">
        <v>138</v>
      </c>
      <c r="BB6" s="2" t="s">
        <v>79</v>
      </c>
      <c r="BD6" s="2" t="s">
        <v>139</v>
      </c>
      <c r="BE6" s="2" t="s">
        <v>140</v>
      </c>
      <c r="BF6" s="2" t="s">
        <v>141</v>
      </c>
    </row>
    <row r="7" spans="1:58" ht="39.75" customHeight="1" x14ac:dyDescent="0.25">
      <c r="A7" s="1"/>
      <c r="B7" s="1" t="s">
        <v>58</v>
      </c>
      <c r="C7" s="1" t="s">
        <v>59</v>
      </c>
      <c r="D7" s="1" t="s">
        <v>142</v>
      </c>
      <c r="E7" s="1" t="s">
        <v>143</v>
      </c>
      <c r="F7" s="1" t="s">
        <v>144</v>
      </c>
      <c r="H7" s="2" t="s">
        <v>63</v>
      </c>
      <c r="I7" s="2" t="s">
        <v>64</v>
      </c>
      <c r="J7" s="2" t="s">
        <v>63</v>
      </c>
      <c r="K7" s="2" t="s">
        <v>63</v>
      </c>
      <c r="L7" s="2" t="s">
        <v>65</v>
      </c>
      <c r="N7" s="1" t="s">
        <v>145</v>
      </c>
      <c r="O7" s="2" t="s">
        <v>87</v>
      </c>
      <c r="Q7" s="2" t="s">
        <v>69</v>
      </c>
      <c r="R7" s="2" t="s">
        <v>102</v>
      </c>
      <c r="S7" s="1" t="s">
        <v>146</v>
      </c>
      <c r="T7" s="2" t="s">
        <v>71</v>
      </c>
      <c r="U7" s="3">
        <v>1</v>
      </c>
      <c r="V7" s="3">
        <v>1</v>
      </c>
      <c r="W7" s="4" t="s">
        <v>147</v>
      </c>
      <c r="X7" s="4" t="s">
        <v>147</v>
      </c>
      <c r="Y7" s="4" t="s">
        <v>73</v>
      </c>
      <c r="Z7" s="4" t="s">
        <v>73</v>
      </c>
      <c r="AA7" s="3">
        <v>282</v>
      </c>
      <c r="AB7" s="3">
        <v>202</v>
      </c>
      <c r="AC7" s="3">
        <v>212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 t="s">
        <v>63</v>
      </c>
      <c r="AS7" s="2" t="s">
        <v>74</v>
      </c>
      <c r="AT7" s="5" t="str">
        <f>HYPERLINK("http://catalog.hathitrust.org/Record/000204191","HathiTrust Record")</f>
        <v>HathiTrust Record</v>
      </c>
      <c r="AU7" s="5" t="str">
        <f>HYPERLINK("https://creighton-primo.hosted.exlibrisgroup.com/primo-explore/search?tab=default_tab&amp;search_scope=EVERYTHING&amp;vid=01CRU&amp;lang=en_US&amp;offset=0&amp;query=any,contains,991004649399702656","Catalog Record")</f>
        <v>Catalog Record</v>
      </c>
      <c r="AV7" s="5" t="str">
        <f>HYPERLINK("http://www.worldcat.org/oclc/4493278","WorldCat Record")</f>
        <v>WorldCat Record</v>
      </c>
      <c r="AW7" s="2" t="s">
        <v>148</v>
      </c>
      <c r="AX7" s="2" t="s">
        <v>149</v>
      </c>
      <c r="AY7" s="2" t="s">
        <v>150</v>
      </c>
      <c r="AZ7" s="2" t="s">
        <v>150</v>
      </c>
      <c r="BA7" s="2" t="s">
        <v>151</v>
      </c>
      <c r="BB7" s="2" t="s">
        <v>79</v>
      </c>
      <c r="BD7" s="2" t="s">
        <v>152</v>
      </c>
      <c r="BE7" s="2" t="s">
        <v>153</v>
      </c>
      <c r="BF7" s="2" t="s">
        <v>154</v>
      </c>
    </row>
    <row r="8" spans="1:58" ht="39.75" customHeight="1" x14ac:dyDescent="0.25">
      <c r="A8" s="1"/>
      <c r="B8" s="1" t="s">
        <v>58</v>
      </c>
      <c r="C8" s="1" t="s">
        <v>59</v>
      </c>
      <c r="D8" s="1" t="s">
        <v>155</v>
      </c>
      <c r="E8" s="1" t="s">
        <v>156</v>
      </c>
      <c r="F8" s="1" t="s">
        <v>157</v>
      </c>
      <c r="H8" s="2" t="s">
        <v>63</v>
      </c>
      <c r="I8" s="2" t="s">
        <v>64</v>
      </c>
      <c r="J8" s="2" t="s">
        <v>63</v>
      </c>
      <c r="K8" s="2" t="s">
        <v>63</v>
      </c>
      <c r="L8" s="2" t="s">
        <v>65</v>
      </c>
      <c r="M8" s="1" t="s">
        <v>158</v>
      </c>
      <c r="N8" s="1" t="s">
        <v>159</v>
      </c>
      <c r="O8" s="2" t="s">
        <v>160</v>
      </c>
      <c r="P8" s="1" t="s">
        <v>161</v>
      </c>
      <c r="Q8" s="2" t="s">
        <v>69</v>
      </c>
      <c r="R8" s="2" t="s">
        <v>88</v>
      </c>
      <c r="S8" s="1" t="s">
        <v>162</v>
      </c>
      <c r="T8" s="2" t="s">
        <v>71</v>
      </c>
      <c r="U8" s="3">
        <v>2</v>
      </c>
      <c r="V8" s="3">
        <v>2</v>
      </c>
      <c r="W8" s="4" t="s">
        <v>163</v>
      </c>
      <c r="X8" s="4" t="s">
        <v>163</v>
      </c>
      <c r="Y8" s="4" t="s">
        <v>105</v>
      </c>
      <c r="Z8" s="4" t="s">
        <v>105</v>
      </c>
      <c r="AA8" s="3">
        <v>276</v>
      </c>
      <c r="AB8" s="3">
        <v>251</v>
      </c>
      <c r="AC8" s="3">
        <v>595</v>
      </c>
      <c r="AD8" s="3">
        <v>2</v>
      </c>
      <c r="AE8" s="3">
        <v>4</v>
      </c>
      <c r="AF8" s="3">
        <v>8</v>
      </c>
      <c r="AG8" s="3">
        <v>16</v>
      </c>
      <c r="AH8" s="3">
        <v>3</v>
      </c>
      <c r="AI8" s="3">
        <v>6</v>
      </c>
      <c r="AJ8" s="3">
        <v>1</v>
      </c>
      <c r="AK8" s="3">
        <v>4</v>
      </c>
      <c r="AL8" s="3">
        <v>4</v>
      </c>
      <c r="AM8" s="3">
        <v>8</v>
      </c>
      <c r="AN8" s="3">
        <v>1</v>
      </c>
      <c r="AO8" s="3">
        <v>2</v>
      </c>
      <c r="AP8" s="3">
        <v>0</v>
      </c>
      <c r="AQ8" s="3">
        <v>0</v>
      </c>
      <c r="AR8" s="2" t="s">
        <v>63</v>
      </c>
      <c r="AS8" s="2" t="s">
        <v>74</v>
      </c>
      <c r="AT8" s="5" t="str">
        <f>HYPERLINK("http://catalog.hathitrust.org/Record/001556422","HathiTrust Record")</f>
        <v>HathiTrust Record</v>
      </c>
      <c r="AU8" s="5" t="str">
        <f>HYPERLINK("https://creighton-primo.hosted.exlibrisgroup.com/primo-explore/search?tab=default_tab&amp;search_scope=EVERYTHING&amp;vid=01CRU&amp;lang=en_US&amp;offset=0&amp;query=any,contains,991003078909702656","Catalog Record")</f>
        <v>Catalog Record</v>
      </c>
      <c r="AV8" s="5" t="str">
        <f>HYPERLINK("http://www.worldcat.org/oclc/631880","WorldCat Record")</f>
        <v>WorldCat Record</v>
      </c>
      <c r="AW8" s="2" t="s">
        <v>164</v>
      </c>
      <c r="AX8" s="2" t="s">
        <v>165</v>
      </c>
      <c r="AY8" s="2" t="s">
        <v>166</v>
      </c>
      <c r="AZ8" s="2" t="s">
        <v>166</v>
      </c>
      <c r="BA8" s="2" t="s">
        <v>167</v>
      </c>
      <c r="BB8" s="2" t="s">
        <v>79</v>
      </c>
      <c r="BD8" s="2" t="s">
        <v>168</v>
      </c>
      <c r="BE8" s="2" t="s">
        <v>169</v>
      </c>
      <c r="BF8" s="2" t="s">
        <v>170</v>
      </c>
    </row>
    <row r="9" spans="1:58" ht="39.75" customHeight="1" x14ac:dyDescent="0.25">
      <c r="A9" s="1"/>
      <c r="B9" s="1" t="s">
        <v>58</v>
      </c>
      <c r="C9" s="1" t="s">
        <v>59</v>
      </c>
      <c r="D9" s="1" t="s">
        <v>171</v>
      </c>
      <c r="E9" s="1" t="s">
        <v>172</v>
      </c>
      <c r="F9" s="1" t="s">
        <v>173</v>
      </c>
      <c r="H9" s="2" t="s">
        <v>63</v>
      </c>
      <c r="I9" s="2" t="s">
        <v>64</v>
      </c>
      <c r="J9" s="2" t="s">
        <v>63</v>
      </c>
      <c r="K9" s="2" t="s">
        <v>63</v>
      </c>
      <c r="L9" s="2" t="s">
        <v>65</v>
      </c>
      <c r="M9" s="1" t="s">
        <v>174</v>
      </c>
      <c r="N9" s="1" t="s">
        <v>175</v>
      </c>
      <c r="O9" s="2" t="s">
        <v>176</v>
      </c>
      <c r="Q9" s="2" t="s">
        <v>69</v>
      </c>
      <c r="R9" s="2" t="s">
        <v>177</v>
      </c>
      <c r="T9" s="2" t="s">
        <v>71</v>
      </c>
      <c r="U9" s="3">
        <v>2</v>
      </c>
      <c r="V9" s="3">
        <v>2</v>
      </c>
      <c r="W9" s="4" t="s">
        <v>133</v>
      </c>
      <c r="X9" s="4" t="s">
        <v>133</v>
      </c>
      <c r="Y9" s="4" t="s">
        <v>178</v>
      </c>
      <c r="Z9" s="4" t="s">
        <v>178</v>
      </c>
      <c r="AA9" s="3">
        <v>330</v>
      </c>
      <c r="AB9" s="3">
        <v>249</v>
      </c>
      <c r="AC9" s="3">
        <v>362</v>
      </c>
      <c r="AD9" s="3">
        <v>1</v>
      </c>
      <c r="AE9" s="3">
        <v>2</v>
      </c>
      <c r="AF9" s="3">
        <v>8</v>
      </c>
      <c r="AG9" s="3">
        <v>15</v>
      </c>
      <c r="AH9" s="3">
        <v>3</v>
      </c>
      <c r="AI9" s="3">
        <v>4</v>
      </c>
      <c r="AJ9" s="3">
        <v>3</v>
      </c>
      <c r="AK9" s="3">
        <v>6</v>
      </c>
      <c r="AL9" s="3">
        <v>3</v>
      </c>
      <c r="AM9" s="3">
        <v>4</v>
      </c>
      <c r="AN9" s="3">
        <v>0</v>
      </c>
      <c r="AO9" s="3">
        <v>1</v>
      </c>
      <c r="AP9" s="3">
        <v>0</v>
      </c>
      <c r="AQ9" s="3">
        <v>1</v>
      </c>
      <c r="AR9" s="2" t="s">
        <v>63</v>
      </c>
      <c r="AS9" s="2" t="s">
        <v>63</v>
      </c>
      <c r="AU9" s="5" t="str">
        <f>HYPERLINK("https://creighton-primo.hosted.exlibrisgroup.com/primo-explore/search?tab=default_tab&amp;search_scope=EVERYTHING&amp;vid=01CRU&amp;lang=en_US&amp;offset=0&amp;query=any,contains,991003930359702656","Catalog Record")</f>
        <v>Catalog Record</v>
      </c>
      <c r="AV9" s="5" t="str">
        <f>HYPERLINK("http://www.worldcat.org/oclc/37843846","WorldCat Record")</f>
        <v>WorldCat Record</v>
      </c>
      <c r="AW9" s="2" t="s">
        <v>179</v>
      </c>
      <c r="AX9" s="2" t="s">
        <v>180</v>
      </c>
      <c r="AY9" s="2" t="s">
        <v>181</v>
      </c>
      <c r="AZ9" s="2" t="s">
        <v>181</v>
      </c>
      <c r="BA9" s="2" t="s">
        <v>182</v>
      </c>
      <c r="BB9" s="2" t="s">
        <v>79</v>
      </c>
      <c r="BD9" s="2" t="s">
        <v>183</v>
      </c>
      <c r="BE9" s="2" t="s">
        <v>184</v>
      </c>
      <c r="BF9" s="2" t="s">
        <v>185</v>
      </c>
    </row>
    <row r="10" spans="1:58" ht="39.75" customHeight="1" x14ac:dyDescent="0.25">
      <c r="A10" s="1"/>
      <c r="B10" s="1" t="s">
        <v>58</v>
      </c>
      <c r="C10" s="1" t="s">
        <v>59</v>
      </c>
      <c r="D10" s="1" t="s">
        <v>186</v>
      </c>
      <c r="E10" s="1" t="s">
        <v>187</v>
      </c>
      <c r="F10" s="1" t="s">
        <v>188</v>
      </c>
      <c r="H10" s="2" t="s">
        <v>63</v>
      </c>
      <c r="I10" s="2" t="s">
        <v>64</v>
      </c>
      <c r="J10" s="2" t="s">
        <v>63</v>
      </c>
      <c r="K10" s="2" t="s">
        <v>63</v>
      </c>
      <c r="L10" s="2" t="s">
        <v>65</v>
      </c>
      <c r="N10" s="1" t="s">
        <v>189</v>
      </c>
      <c r="O10" s="2" t="s">
        <v>190</v>
      </c>
      <c r="Q10" s="2" t="s">
        <v>69</v>
      </c>
      <c r="R10" s="2" t="s">
        <v>191</v>
      </c>
      <c r="T10" s="2" t="s">
        <v>71</v>
      </c>
      <c r="U10" s="3">
        <v>17</v>
      </c>
      <c r="V10" s="3">
        <v>17</v>
      </c>
      <c r="W10" s="4" t="s">
        <v>192</v>
      </c>
      <c r="X10" s="4" t="s">
        <v>192</v>
      </c>
      <c r="Y10" s="4" t="s">
        <v>193</v>
      </c>
      <c r="Z10" s="4" t="s">
        <v>193</v>
      </c>
      <c r="AA10" s="3">
        <v>396</v>
      </c>
      <c r="AB10" s="3">
        <v>272</v>
      </c>
      <c r="AC10" s="3">
        <v>276</v>
      </c>
      <c r="AD10" s="3">
        <v>3</v>
      </c>
      <c r="AE10" s="3">
        <v>3</v>
      </c>
      <c r="AF10" s="3">
        <v>9</v>
      </c>
      <c r="AG10" s="3">
        <v>9</v>
      </c>
      <c r="AH10" s="3">
        <v>2</v>
      </c>
      <c r="AI10" s="3">
        <v>2</v>
      </c>
      <c r="AJ10" s="3">
        <v>3</v>
      </c>
      <c r="AK10" s="3">
        <v>3</v>
      </c>
      <c r="AL10" s="3">
        <v>4</v>
      </c>
      <c r="AM10" s="3">
        <v>4</v>
      </c>
      <c r="AN10" s="3">
        <v>2</v>
      </c>
      <c r="AO10" s="3">
        <v>2</v>
      </c>
      <c r="AP10" s="3">
        <v>0</v>
      </c>
      <c r="AQ10" s="3">
        <v>0</v>
      </c>
      <c r="AR10" s="2" t="s">
        <v>63</v>
      </c>
      <c r="AS10" s="2" t="s">
        <v>63</v>
      </c>
      <c r="AU10" s="5" t="str">
        <f>HYPERLINK("https://creighton-primo.hosted.exlibrisgroup.com/primo-explore/search?tab=default_tab&amp;search_scope=EVERYTHING&amp;vid=01CRU&amp;lang=en_US&amp;offset=0&amp;query=any,contains,991002035189702656","Catalog Record")</f>
        <v>Catalog Record</v>
      </c>
      <c r="AV10" s="5" t="str">
        <f>HYPERLINK("http://www.worldcat.org/oclc/25915881","WorldCat Record")</f>
        <v>WorldCat Record</v>
      </c>
      <c r="AW10" s="2" t="s">
        <v>194</v>
      </c>
      <c r="AX10" s="2" t="s">
        <v>195</v>
      </c>
      <c r="AY10" s="2" t="s">
        <v>196</v>
      </c>
      <c r="AZ10" s="2" t="s">
        <v>196</v>
      </c>
      <c r="BA10" s="2" t="s">
        <v>197</v>
      </c>
      <c r="BB10" s="2" t="s">
        <v>79</v>
      </c>
      <c r="BD10" s="2" t="s">
        <v>198</v>
      </c>
      <c r="BE10" s="2" t="s">
        <v>199</v>
      </c>
      <c r="BF10" s="2" t="s">
        <v>200</v>
      </c>
    </row>
    <row r="11" spans="1:58" ht="39.75" customHeight="1" x14ac:dyDescent="0.25">
      <c r="A11" s="1"/>
      <c r="B11" s="1" t="s">
        <v>58</v>
      </c>
      <c r="C11" s="1" t="s">
        <v>59</v>
      </c>
      <c r="D11" s="1" t="s">
        <v>201</v>
      </c>
      <c r="E11" s="1" t="s">
        <v>202</v>
      </c>
      <c r="F11" s="1" t="s">
        <v>203</v>
      </c>
      <c r="H11" s="2" t="s">
        <v>63</v>
      </c>
      <c r="I11" s="2" t="s">
        <v>64</v>
      </c>
      <c r="J11" s="2" t="s">
        <v>63</v>
      </c>
      <c r="K11" s="2" t="s">
        <v>63</v>
      </c>
      <c r="L11" s="2" t="s">
        <v>65</v>
      </c>
      <c r="M11" s="1" t="s">
        <v>204</v>
      </c>
      <c r="N11" s="1" t="s">
        <v>205</v>
      </c>
      <c r="O11" s="2" t="s">
        <v>206</v>
      </c>
      <c r="Q11" s="2" t="s">
        <v>69</v>
      </c>
      <c r="R11" s="2" t="s">
        <v>207</v>
      </c>
      <c r="T11" s="2" t="s">
        <v>71</v>
      </c>
      <c r="U11" s="3">
        <v>5</v>
      </c>
      <c r="V11" s="3">
        <v>5</v>
      </c>
      <c r="W11" s="4" t="s">
        <v>192</v>
      </c>
      <c r="X11" s="4" t="s">
        <v>192</v>
      </c>
      <c r="Y11" s="4" t="s">
        <v>208</v>
      </c>
      <c r="Z11" s="4" t="s">
        <v>208</v>
      </c>
      <c r="AA11" s="3">
        <v>111</v>
      </c>
      <c r="AB11" s="3">
        <v>58</v>
      </c>
      <c r="AC11" s="3">
        <v>59</v>
      </c>
      <c r="AD11" s="3">
        <v>1</v>
      </c>
      <c r="AE11" s="3">
        <v>1</v>
      </c>
      <c r="AF11" s="3">
        <v>3</v>
      </c>
      <c r="AG11" s="3">
        <v>3</v>
      </c>
      <c r="AH11" s="3">
        <v>1</v>
      </c>
      <c r="AI11" s="3">
        <v>1</v>
      </c>
      <c r="AJ11" s="3">
        <v>2</v>
      </c>
      <c r="AK11" s="3">
        <v>2</v>
      </c>
      <c r="AL11" s="3">
        <v>1</v>
      </c>
      <c r="AM11" s="3">
        <v>1</v>
      </c>
      <c r="AN11" s="3">
        <v>0</v>
      </c>
      <c r="AO11" s="3">
        <v>0</v>
      </c>
      <c r="AP11" s="3">
        <v>0</v>
      </c>
      <c r="AQ11" s="3">
        <v>0</v>
      </c>
      <c r="AR11" s="2" t="s">
        <v>63</v>
      </c>
      <c r="AS11" s="2" t="s">
        <v>74</v>
      </c>
      <c r="AT11" s="5" t="str">
        <f>HYPERLINK("http://catalog.hathitrust.org/Record/004126361","HathiTrust Record")</f>
        <v>HathiTrust Record</v>
      </c>
      <c r="AU11" s="5" t="str">
        <f>HYPERLINK("https://creighton-primo.hosted.exlibrisgroup.com/primo-explore/search?tab=default_tab&amp;search_scope=EVERYTHING&amp;vid=01CRU&amp;lang=en_US&amp;offset=0&amp;query=any,contains,991003035579702656","Catalog Record")</f>
        <v>Catalog Record</v>
      </c>
      <c r="AV11" s="5" t="str">
        <f>HYPERLINK("http://www.worldcat.org/oclc/41652213","WorldCat Record")</f>
        <v>WorldCat Record</v>
      </c>
      <c r="AW11" s="2" t="s">
        <v>209</v>
      </c>
      <c r="AX11" s="2" t="s">
        <v>210</v>
      </c>
      <c r="AY11" s="2" t="s">
        <v>211</v>
      </c>
      <c r="AZ11" s="2" t="s">
        <v>211</v>
      </c>
      <c r="BA11" s="2" t="s">
        <v>212</v>
      </c>
      <c r="BB11" s="2" t="s">
        <v>79</v>
      </c>
      <c r="BD11" s="2" t="s">
        <v>213</v>
      </c>
      <c r="BE11" s="2" t="s">
        <v>214</v>
      </c>
      <c r="BF11" s="2" t="s">
        <v>215</v>
      </c>
    </row>
    <row r="12" spans="1:58" ht="39.75" customHeight="1" x14ac:dyDescent="0.25">
      <c r="A12" s="1"/>
      <c r="B12" s="1" t="s">
        <v>58</v>
      </c>
      <c r="C12" s="1" t="s">
        <v>59</v>
      </c>
      <c r="D12" s="1" t="s">
        <v>216</v>
      </c>
      <c r="E12" s="1" t="s">
        <v>217</v>
      </c>
      <c r="F12" s="1" t="s">
        <v>218</v>
      </c>
      <c r="H12" s="2" t="s">
        <v>63</v>
      </c>
      <c r="I12" s="2" t="s">
        <v>64</v>
      </c>
      <c r="J12" s="2" t="s">
        <v>63</v>
      </c>
      <c r="K12" s="2" t="s">
        <v>74</v>
      </c>
      <c r="L12" s="2" t="s">
        <v>65</v>
      </c>
      <c r="N12" s="1" t="s">
        <v>219</v>
      </c>
      <c r="O12" s="2" t="s">
        <v>220</v>
      </c>
      <c r="Q12" s="2" t="s">
        <v>69</v>
      </c>
      <c r="R12" s="2" t="s">
        <v>88</v>
      </c>
      <c r="S12" s="1" t="s">
        <v>221</v>
      </c>
      <c r="T12" s="2" t="s">
        <v>71</v>
      </c>
      <c r="U12" s="3">
        <v>3</v>
      </c>
      <c r="V12" s="3">
        <v>3</v>
      </c>
      <c r="W12" s="4" t="s">
        <v>222</v>
      </c>
      <c r="X12" s="4" t="s">
        <v>222</v>
      </c>
      <c r="Y12" s="4" t="s">
        <v>178</v>
      </c>
      <c r="Z12" s="4" t="s">
        <v>178</v>
      </c>
      <c r="AA12" s="3">
        <v>466</v>
      </c>
      <c r="AB12" s="3">
        <v>338</v>
      </c>
      <c r="AC12" s="3">
        <v>875</v>
      </c>
      <c r="AD12" s="3">
        <v>2</v>
      </c>
      <c r="AE12" s="3">
        <v>7</v>
      </c>
      <c r="AF12" s="3">
        <v>16</v>
      </c>
      <c r="AG12" s="3">
        <v>38</v>
      </c>
      <c r="AH12" s="3">
        <v>9</v>
      </c>
      <c r="AI12" s="3">
        <v>15</v>
      </c>
      <c r="AJ12" s="3">
        <v>4</v>
      </c>
      <c r="AK12" s="3">
        <v>9</v>
      </c>
      <c r="AL12" s="3">
        <v>7</v>
      </c>
      <c r="AM12" s="3">
        <v>14</v>
      </c>
      <c r="AN12" s="3">
        <v>1</v>
      </c>
      <c r="AO12" s="3">
        <v>6</v>
      </c>
      <c r="AP12" s="3">
        <v>0</v>
      </c>
      <c r="AQ12" s="3">
        <v>1</v>
      </c>
      <c r="AR12" s="2" t="s">
        <v>63</v>
      </c>
      <c r="AS12" s="2" t="s">
        <v>74</v>
      </c>
      <c r="AT12" s="5" t="str">
        <f>HYPERLINK("http://catalog.hathitrust.org/Record/004098382","HathiTrust Record")</f>
        <v>HathiTrust Record</v>
      </c>
      <c r="AU12" s="5" t="str">
        <f>HYPERLINK("https://creighton-primo.hosted.exlibrisgroup.com/primo-explore/search?tab=default_tab&amp;search_scope=EVERYTHING&amp;vid=01CRU&amp;lang=en_US&amp;offset=0&amp;query=any,contains,991003930419702656","Catalog Record")</f>
        <v>Catalog Record</v>
      </c>
      <c r="AV12" s="5" t="str">
        <f>HYPERLINK("http://www.worldcat.org/oclc/42397355","WorldCat Record")</f>
        <v>WorldCat Record</v>
      </c>
      <c r="AW12" s="2" t="s">
        <v>223</v>
      </c>
      <c r="AX12" s="2" t="s">
        <v>224</v>
      </c>
      <c r="AY12" s="2" t="s">
        <v>225</v>
      </c>
      <c r="AZ12" s="2" t="s">
        <v>225</v>
      </c>
      <c r="BA12" s="2" t="s">
        <v>226</v>
      </c>
      <c r="BB12" s="2" t="s">
        <v>79</v>
      </c>
      <c r="BD12" s="2" t="s">
        <v>227</v>
      </c>
      <c r="BE12" s="2" t="s">
        <v>228</v>
      </c>
      <c r="BF12" s="2" t="s">
        <v>229</v>
      </c>
    </row>
    <row r="13" spans="1:58" ht="39.75" customHeight="1" x14ac:dyDescent="0.25">
      <c r="A13" s="1"/>
      <c r="B13" s="1" t="s">
        <v>58</v>
      </c>
      <c r="C13" s="1" t="s">
        <v>59</v>
      </c>
      <c r="D13" s="1" t="s">
        <v>230</v>
      </c>
      <c r="E13" s="1" t="s">
        <v>231</v>
      </c>
      <c r="F13" s="1" t="s">
        <v>232</v>
      </c>
      <c r="H13" s="2" t="s">
        <v>63</v>
      </c>
      <c r="I13" s="2" t="s">
        <v>64</v>
      </c>
      <c r="J13" s="2" t="s">
        <v>63</v>
      </c>
      <c r="K13" s="2" t="s">
        <v>63</v>
      </c>
      <c r="L13" s="2" t="s">
        <v>65</v>
      </c>
      <c r="M13" s="1" t="s">
        <v>233</v>
      </c>
      <c r="N13" s="1" t="s">
        <v>234</v>
      </c>
      <c r="O13" s="2" t="s">
        <v>87</v>
      </c>
      <c r="Q13" s="2" t="s">
        <v>69</v>
      </c>
      <c r="R13" s="2" t="s">
        <v>102</v>
      </c>
      <c r="S13" s="1" t="s">
        <v>235</v>
      </c>
      <c r="T13" s="2" t="s">
        <v>71</v>
      </c>
      <c r="U13" s="3">
        <v>1</v>
      </c>
      <c r="V13" s="3">
        <v>1</v>
      </c>
      <c r="W13" s="4" t="s">
        <v>236</v>
      </c>
      <c r="X13" s="4" t="s">
        <v>236</v>
      </c>
      <c r="Y13" s="4" t="s">
        <v>73</v>
      </c>
      <c r="Z13" s="4" t="s">
        <v>73</v>
      </c>
      <c r="AA13" s="3">
        <v>295</v>
      </c>
      <c r="AB13" s="3">
        <v>249</v>
      </c>
      <c r="AC13" s="3">
        <v>277</v>
      </c>
      <c r="AD13" s="3">
        <v>3</v>
      </c>
      <c r="AE13" s="3">
        <v>3</v>
      </c>
      <c r="AF13" s="3">
        <v>6</v>
      </c>
      <c r="AG13" s="3">
        <v>6</v>
      </c>
      <c r="AH13" s="3">
        <v>3</v>
      </c>
      <c r="AI13" s="3">
        <v>3</v>
      </c>
      <c r="AJ13" s="3">
        <v>2</v>
      </c>
      <c r="AK13" s="3">
        <v>2</v>
      </c>
      <c r="AL13" s="3">
        <v>2</v>
      </c>
      <c r="AM13" s="3">
        <v>2</v>
      </c>
      <c r="AN13" s="3">
        <v>1</v>
      </c>
      <c r="AO13" s="3">
        <v>1</v>
      </c>
      <c r="AP13" s="3">
        <v>0</v>
      </c>
      <c r="AQ13" s="3">
        <v>0</v>
      </c>
      <c r="AR13" s="2" t="s">
        <v>63</v>
      </c>
      <c r="AS13" s="2" t="s">
        <v>74</v>
      </c>
      <c r="AT13" s="5" t="str">
        <f>HYPERLINK("http://catalog.hathitrust.org/Record/000029010","HathiTrust Record")</f>
        <v>HathiTrust Record</v>
      </c>
      <c r="AU13" s="5" t="str">
        <f>HYPERLINK("https://creighton-primo.hosted.exlibrisgroup.com/primo-explore/search?tab=default_tab&amp;search_scope=EVERYTHING&amp;vid=01CRU&amp;lang=en_US&amp;offset=0&amp;query=any,contains,991004909989702656","Catalog Record")</f>
        <v>Catalog Record</v>
      </c>
      <c r="AV13" s="5" t="str">
        <f>HYPERLINK("http://www.worldcat.org/oclc/5989550","WorldCat Record")</f>
        <v>WorldCat Record</v>
      </c>
      <c r="AW13" s="2" t="s">
        <v>237</v>
      </c>
      <c r="AX13" s="2" t="s">
        <v>238</v>
      </c>
      <c r="AY13" s="2" t="s">
        <v>239</v>
      </c>
      <c r="AZ13" s="2" t="s">
        <v>239</v>
      </c>
      <c r="BA13" s="2" t="s">
        <v>240</v>
      </c>
      <c r="BB13" s="2" t="s">
        <v>79</v>
      </c>
      <c r="BE13" s="2" t="s">
        <v>241</v>
      </c>
      <c r="BF13" s="2" t="s">
        <v>242</v>
      </c>
    </row>
    <row r="14" spans="1:58" ht="39.75" customHeight="1" x14ac:dyDescent="0.25">
      <c r="A14" s="1"/>
      <c r="B14" s="1" t="s">
        <v>58</v>
      </c>
      <c r="C14" s="1" t="s">
        <v>59</v>
      </c>
      <c r="D14" s="1" t="s">
        <v>243</v>
      </c>
      <c r="E14" s="1" t="s">
        <v>244</v>
      </c>
      <c r="F14" s="1" t="s">
        <v>245</v>
      </c>
      <c r="H14" s="2" t="s">
        <v>63</v>
      </c>
      <c r="I14" s="2" t="s">
        <v>64</v>
      </c>
      <c r="J14" s="2" t="s">
        <v>63</v>
      </c>
      <c r="K14" s="2" t="s">
        <v>63</v>
      </c>
      <c r="L14" s="2" t="s">
        <v>65</v>
      </c>
      <c r="M14" s="1" t="s">
        <v>246</v>
      </c>
      <c r="N14" s="1" t="s">
        <v>247</v>
      </c>
      <c r="O14" s="2" t="s">
        <v>248</v>
      </c>
      <c r="Q14" s="2" t="s">
        <v>69</v>
      </c>
      <c r="R14" s="2" t="s">
        <v>118</v>
      </c>
      <c r="T14" s="2" t="s">
        <v>71</v>
      </c>
      <c r="U14" s="3">
        <v>4</v>
      </c>
      <c r="V14" s="3">
        <v>4</v>
      </c>
      <c r="W14" s="4" t="s">
        <v>249</v>
      </c>
      <c r="X14" s="4" t="s">
        <v>249</v>
      </c>
      <c r="Y14" s="4" t="s">
        <v>250</v>
      </c>
      <c r="Z14" s="4" t="s">
        <v>250</v>
      </c>
      <c r="AA14" s="3">
        <v>357</v>
      </c>
      <c r="AB14" s="3">
        <v>200</v>
      </c>
      <c r="AC14" s="3">
        <v>201</v>
      </c>
      <c r="AD14" s="3">
        <v>4</v>
      </c>
      <c r="AE14" s="3">
        <v>4</v>
      </c>
      <c r="AF14" s="3">
        <v>9</v>
      </c>
      <c r="AG14" s="3">
        <v>9</v>
      </c>
      <c r="AH14" s="3">
        <v>3</v>
      </c>
      <c r="AI14" s="3">
        <v>3</v>
      </c>
      <c r="AJ14" s="3">
        <v>2</v>
      </c>
      <c r="AK14" s="3">
        <v>2</v>
      </c>
      <c r="AL14" s="3">
        <v>1</v>
      </c>
      <c r="AM14" s="3">
        <v>1</v>
      </c>
      <c r="AN14" s="3">
        <v>3</v>
      </c>
      <c r="AO14" s="3">
        <v>3</v>
      </c>
      <c r="AP14" s="3">
        <v>0</v>
      </c>
      <c r="AQ14" s="3">
        <v>0</v>
      </c>
      <c r="AR14" s="2" t="s">
        <v>63</v>
      </c>
      <c r="AS14" s="2" t="s">
        <v>74</v>
      </c>
      <c r="AT14" s="5" t="str">
        <f>HYPERLINK("http://catalog.hathitrust.org/Record/000820160","HathiTrust Record")</f>
        <v>HathiTrust Record</v>
      </c>
      <c r="AU14" s="5" t="str">
        <f>HYPERLINK("https://creighton-primo.hosted.exlibrisgroup.com/primo-explore/search?tab=default_tab&amp;search_scope=EVERYTHING&amp;vid=01CRU&amp;lang=en_US&amp;offset=0&amp;query=any,contains,991000816519702656","Catalog Record")</f>
        <v>Catalog Record</v>
      </c>
      <c r="AV14" s="5" t="str">
        <f>HYPERLINK("http://www.worldcat.org/oclc/13358617","WorldCat Record")</f>
        <v>WorldCat Record</v>
      </c>
      <c r="AW14" s="2" t="s">
        <v>251</v>
      </c>
      <c r="AX14" s="2" t="s">
        <v>252</v>
      </c>
      <c r="AY14" s="2" t="s">
        <v>253</v>
      </c>
      <c r="AZ14" s="2" t="s">
        <v>253</v>
      </c>
      <c r="BA14" s="2" t="s">
        <v>254</v>
      </c>
      <c r="BB14" s="2" t="s">
        <v>79</v>
      </c>
      <c r="BD14" s="2" t="s">
        <v>255</v>
      </c>
      <c r="BE14" s="2" t="s">
        <v>256</v>
      </c>
      <c r="BF14" s="2" t="s">
        <v>257</v>
      </c>
    </row>
    <row r="15" spans="1:58" ht="39.75" customHeight="1" x14ac:dyDescent="0.25">
      <c r="A15" s="1"/>
      <c r="B15" s="1" t="s">
        <v>58</v>
      </c>
      <c r="C15" s="1" t="s">
        <v>59</v>
      </c>
      <c r="D15" s="1" t="s">
        <v>258</v>
      </c>
      <c r="E15" s="1" t="s">
        <v>259</v>
      </c>
      <c r="F15" s="1" t="s">
        <v>260</v>
      </c>
      <c r="H15" s="2" t="s">
        <v>63</v>
      </c>
      <c r="I15" s="2" t="s">
        <v>64</v>
      </c>
      <c r="J15" s="2" t="s">
        <v>63</v>
      </c>
      <c r="K15" s="2" t="s">
        <v>74</v>
      </c>
      <c r="L15" s="2" t="s">
        <v>65</v>
      </c>
      <c r="M15" s="1" t="s">
        <v>261</v>
      </c>
      <c r="N15" s="1" t="s">
        <v>262</v>
      </c>
      <c r="O15" s="2" t="s">
        <v>263</v>
      </c>
      <c r="Q15" s="2" t="s">
        <v>69</v>
      </c>
      <c r="R15" s="2" t="s">
        <v>177</v>
      </c>
      <c r="T15" s="2" t="s">
        <v>71</v>
      </c>
      <c r="U15" s="3">
        <v>26</v>
      </c>
      <c r="V15" s="3">
        <v>26</v>
      </c>
      <c r="W15" s="4" t="s">
        <v>249</v>
      </c>
      <c r="X15" s="4" t="s">
        <v>249</v>
      </c>
      <c r="Y15" s="4" t="s">
        <v>250</v>
      </c>
      <c r="Z15" s="4" t="s">
        <v>250</v>
      </c>
      <c r="AA15" s="3">
        <v>596</v>
      </c>
      <c r="AB15" s="3">
        <v>438</v>
      </c>
      <c r="AC15" s="3">
        <v>593</v>
      </c>
      <c r="AD15" s="3">
        <v>2</v>
      </c>
      <c r="AE15" s="3">
        <v>4</v>
      </c>
      <c r="AF15" s="3">
        <v>14</v>
      </c>
      <c r="AG15" s="3">
        <v>23</v>
      </c>
      <c r="AH15" s="3">
        <v>4</v>
      </c>
      <c r="AI15" s="3">
        <v>8</v>
      </c>
      <c r="AJ15" s="3">
        <v>4</v>
      </c>
      <c r="AK15" s="3">
        <v>5</v>
      </c>
      <c r="AL15" s="3">
        <v>7</v>
      </c>
      <c r="AM15" s="3">
        <v>10</v>
      </c>
      <c r="AN15" s="3">
        <v>1</v>
      </c>
      <c r="AO15" s="3">
        <v>3</v>
      </c>
      <c r="AP15" s="3">
        <v>0</v>
      </c>
      <c r="AQ15" s="3">
        <v>0</v>
      </c>
      <c r="AR15" s="2" t="s">
        <v>63</v>
      </c>
      <c r="AS15" s="2" t="s">
        <v>74</v>
      </c>
      <c r="AT15" s="5" t="str">
        <f>HYPERLINK("http://catalog.hathitrust.org/Record/001083017","HathiTrust Record")</f>
        <v>HathiTrust Record</v>
      </c>
      <c r="AU15" s="5" t="str">
        <f>HYPERLINK("https://creighton-primo.hosted.exlibrisgroup.com/primo-explore/search?tab=default_tab&amp;search_scope=EVERYTHING&amp;vid=01CRU&amp;lang=en_US&amp;offset=0&amp;query=any,contains,991001373599702656","Catalog Record")</f>
        <v>Catalog Record</v>
      </c>
      <c r="AV15" s="5" t="str">
        <f>HYPERLINK("http://www.worldcat.org/oclc/18589466","WorldCat Record")</f>
        <v>WorldCat Record</v>
      </c>
      <c r="AW15" s="2" t="s">
        <v>264</v>
      </c>
      <c r="AX15" s="2" t="s">
        <v>265</v>
      </c>
      <c r="AY15" s="2" t="s">
        <v>266</v>
      </c>
      <c r="AZ15" s="2" t="s">
        <v>266</v>
      </c>
      <c r="BA15" s="2" t="s">
        <v>267</v>
      </c>
      <c r="BB15" s="2" t="s">
        <v>79</v>
      </c>
      <c r="BD15" s="2" t="s">
        <v>268</v>
      </c>
      <c r="BE15" s="2" t="s">
        <v>269</v>
      </c>
      <c r="BF15" s="2" t="s">
        <v>270</v>
      </c>
    </row>
    <row r="16" spans="1:58" ht="39.75" customHeight="1" x14ac:dyDescent="0.25">
      <c r="A16" s="1"/>
      <c r="B16" s="1" t="s">
        <v>58</v>
      </c>
      <c r="C16" s="1" t="s">
        <v>59</v>
      </c>
      <c r="D16" s="1" t="s">
        <v>271</v>
      </c>
      <c r="E16" s="1" t="s">
        <v>272</v>
      </c>
      <c r="F16" s="1" t="s">
        <v>273</v>
      </c>
      <c r="H16" s="2" t="s">
        <v>63</v>
      </c>
      <c r="I16" s="2" t="s">
        <v>64</v>
      </c>
      <c r="J16" s="2" t="s">
        <v>63</v>
      </c>
      <c r="K16" s="2" t="s">
        <v>74</v>
      </c>
      <c r="L16" s="2" t="s">
        <v>65</v>
      </c>
      <c r="N16" s="1" t="s">
        <v>274</v>
      </c>
      <c r="O16" s="2" t="s">
        <v>275</v>
      </c>
      <c r="P16" s="1" t="s">
        <v>276</v>
      </c>
      <c r="Q16" s="2" t="s">
        <v>69</v>
      </c>
      <c r="R16" s="2" t="s">
        <v>177</v>
      </c>
      <c r="T16" s="2" t="s">
        <v>71</v>
      </c>
      <c r="U16" s="3">
        <v>35</v>
      </c>
      <c r="V16" s="3">
        <v>35</v>
      </c>
      <c r="W16" s="4" t="s">
        <v>277</v>
      </c>
      <c r="X16" s="4" t="s">
        <v>277</v>
      </c>
      <c r="Y16" s="4" t="s">
        <v>278</v>
      </c>
      <c r="Z16" s="4" t="s">
        <v>278</v>
      </c>
      <c r="AA16" s="3">
        <v>390</v>
      </c>
      <c r="AB16" s="3">
        <v>236</v>
      </c>
      <c r="AC16" s="3">
        <v>593</v>
      </c>
      <c r="AD16" s="3">
        <v>3</v>
      </c>
      <c r="AE16" s="3">
        <v>4</v>
      </c>
      <c r="AF16" s="3">
        <v>9</v>
      </c>
      <c r="AG16" s="3">
        <v>23</v>
      </c>
      <c r="AH16" s="3">
        <v>3</v>
      </c>
      <c r="AI16" s="3">
        <v>8</v>
      </c>
      <c r="AJ16" s="3">
        <v>1</v>
      </c>
      <c r="AK16" s="3">
        <v>5</v>
      </c>
      <c r="AL16" s="3">
        <v>4</v>
      </c>
      <c r="AM16" s="3">
        <v>10</v>
      </c>
      <c r="AN16" s="3">
        <v>2</v>
      </c>
      <c r="AO16" s="3">
        <v>3</v>
      </c>
      <c r="AP16" s="3">
        <v>0</v>
      </c>
      <c r="AQ16" s="3">
        <v>0</v>
      </c>
      <c r="AR16" s="2" t="s">
        <v>63</v>
      </c>
      <c r="AS16" s="2" t="s">
        <v>63</v>
      </c>
      <c r="AU16" s="5" t="str">
        <f>HYPERLINK("https://creighton-primo.hosted.exlibrisgroup.com/primo-explore/search?tab=default_tab&amp;search_scope=EVERYTHING&amp;vid=01CRU&amp;lang=en_US&amp;offset=0&amp;query=any,contains,991002629009702656","Catalog Record")</f>
        <v>Catalog Record</v>
      </c>
      <c r="AV16" s="5" t="str">
        <f>HYPERLINK("http://www.worldcat.org/oclc/34473520","WorldCat Record")</f>
        <v>WorldCat Record</v>
      </c>
      <c r="AW16" s="2" t="s">
        <v>264</v>
      </c>
      <c r="AX16" s="2" t="s">
        <v>279</v>
      </c>
      <c r="AY16" s="2" t="s">
        <v>280</v>
      </c>
      <c r="AZ16" s="2" t="s">
        <v>280</v>
      </c>
      <c r="BA16" s="2" t="s">
        <v>281</v>
      </c>
      <c r="BB16" s="2" t="s">
        <v>79</v>
      </c>
      <c r="BD16" s="2" t="s">
        <v>282</v>
      </c>
      <c r="BE16" s="2" t="s">
        <v>283</v>
      </c>
      <c r="BF16" s="2" t="s">
        <v>284</v>
      </c>
    </row>
    <row r="17" spans="1:58" ht="39.75" customHeight="1" x14ac:dyDescent="0.25">
      <c r="A17" s="1"/>
      <c r="B17" s="1" t="s">
        <v>58</v>
      </c>
      <c r="C17" s="1" t="s">
        <v>59</v>
      </c>
      <c r="D17" s="1" t="s">
        <v>285</v>
      </c>
      <c r="E17" s="1" t="s">
        <v>286</v>
      </c>
      <c r="F17" s="1" t="s">
        <v>287</v>
      </c>
      <c r="H17" s="2" t="s">
        <v>63</v>
      </c>
      <c r="I17" s="2" t="s">
        <v>64</v>
      </c>
      <c r="J17" s="2" t="s">
        <v>63</v>
      </c>
      <c r="K17" s="2" t="s">
        <v>74</v>
      </c>
      <c r="L17" s="2" t="s">
        <v>65</v>
      </c>
      <c r="M17" s="1" t="s">
        <v>288</v>
      </c>
      <c r="N17" s="1" t="s">
        <v>289</v>
      </c>
      <c r="O17" s="2" t="s">
        <v>290</v>
      </c>
      <c r="Q17" s="2" t="s">
        <v>69</v>
      </c>
      <c r="R17" s="2" t="s">
        <v>88</v>
      </c>
      <c r="T17" s="2" t="s">
        <v>71</v>
      </c>
      <c r="U17" s="3">
        <v>6</v>
      </c>
      <c r="V17" s="3">
        <v>6</v>
      </c>
      <c r="W17" s="4" t="s">
        <v>291</v>
      </c>
      <c r="X17" s="4" t="s">
        <v>291</v>
      </c>
      <c r="Y17" s="4" t="s">
        <v>292</v>
      </c>
      <c r="Z17" s="4" t="s">
        <v>292</v>
      </c>
      <c r="AA17" s="3">
        <v>272</v>
      </c>
      <c r="AB17" s="3">
        <v>168</v>
      </c>
      <c r="AC17" s="3">
        <v>312</v>
      </c>
      <c r="AD17" s="3">
        <v>2</v>
      </c>
      <c r="AE17" s="3">
        <v>4</v>
      </c>
      <c r="AF17" s="3">
        <v>5</v>
      </c>
      <c r="AG17" s="3">
        <v>12</v>
      </c>
      <c r="AH17" s="3">
        <v>2</v>
      </c>
      <c r="AI17" s="3">
        <v>4</v>
      </c>
      <c r="AJ17" s="3">
        <v>1</v>
      </c>
      <c r="AK17" s="3">
        <v>3</v>
      </c>
      <c r="AL17" s="3">
        <v>3</v>
      </c>
      <c r="AM17" s="3">
        <v>5</v>
      </c>
      <c r="AN17" s="3">
        <v>1</v>
      </c>
      <c r="AO17" s="3">
        <v>3</v>
      </c>
      <c r="AP17" s="3">
        <v>0</v>
      </c>
      <c r="AQ17" s="3">
        <v>0</v>
      </c>
      <c r="AR17" s="2" t="s">
        <v>63</v>
      </c>
      <c r="AS17" s="2" t="s">
        <v>74</v>
      </c>
      <c r="AT17" s="5" t="str">
        <f>HYPERLINK("http://catalog.hathitrust.org/Record/002912343","HathiTrust Record")</f>
        <v>HathiTrust Record</v>
      </c>
      <c r="AU17" s="5" t="str">
        <f>HYPERLINK("https://creighton-primo.hosted.exlibrisgroup.com/primo-explore/search?tab=default_tab&amp;search_scope=EVERYTHING&amp;vid=01CRU&amp;lang=en_US&amp;offset=0&amp;query=any,contains,991002360559702656","Catalog Record")</f>
        <v>Catalog Record</v>
      </c>
      <c r="AV17" s="5" t="str">
        <f>HYPERLINK("http://www.worldcat.org/oclc/30701100","WorldCat Record")</f>
        <v>WorldCat Record</v>
      </c>
      <c r="AW17" s="2" t="s">
        <v>293</v>
      </c>
      <c r="AX17" s="2" t="s">
        <v>294</v>
      </c>
      <c r="AY17" s="2" t="s">
        <v>295</v>
      </c>
      <c r="AZ17" s="2" t="s">
        <v>295</v>
      </c>
      <c r="BA17" s="2" t="s">
        <v>296</v>
      </c>
      <c r="BB17" s="2" t="s">
        <v>79</v>
      </c>
      <c r="BD17" s="2" t="s">
        <v>297</v>
      </c>
      <c r="BE17" s="2" t="s">
        <v>298</v>
      </c>
      <c r="BF17" s="2" t="s">
        <v>299</v>
      </c>
    </row>
    <row r="18" spans="1:58" ht="39.75" customHeight="1" x14ac:dyDescent="0.25">
      <c r="A18" s="1"/>
      <c r="B18" s="1" t="s">
        <v>58</v>
      </c>
      <c r="C18" s="1" t="s">
        <v>59</v>
      </c>
      <c r="D18" s="1" t="s">
        <v>300</v>
      </c>
      <c r="E18" s="1" t="s">
        <v>301</v>
      </c>
      <c r="F18" s="1" t="s">
        <v>302</v>
      </c>
      <c r="H18" s="2" t="s">
        <v>63</v>
      </c>
      <c r="I18" s="2" t="s">
        <v>64</v>
      </c>
      <c r="J18" s="2" t="s">
        <v>63</v>
      </c>
      <c r="K18" s="2" t="s">
        <v>63</v>
      </c>
      <c r="L18" s="2" t="s">
        <v>65</v>
      </c>
      <c r="M18" s="1" t="s">
        <v>303</v>
      </c>
      <c r="N18" s="1" t="s">
        <v>304</v>
      </c>
      <c r="O18" s="2" t="s">
        <v>305</v>
      </c>
      <c r="P18" s="1" t="s">
        <v>306</v>
      </c>
      <c r="Q18" s="2" t="s">
        <v>69</v>
      </c>
      <c r="R18" s="2" t="s">
        <v>88</v>
      </c>
      <c r="T18" s="2" t="s">
        <v>71</v>
      </c>
      <c r="U18" s="3">
        <v>2</v>
      </c>
      <c r="V18" s="3">
        <v>2</v>
      </c>
      <c r="W18" s="4" t="s">
        <v>307</v>
      </c>
      <c r="X18" s="4" t="s">
        <v>307</v>
      </c>
      <c r="Y18" s="4" t="s">
        <v>105</v>
      </c>
      <c r="Z18" s="4" t="s">
        <v>105</v>
      </c>
      <c r="AA18" s="3">
        <v>193</v>
      </c>
      <c r="AB18" s="3">
        <v>146</v>
      </c>
      <c r="AC18" s="3">
        <v>294</v>
      </c>
      <c r="AD18" s="3">
        <v>2</v>
      </c>
      <c r="AE18" s="3">
        <v>2</v>
      </c>
      <c r="AF18" s="3">
        <v>8</v>
      </c>
      <c r="AG18" s="3">
        <v>12</v>
      </c>
      <c r="AH18" s="3">
        <v>2</v>
      </c>
      <c r="AI18" s="3">
        <v>5</v>
      </c>
      <c r="AJ18" s="3">
        <v>2</v>
      </c>
      <c r="AK18" s="3">
        <v>3</v>
      </c>
      <c r="AL18" s="3">
        <v>4</v>
      </c>
      <c r="AM18" s="3">
        <v>6</v>
      </c>
      <c r="AN18" s="3">
        <v>1</v>
      </c>
      <c r="AO18" s="3">
        <v>1</v>
      </c>
      <c r="AP18" s="3">
        <v>0</v>
      </c>
      <c r="AQ18" s="3">
        <v>0</v>
      </c>
      <c r="AR18" s="2" t="s">
        <v>63</v>
      </c>
      <c r="AS18" s="2" t="s">
        <v>74</v>
      </c>
      <c r="AT18" s="5" t="str">
        <f>HYPERLINK("http://catalog.hathitrust.org/Record/001556483","HathiTrust Record")</f>
        <v>HathiTrust Record</v>
      </c>
      <c r="AU18" s="5" t="str">
        <f>HYPERLINK("https://creighton-primo.hosted.exlibrisgroup.com/primo-explore/search?tab=default_tab&amp;search_scope=EVERYTHING&amp;vid=01CRU&amp;lang=en_US&amp;offset=0&amp;query=any,contains,991003822029702656","Catalog Record")</f>
        <v>Catalog Record</v>
      </c>
      <c r="AV18" s="5" t="str">
        <f>HYPERLINK("http://www.worldcat.org/oclc/1561297","WorldCat Record")</f>
        <v>WorldCat Record</v>
      </c>
      <c r="AW18" s="2" t="s">
        <v>308</v>
      </c>
      <c r="AX18" s="2" t="s">
        <v>309</v>
      </c>
      <c r="AY18" s="2" t="s">
        <v>310</v>
      </c>
      <c r="AZ18" s="2" t="s">
        <v>310</v>
      </c>
      <c r="BA18" s="2" t="s">
        <v>311</v>
      </c>
      <c r="BB18" s="2" t="s">
        <v>79</v>
      </c>
      <c r="BE18" s="2" t="s">
        <v>312</v>
      </c>
      <c r="BF18" s="2" t="s">
        <v>313</v>
      </c>
    </row>
    <row r="19" spans="1:58" ht="39.75" customHeight="1" x14ac:dyDescent="0.25">
      <c r="A19" s="1"/>
      <c r="B19" s="1" t="s">
        <v>58</v>
      </c>
      <c r="C19" s="1" t="s">
        <v>59</v>
      </c>
      <c r="D19" s="1" t="s">
        <v>314</v>
      </c>
      <c r="E19" s="1" t="s">
        <v>315</v>
      </c>
      <c r="F19" s="1" t="s">
        <v>316</v>
      </c>
      <c r="H19" s="2" t="s">
        <v>63</v>
      </c>
      <c r="I19" s="2" t="s">
        <v>64</v>
      </c>
      <c r="J19" s="2" t="s">
        <v>63</v>
      </c>
      <c r="K19" s="2" t="s">
        <v>63</v>
      </c>
      <c r="L19" s="2" t="s">
        <v>65</v>
      </c>
      <c r="M19" s="1" t="s">
        <v>317</v>
      </c>
      <c r="N19" s="1" t="s">
        <v>318</v>
      </c>
      <c r="O19" s="2" t="s">
        <v>319</v>
      </c>
      <c r="Q19" s="2" t="s">
        <v>69</v>
      </c>
      <c r="R19" s="2" t="s">
        <v>88</v>
      </c>
      <c r="T19" s="2" t="s">
        <v>71</v>
      </c>
      <c r="U19" s="3">
        <v>5</v>
      </c>
      <c r="V19" s="3">
        <v>5</v>
      </c>
      <c r="W19" s="4" t="s">
        <v>320</v>
      </c>
      <c r="X19" s="4" t="s">
        <v>320</v>
      </c>
      <c r="Y19" s="4" t="s">
        <v>321</v>
      </c>
      <c r="Z19" s="4" t="s">
        <v>321</v>
      </c>
      <c r="AA19" s="3">
        <v>247</v>
      </c>
      <c r="AB19" s="3">
        <v>196</v>
      </c>
      <c r="AC19" s="3">
        <v>207</v>
      </c>
      <c r="AD19" s="3">
        <v>2</v>
      </c>
      <c r="AE19" s="3">
        <v>2</v>
      </c>
      <c r="AF19" s="3">
        <v>10</v>
      </c>
      <c r="AG19" s="3">
        <v>10</v>
      </c>
      <c r="AH19" s="3">
        <v>2</v>
      </c>
      <c r="AI19" s="3">
        <v>2</v>
      </c>
      <c r="AJ19" s="3">
        <v>3</v>
      </c>
      <c r="AK19" s="3">
        <v>3</v>
      </c>
      <c r="AL19" s="3">
        <v>7</v>
      </c>
      <c r="AM19" s="3">
        <v>7</v>
      </c>
      <c r="AN19" s="3">
        <v>1</v>
      </c>
      <c r="AO19" s="3">
        <v>1</v>
      </c>
      <c r="AP19" s="3">
        <v>0</v>
      </c>
      <c r="AQ19" s="3">
        <v>0</v>
      </c>
      <c r="AR19" s="2" t="s">
        <v>63</v>
      </c>
      <c r="AS19" s="2" t="s">
        <v>74</v>
      </c>
      <c r="AT19" s="5" t="str">
        <f>HYPERLINK("http://catalog.hathitrust.org/Record/001556524","HathiTrust Record")</f>
        <v>HathiTrust Record</v>
      </c>
      <c r="AU19" s="5" t="str">
        <f>HYPERLINK("https://creighton-primo.hosted.exlibrisgroup.com/primo-explore/search?tab=default_tab&amp;search_scope=EVERYTHING&amp;vid=01CRU&amp;lang=en_US&amp;offset=0&amp;query=any,contains,991005264509702656","Catalog Record")</f>
        <v>Catalog Record</v>
      </c>
      <c r="AV19" s="5" t="str">
        <f>HYPERLINK("http://www.worldcat.org/oclc/28360","WorldCat Record")</f>
        <v>WorldCat Record</v>
      </c>
      <c r="AW19" s="2" t="s">
        <v>322</v>
      </c>
      <c r="AX19" s="2" t="s">
        <v>323</v>
      </c>
      <c r="AY19" s="2" t="s">
        <v>324</v>
      </c>
      <c r="AZ19" s="2" t="s">
        <v>324</v>
      </c>
      <c r="BA19" s="2" t="s">
        <v>325</v>
      </c>
      <c r="BB19" s="2" t="s">
        <v>79</v>
      </c>
      <c r="BD19" s="2" t="s">
        <v>326</v>
      </c>
      <c r="BE19" s="2" t="s">
        <v>327</v>
      </c>
      <c r="BF19" s="2" t="s">
        <v>328</v>
      </c>
    </row>
    <row r="20" spans="1:58" ht="39.75" customHeight="1" x14ac:dyDescent="0.25">
      <c r="A20" s="1"/>
      <c r="B20" s="1" t="s">
        <v>58</v>
      </c>
      <c r="C20" s="1" t="s">
        <v>59</v>
      </c>
      <c r="D20" s="1" t="s">
        <v>329</v>
      </c>
      <c r="E20" s="1" t="s">
        <v>330</v>
      </c>
      <c r="F20" s="1" t="s">
        <v>331</v>
      </c>
      <c r="H20" s="2" t="s">
        <v>63</v>
      </c>
      <c r="I20" s="2" t="s">
        <v>64</v>
      </c>
      <c r="J20" s="2" t="s">
        <v>74</v>
      </c>
      <c r="K20" s="2" t="s">
        <v>63</v>
      </c>
      <c r="L20" s="2" t="s">
        <v>65</v>
      </c>
      <c r="M20" s="1" t="s">
        <v>332</v>
      </c>
      <c r="N20" s="1" t="s">
        <v>333</v>
      </c>
      <c r="O20" s="2" t="s">
        <v>319</v>
      </c>
      <c r="Q20" s="2" t="s">
        <v>69</v>
      </c>
      <c r="R20" s="2" t="s">
        <v>118</v>
      </c>
      <c r="S20" s="1" t="s">
        <v>334</v>
      </c>
      <c r="T20" s="2" t="s">
        <v>71</v>
      </c>
      <c r="U20" s="3">
        <v>1</v>
      </c>
      <c r="V20" s="3">
        <v>3</v>
      </c>
      <c r="W20" s="4" t="s">
        <v>335</v>
      </c>
      <c r="X20" s="4" t="s">
        <v>335</v>
      </c>
      <c r="Y20" s="4" t="s">
        <v>105</v>
      </c>
      <c r="Z20" s="4" t="s">
        <v>105</v>
      </c>
      <c r="AA20" s="3">
        <v>157</v>
      </c>
      <c r="AB20" s="3">
        <v>114</v>
      </c>
      <c r="AC20" s="3">
        <v>114</v>
      </c>
      <c r="AD20" s="3">
        <v>2</v>
      </c>
      <c r="AE20" s="3">
        <v>2</v>
      </c>
      <c r="AF20" s="3">
        <v>3</v>
      </c>
      <c r="AG20" s="3">
        <v>3</v>
      </c>
      <c r="AH20" s="3">
        <v>2</v>
      </c>
      <c r="AI20" s="3">
        <v>2</v>
      </c>
      <c r="AJ20" s="3">
        <v>0</v>
      </c>
      <c r="AK20" s="3">
        <v>0</v>
      </c>
      <c r="AL20" s="3">
        <v>2</v>
      </c>
      <c r="AM20" s="3">
        <v>2</v>
      </c>
      <c r="AN20" s="3">
        <v>0</v>
      </c>
      <c r="AO20" s="3">
        <v>0</v>
      </c>
      <c r="AP20" s="3">
        <v>0</v>
      </c>
      <c r="AQ20" s="3">
        <v>0</v>
      </c>
      <c r="AR20" s="2" t="s">
        <v>63</v>
      </c>
      <c r="AS20" s="2" t="s">
        <v>63</v>
      </c>
      <c r="AU20" s="5" t="str">
        <f>HYPERLINK("https://creighton-primo.hosted.exlibrisgroup.com/primo-explore/search?tab=default_tab&amp;search_scope=EVERYTHING&amp;vid=01CRU&amp;lang=en_US&amp;offset=0&amp;query=any,contains,991001785789702656","Catalog Record")</f>
        <v>Catalog Record</v>
      </c>
      <c r="AV20" s="5" t="str">
        <f>HYPERLINK("http://www.worldcat.org/oclc/204389","WorldCat Record")</f>
        <v>WorldCat Record</v>
      </c>
      <c r="AW20" s="2" t="s">
        <v>336</v>
      </c>
      <c r="AX20" s="2" t="s">
        <v>337</v>
      </c>
      <c r="AY20" s="2" t="s">
        <v>338</v>
      </c>
      <c r="AZ20" s="2" t="s">
        <v>338</v>
      </c>
      <c r="BA20" s="2" t="s">
        <v>339</v>
      </c>
      <c r="BB20" s="2" t="s">
        <v>79</v>
      </c>
      <c r="BD20" s="2" t="s">
        <v>340</v>
      </c>
      <c r="BE20" s="2" t="s">
        <v>341</v>
      </c>
      <c r="BF20" s="2" t="s">
        <v>342</v>
      </c>
    </row>
    <row r="21" spans="1:58" ht="39.75" customHeight="1" x14ac:dyDescent="0.25">
      <c r="A21" s="1"/>
      <c r="B21" s="1" t="s">
        <v>58</v>
      </c>
      <c r="C21" s="1" t="s">
        <v>59</v>
      </c>
      <c r="D21" s="1" t="s">
        <v>343</v>
      </c>
      <c r="E21" s="1" t="s">
        <v>344</v>
      </c>
      <c r="F21" s="1" t="s">
        <v>345</v>
      </c>
      <c r="H21" s="2" t="s">
        <v>63</v>
      </c>
      <c r="I21" s="2" t="s">
        <v>64</v>
      </c>
      <c r="J21" s="2" t="s">
        <v>74</v>
      </c>
      <c r="K21" s="2" t="s">
        <v>63</v>
      </c>
      <c r="L21" s="2" t="s">
        <v>65</v>
      </c>
      <c r="M21" s="1" t="s">
        <v>346</v>
      </c>
      <c r="N21" s="1" t="s">
        <v>347</v>
      </c>
      <c r="O21" s="2" t="s">
        <v>348</v>
      </c>
      <c r="Q21" s="2" t="s">
        <v>69</v>
      </c>
      <c r="R21" s="2" t="s">
        <v>191</v>
      </c>
      <c r="S21" s="1" t="s">
        <v>349</v>
      </c>
      <c r="T21" s="2" t="s">
        <v>71</v>
      </c>
      <c r="U21" s="3">
        <v>4</v>
      </c>
      <c r="V21" s="3">
        <v>6</v>
      </c>
      <c r="W21" s="4" t="s">
        <v>350</v>
      </c>
      <c r="X21" s="4" t="s">
        <v>350</v>
      </c>
      <c r="Y21" s="4" t="s">
        <v>105</v>
      </c>
      <c r="Z21" s="4" t="s">
        <v>105</v>
      </c>
      <c r="AA21" s="3">
        <v>508</v>
      </c>
      <c r="AB21" s="3">
        <v>432</v>
      </c>
      <c r="AC21" s="3">
        <v>448</v>
      </c>
      <c r="AD21" s="3">
        <v>6</v>
      </c>
      <c r="AE21" s="3">
        <v>6</v>
      </c>
      <c r="AF21" s="3">
        <v>17</v>
      </c>
      <c r="AG21" s="3">
        <v>18</v>
      </c>
      <c r="AH21" s="3">
        <v>5</v>
      </c>
      <c r="AI21" s="3">
        <v>5</v>
      </c>
      <c r="AJ21" s="3">
        <v>2</v>
      </c>
      <c r="AK21" s="3">
        <v>3</v>
      </c>
      <c r="AL21" s="3">
        <v>11</v>
      </c>
      <c r="AM21" s="3">
        <v>11</v>
      </c>
      <c r="AN21" s="3">
        <v>4</v>
      </c>
      <c r="AO21" s="3">
        <v>4</v>
      </c>
      <c r="AP21" s="3">
        <v>0</v>
      </c>
      <c r="AQ21" s="3">
        <v>0</v>
      </c>
      <c r="AR21" s="2" t="s">
        <v>63</v>
      </c>
      <c r="AS21" s="2" t="s">
        <v>74</v>
      </c>
      <c r="AT21" s="5" t="str">
        <f>HYPERLINK("http://catalog.hathitrust.org/Record/001556544","HathiTrust Record")</f>
        <v>HathiTrust Record</v>
      </c>
      <c r="AU21" s="5" t="str">
        <f>HYPERLINK("https://creighton-primo.hosted.exlibrisgroup.com/primo-explore/search?tab=default_tab&amp;search_scope=EVERYTHING&amp;vid=01CRU&amp;lang=en_US&amp;offset=0&amp;query=any,contains,991001779929702656","Catalog Record")</f>
        <v>Catalog Record</v>
      </c>
      <c r="AV21" s="5" t="str">
        <f>HYPERLINK("http://www.worldcat.org/oclc/326252","WorldCat Record")</f>
        <v>WorldCat Record</v>
      </c>
      <c r="AW21" s="2" t="s">
        <v>351</v>
      </c>
      <c r="AX21" s="2" t="s">
        <v>352</v>
      </c>
      <c r="AY21" s="2" t="s">
        <v>353</v>
      </c>
      <c r="AZ21" s="2" t="s">
        <v>353</v>
      </c>
      <c r="BA21" s="2" t="s">
        <v>354</v>
      </c>
      <c r="BB21" s="2" t="s">
        <v>79</v>
      </c>
      <c r="BE21" s="2" t="s">
        <v>355</v>
      </c>
      <c r="BF21" s="2" t="s">
        <v>356</v>
      </c>
    </row>
    <row r="22" spans="1:58" ht="39.75" customHeight="1" x14ac:dyDescent="0.25">
      <c r="A22" s="1"/>
      <c r="B22" s="1" t="s">
        <v>58</v>
      </c>
      <c r="C22" s="1" t="s">
        <v>59</v>
      </c>
      <c r="D22" s="1" t="s">
        <v>357</v>
      </c>
      <c r="E22" s="1" t="s">
        <v>358</v>
      </c>
      <c r="F22" s="1" t="s">
        <v>359</v>
      </c>
      <c r="H22" s="2" t="s">
        <v>63</v>
      </c>
      <c r="I22" s="2" t="s">
        <v>64</v>
      </c>
      <c r="J22" s="2" t="s">
        <v>63</v>
      </c>
      <c r="K22" s="2" t="s">
        <v>63</v>
      </c>
      <c r="L22" s="2" t="s">
        <v>65</v>
      </c>
      <c r="M22" s="1" t="s">
        <v>360</v>
      </c>
      <c r="N22" s="1" t="s">
        <v>361</v>
      </c>
      <c r="O22" s="2" t="s">
        <v>362</v>
      </c>
      <c r="Q22" s="2" t="s">
        <v>69</v>
      </c>
      <c r="R22" s="2" t="s">
        <v>88</v>
      </c>
      <c r="T22" s="2" t="s">
        <v>71</v>
      </c>
      <c r="U22" s="3">
        <v>5</v>
      </c>
      <c r="V22" s="3">
        <v>5</v>
      </c>
      <c r="W22" s="4" t="s">
        <v>363</v>
      </c>
      <c r="X22" s="4" t="s">
        <v>363</v>
      </c>
      <c r="Y22" s="4" t="s">
        <v>364</v>
      </c>
      <c r="Z22" s="4" t="s">
        <v>364</v>
      </c>
      <c r="AA22" s="3">
        <v>348</v>
      </c>
      <c r="AB22" s="3">
        <v>274</v>
      </c>
      <c r="AC22" s="3">
        <v>281</v>
      </c>
      <c r="AD22" s="3">
        <v>3</v>
      </c>
      <c r="AE22" s="3">
        <v>3</v>
      </c>
      <c r="AF22" s="3">
        <v>9</v>
      </c>
      <c r="AG22" s="3">
        <v>9</v>
      </c>
      <c r="AH22" s="3">
        <v>3</v>
      </c>
      <c r="AI22" s="3">
        <v>3</v>
      </c>
      <c r="AJ22" s="3">
        <v>2</v>
      </c>
      <c r="AK22" s="3">
        <v>2</v>
      </c>
      <c r="AL22" s="3">
        <v>5</v>
      </c>
      <c r="AM22" s="3">
        <v>5</v>
      </c>
      <c r="AN22" s="3">
        <v>2</v>
      </c>
      <c r="AO22" s="3">
        <v>2</v>
      </c>
      <c r="AP22" s="3">
        <v>0</v>
      </c>
      <c r="AQ22" s="3">
        <v>0</v>
      </c>
      <c r="AR22" s="2" t="s">
        <v>74</v>
      </c>
      <c r="AS22" s="2" t="s">
        <v>63</v>
      </c>
      <c r="AT22" s="5" t="str">
        <f>HYPERLINK("http://catalog.hathitrust.org/Record/001577063","HathiTrust Record")</f>
        <v>HathiTrust Record</v>
      </c>
      <c r="AU22" s="5" t="str">
        <f>HYPERLINK("https://creighton-primo.hosted.exlibrisgroup.com/primo-explore/search?tab=default_tab&amp;search_scope=EVERYTHING&amp;vid=01CRU&amp;lang=en_US&amp;offset=0&amp;query=any,contains,991002990409702656","Catalog Record")</f>
        <v>Catalog Record</v>
      </c>
      <c r="AV22" s="5" t="str">
        <f>HYPERLINK("http://www.worldcat.org/oclc/560310","WorldCat Record")</f>
        <v>WorldCat Record</v>
      </c>
      <c r="AW22" s="2" t="s">
        <v>365</v>
      </c>
      <c r="AX22" s="2" t="s">
        <v>366</v>
      </c>
      <c r="AY22" s="2" t="s">
        <v>367</v>
      </c>
      <c r="AZ22" s="2" t="s">
        <v>367</v>
      </c>
      <c r="BA22" s="2" t="s">
        <v>368</v>
      </c>
      <c r="BB22" s="2" t="s">
        <v>79</v>
      </c>
      <c r="BE22" s="2" t="s">
        <v>369</v>
      </c>
      <c r="BF22" s="2" t="s">
        <v>370</v>
      </c>
    </row>
    <row r="23" spans="1:58" ht="39.75" customHeight="1" x14ac:dyDescent="0.25">
      <c r="A23" s="1"/>
      <c r="B23" s="1" t="s">
        <v>58</v>
      </c>
      <c r="C23" s="1" t="s">
        <v>59</v>
      </c>
      <c r="D23" s="1" t="s">
        <v>371</v>
      </c>
      <c r="E23" s="1" t="s">
        <v>372</v>
      </c>
      <c r="F23" s="1" t="s">
        <v>373</v>
      </c>
      <c r="H23" s="2" t="s">
        <v>63</v>
      </c>
      <c r="I23" s="2" t="s">
        <v>64</v>
      </c>
      <c r="J23" s="2" t="s">
        <v>63</v>
      </c>
      <c r="K23" s="2" t="s">
        <v>63</v>
      </c>
      <c r="L23" s="2" t="s">
        <v>65</v>
      </c>
      <c r="M23" s="1" t="s">
        <v>374</v>
      </c>
      <c r="N23" s="1" t="s">
        <v>375</v>
      </c>
      <c r="O23" s="2" t="s">
        <v>263</v>
      </c>
      <c r="Q23" s="2" t="s">
        <v>69</v>
      </c>
      <c r="R23" s="2" t="s">
        <v>118</v>
      </c>
      <c r="T23" s="2" t="s">
        <v>71</v>
      </c>
      <c r="U23" s="3">
        <v>12</v>
      </c>
      <c r="V23" s="3">
        <v>12</v>
      </c>
      <c r="W23" s="4" t="s">
        <v>376</v>
      </c>
      <c r="X23" s="4" t="s">
        <v>376</v>
      </c>
      <c r="Y23" s="4" t="s">
        <v>377</v>
      </c>
      <c r="Z23" s="4" t="s">
        <v>377</v>
      </c>
      <c r="AA23" s="3">
        <v>50</v>
      </c>
      <c r="AB23" s="3">
        <v>12</v>
      </c>
      <c r="AC23" s="3">
        <v>15</v>
      </c>
      <c r="AD23" s="3">
        <v>1</v>
      </c>
      <c r="AE23" s="3">
        <v>1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2" t="s">
        <v>63</v>
      </c>
      <c r="AS23" s="2" t="s">
        <v>63</v>
      </c>
      <c r="AU23" s="5" t="str">
        <f>HYPERLINK("https://creighton-primo.hosted.exlibrisgroup.com/primo-explore/search?tab=default_tab&amp;search_scope=EVERYTHING&amp;vid=01CRU&amp;lang=en_US&amp;offset=0&amp;query=any,contains,991001573009702656","Catalog Record")</f>
        <v>Catalog Record</v>
      </c>
      <c r="AV23" s="5" t="str">
        <f>HYPERLINK("http://www.worldcat.org/oclc/20416680","WorldCat Record")</f>
        <v>WorldCat Record</v>
      </c>
      <c r="AW23" s="2" t="s">
        <v>378</v>
      </c>
      <c r="AX23" s="2" t="s">
        <v>379</v>
      </c>
      <c r="AY23" s="2" t="s">
        <v>380</v>
      </c>
      <c r="AZ23" s="2" t="s">
        <v>380</v>
      </c>
      <c r="BA23" s="2" t="s">
        <v>381</v>
      </c>
      <c r="BB23" s="2" t="s">
        <v>79</v>
      </c>
      <c r="BD23" s="2" t="s">
        <v>382</v>
      </c>
      <c r="BE23" s="2" t="s">
        <v>383</v>
      </c>
      <c r="BF23" s="2" t="s">
        <v>384</v>
      </c>
    </row>
    <row r="24" spans="1:58" ht="39.75" customHeight="1" x14ac:dyDescent="0.25">
      <c r="A24" s="1"/>
      <c r="B24" s="1" t="s">
        <v>58</v>
      </c>
      <c r="C24" s="1" t="s">
        <v>59</v>
      </c>
      <c r="D24" s="1" t="s">
        <v>385</v>
      </c>
      <c r="E24" s="1" t="s">
        <v>386</v>
      </c>
      <c r="F24" s="1" t="s">
        <v>387</v>
      </c>
      <c r="H24" s="2" t="s">
        <v>63</v>
      </c>
      <c r="I24" s="2" t="s">
        <v>64</v>
      </c>
      <c r="J24" s="2" t="s">
        <v>63</v>
      </c>
      <c r="K24" s="2" t="s">
        <v>63</v>
      </c>
      <c r="L24" s="2" t="s">
        <v>65</v>
      </c>
      <c r="M24" s="1" t="s">
        <v>388</v>
      </c>
      <c r="N24" s="1" t="s">
        <v>389</v>
      </c>
      <c r="O24" s="2" t="s">
        <v>390</v>
      </c>
      <c r="Q24" s="2" t="s">
        <v>69</v>
      </c>
      <c r="R24" s="2" t="s">
        <v>88</v>
      </c>
      <c r="T24" s="2" t="s">
        <v>71</v>
      </c>
      <c r="U24" s="3">
        <v>2</v>
      </c>
      <c r="V24" s="3">
        <v>2</v>
      </c>
      <c r="W24" s="4" t="s">
        <v>391</v>
      </c>
      <c r="X24" s="4" t="s">
        <v>391</v>
      </c>
      <c r="Y24" s="4" t="s">
        <v>364</v>
      </c>
      <c r="Z24" s="4" t="s">
        <v>364</v>
      </c>
      <c r="AA24" s="3">
        <v>153</v>
      </c>
      <c r="AB24" s="3">
        <v>142</v>
      </c>
      <c r="AC24" s="3">
        <v>318</v>
      </c>
      <c r="AD24" s="3">
        <v>1</v>
      </c>
      <c r="AE24" s="3">
        <v>2</v>
      </c>
      <c r="AF24" s="3">
        <v>3</v>
      </c>
      <c r="AG24" s="3">
        <v>11</v>
      </c>
      <c r="AH24" s="3">
        <v>1</v>
      </c>
      <c r="AI24" s="3">
        <v>4</v>
      </c>
      <c r="AJ24" s="3">
        <v>2</v>
      </c>
      <c r="AK24" s="3">
        <v>2</v>
      </c>
      <c r="AL24" s="3">
        <v>1</v>
      </c>
      <c r="AM24" s="3">
        <v>7</v>
      </c>
      <c r="AN24" s="3">
        <v>0</v>
      </c>
      <c r="AO24" s="3">
        <v>1</v>
      </c>
      <c r="AP24" s="3">
        <v>0</v>
      </c>
      <c r="AQ24" s="3">
        <v>0</v>
      </c>
      <c r="AR24" s="2" t="s">
        <v>63</v>
      </c>
      <c r="AS24" s="2" t="s">
        <v>74</v>
      </c>
      <c r="AT24" s="5" t="str">
        <f>HYPERLINK("http://catalog.hathitrust.org/Record/005710052","HathiTrust Record")</f>
        <v>HathiTrust Record</v>
      </c>
      <c r="AU24" s="5" t="str">
        <f>HYPERLINK("https://creighton-primo.hosted.exlibrisgroup.com/primo-explore/search?tab=default_tab&amp;search_scope=EVERYTHING&amp;vid=01CRU&amp;lang=en_US&amp;offset=0&amp;query=any,contains,991004371059702656","Catalog Record")</f>
        <v>Catalog Record</v>
      </c>
      <c r="AV24" s="5" t="str">
        <f>HYPERLINK("http://www.worldcat.org/oclc/3190507","WorldCat Record")</f>
        <v>WorldCat Record</v>
      </c>
      <c r="AW24" s="2" t="s">
        <v>392</v>
      </c>
      <c r="AX24" s="2" t="s">
        <v>393</v>
      </c>
      <c r="AY24" s="2" t="s">
        <v>394</v>
      </c>
      <c r="AZ24" s="2" t="s">
        <v>394</v>
      </c>
      <c r="BA24" s="2" t="s">
        <v>395</v>
      </c>
      <c r="BB24" s="2" t="s">
        <v>79</v>
      </c>
      <c r="BE24" s="2" t="s">
        <v>396</v>
      </c>
      <c r="BF24" s="2" t="s">
        <v>397</v>
      </c>
    </row>
    <row r="25" spans="1:58" ht="39.75" customHeight="1" x14ac:dyDescent="0.25">
      <c r="A25" s="1"/>
      <c r="B25" s="1" t="s">
        <v>58</v>
      </c>
      <c r="C25" s="1" t="s">
        <v>59</v>
      </c>
      <c r="D25" s="1" t="s">
        <v>398</v>
      </c>
      <c r="E25" s="1" t="s">
        <v>399</v>
      </c>
      <c r="F25" s="1" t="s">
        <v>400</v>
      </c>
      <c r="H25" s="2" t="s">
        <v>63</v>
      </c>
      <c r="I25" s="2" t="s">
        <v>64</v>
      </c>
      <c r="J25" s="2" t="s">
        <v>63</v>
      </c>
      <c r="K25" s="2" t="s">
        <v>63</v>
      </c>
      <c r="L25" s="2" t="s">
        <v>65</v>
      </c>
      <c r="M25" s="1" t="s">
        <v>401</v>
      </c>
      <c r="N25" s="1" t="s">
        <v>402</v>
      </c>
      <c r="O25" s="2" t="s">
        <v>403</v>
      </c>
      <c r="P25" s="1" t="s">
        <v>404</v>
      </c>
      <c r="Q25" s="2" t="s">
        <v>69</v>
      </c>
      <c r="R25" s="2" t="s">
        <v>405</v>
      </c>
      <c r="T25" s="2" t="s">
        <v>71</v>
      </c>
      <c r="U25" s="3">
        <v>1</v>
      </c>
      <c r="V25" s="3">
        <v>1</v>
      </c>
      <c r="W25" s="4" t="s">
        <v>406</v>
      </c>
      <c r="X25" s="4" t="s">
        <v>406</v>
      </c>
      <c r="Y25" s="4" t="s">
        <v>105</v>
      </c>
      <c r="Z25" s="4" t="s">
        <v>105</v>
      </c>
      <c r="AA25" s="3">
        <v>121</v>
      </c>
      <c r="AB25" s="3">
        <v>108</v>
      </c>
      <c r="AC25" s="3">
        <v>118</v>
      </c>
      <c r="AD25" s="3">
        <v>2</v>
      </c>
      <c r="AE25" s="3">
        <v>2</v>
      </c>
      <c r="AF25" s="3">
        <v>4</v>
      </c>
      <c r="AG25" s="3">
        <v>4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0</v>
      </c>
      <c r="AQ25" s="3">
        <v>0</v>
      </c>
      <c r="AR25" s="2" t="s">
        <v>74</v>
      </c>
      <c r="AS25" s="2" t="s">
        <v>63</v>
      </c>
      <c r="AT25" s="5" t="str">
        <f>HYPERLINK("http://catalog.hathitrust.org/Record/001556555","HathiTrust Record")</f>
        <v>HathiTrust Record</v>
      </c>
      <c r="AU25" s="5" t="str">
        <f>HYPERLINK("https://creighton-primo.hosted.exlibrisgroup.com/primo-explore/search?tab=default_tab&amp;search_scope=EVERYTHING&amp;vid=01CRU&amp;lang=en_US&amp;offset=0&amp;query=any,contains,991003021479702656","Catalog Record")</f>
        <v>Catalog Record</v>
      </c>
      <c r="AV25" s="5" t="str">
        <f>HYPERLINK("http://www.worldcat.org/oclc/586303","WorldCat Record")</f>
        <v>WorldCat Record</v>
      </c>
      <c r="AW25" s="2" t="s">
        <v>407</v>
      </c>
      <c r="AX25" s="2" t="s">
        <v>408</v>
      </c>
      <c r="AY25" s="2" t="s">
        <v>409</v>
      </c>
      <c r="AZ25" s="2" t="s">
        <v>409</v>
      </c>
      <c r="BA25" s="2" t="s">
        <v>410</v>
      </c>
      <c r="BB25" s="2" t="s">
        <v>79</v>
      </c>
      <c r="BE25" s="2" t="s">
        <v>411</v>
      </c>
      <c r="BF25" s="2" t="s">
        <v>412</v>
      </c>
    </row>
    <row r="26" spans="1:58" ht="39.75" customHeight="1" x14ac:dyDescent="0.25">
      <c r="A26" s="1"/>
      <c r="B26" s="1" t="s">
        <v>58</v>
      </c>
      <c r="C26" s="1" t="s">
        <v>59</v>
      </c>
      <c r="D26" s="1" t="s">
        <v>413</v>
      </c>
      <c r="E26" s="1" t="s">
        <v>414</v>
      </c>
      <c r="F26" s="1" t="s">
        <v>415</v>
      </c>
      <c r="H26" s="2" t="s">
        <v>63</v>
      </c>
      <c r="I26" s="2" t="s">
        <v>64</v>
      </c>
      <c r="J26" s="2" t="s">
        <v>63</v>
      </c>
      <c r="K26" s="2" t="s">
        <v>74</v>
      </c>
      <c r="L26" s="2" t="s">
        <v>65</v>
      </c>
      <c r="M26" s="1" t="s">
        <v>416</v>
      </c>
      <c r="N26" s="1" t="s">
        <v>417</v>
      </c>
      <c r="O26" s="2" t="s">
        <v>275</v>
      </c>
      <c r="P26" s="1" t="s">
        <v>276</v>
      </c>
      <c r="Q26" s="2" t="s">
        <v>69</v>
      </c>
      <c r="R26" s="2" t="s">
        <v>118</v>
      </c>
      <c r="T26" s="2" t="s">
        <v>71</v>
      </c>
      <c r="U26" s="3">
        <v>40</v>
      </c>
      <c r="V26" s="3">
        <v>40</v>
      </c>
      <c r="W26" s="4" t="s">
        <v>418</v>
      </c>
      <c r="X26" s="4" t="s">
        <v>418</v>
      </c>
      <c r="Y26" s="4" t="s">
        <v>419</v>
      </c>
      <c r="Z26" s="4" t="s">
        <v>419</v>
      </c>
      <c r="AA26" s="3">
        <v>240</v>
      </c>
      <c r="AB26" s="3">
        <v>144</v>
      </c>
      <c r="AC26" s="3">
        <v>801</v>
      </c>
      <c r="AD26" s="3">
        <v>1</v>
      </c>
      <c r="AE26" s="3">
        <v>5</v>
      </c>
      <c r="AF26" s="3">
        <v>3</v>
      </c>
      <c r="AG26" s="3">
        <v>33</v>
      </c>
      <c r="AH26" s="3">
        <v>1</v>
      </c>
      <c r="AI26" s="3">
        <v>13</v>
      </c>
      <c r="AJ26" s="3">
        <v>1</v>
      </c>
      <c r="AK26" s="3">
        <v>8</v>
      </c>
      <c r="AL26" s="3">
        <v>3</v>
      </c>
      <c r="AM26" s="3">
        <v>17</v>
      </c>
      <c r="AN26" s="3">
        <v>0</v>
      </c>
      <c r="AO26" s="3">
        <v>3</v>
      </c>
      <c r="AP26" s="3">
        <v>0</v>
      </c>
      <c r="AQ26" s="3">
        <v>0</v>
      </c>
      <c r="AR26" s="2" t="s">
        <v>63</v>
      </c>
      <c r="AS26" s="2" t="s">
        <v>74</v>
      </c>
      <c r="AT26" s="5" t="str">
        <f>HYPERLINK("http://catalog.hathitrust.org/Record/003153792","HathiTrust Record")</f>
        <v>HathiTrust Record</v>
      </c>
      <c r="AU26" s="5" t="str">
        <f>HYPERLINK("https://creighton-primo.hosted.exlibrisgroup.com/primo-explore/search?tab=default_tab&amp;search_scope=EVERYTHING&amp;vid=01CRU&amp;lang=en_US&amp;offset=0&amp;query=any,contains,991005254889702656","Catalog Record")</f>
        <v>Catalog Record</v>
      </c>
      <c r="AV26" s="5" t="str">
        <f>HYPERLINK("http://www.worldcat.org/oclc/33819665","WorldCat Record")</f>
        <v>WorldCat Record</v>
      </c>
      <c r="AW26" s="2" t="s">
        <v>420</v>
      </c>
      <c r="AX26" s="2" t="s">
        <v>421</v>
      </c>
      <c r="AY26" s="2" t="s">
        <v>422</v>
      </c>
      <c r="AZ26" s="2" t="s">
        <v>422</v>
      </c>
      <c r="BA26" s="2" t="s">
        <v>423</v>
      </c>
      <c r="BB26" s="2" t="s">
        <v>79</v>
      </c>
      <c r="BD26" s="2" t="s">
        <v>424</v>
      </c>
      <c r="BE26" s="2" t="s">
        <v>425</v>
      </c>
      <c r="BF26" s="2" t="s">
        <v>426</v>
      </c>
    </row>
    <row r="27" spans="1:58" ht="39.75" customHeight="1" x14ac:dyDescent="0.25">
      <c r="A27" s="1"/>
      <c r="B27" s="1" t="s">
        <v>58</v>
      </c>
      <c r="C27" s="1" t="s">
        <v>59</v>
      </c>
      <c r="D27" s="1" t="s">
        <v>427</v>
      </c>
      <c r="E27" s="1" t="s">
        <v>428</v>
      </c>
      <c r="F27" s="1" t="s">
        <v>429</v>
      </c>
      <c r="H27" s="2" t="s">
        <v>63</v>
      </c>
      <c r="I27" s="2" t="s">
        <v>64</v>
      </c>
      <c r="J27" s="2" t="s">
        <v>63</v>
      </c>
      <c r="K27" s="2" t="s">
        <v>63</v>
      </c>
      <c r="L27" s="2" t="s">
        <v>65</v>
      </c>
      <c r="M27" s="1" t="s">
        <v>430</v>
      </c>
      <c r="N27" s="1" t="s">
        <v>431</v>
      </c>
      <c r="O27" s="2" t="s">
        <v>131</v>
      </c>
      <c r="Q27" s="2" t="s">
        <v>69</v>
      </c>
      <c r="R27" s="2" t="s">
        <v>118</v>
      </c>
      <c r="S27" s="1" t="s">
        <v>432</v>
      </c>
      <c r="T27" s="2" t="s">
        <v>71</v>
      </c>
      <c r="U27" s="3">
        <v>5</v>
      </c>
      <c r="V27" s="3">
        <v>5</v>
      </c>
      <c r="W27" s="4" t="s">
        <v>433</v>
      </c>
      <c r="X27" s="4" t="s">
        <v>433</v>
      </c>
      <c r="Y27" s="4" t="s">
        <v>434</v>
      </c>
      <c r="Z27" s="4" t="s">
        <v>434</v>
      </c>
      <c r="AA27" s="3">
        <v>305</v>
      </c>
      <c r="AB27" s="3">
        <v>215</v>
      </c>
      <c r="AC27" s="3">
        <v>237</v>
      </c>
      <c r="AD27" s="3">
        <v>2</v>
      </c>
      <c r="AE27" s="3">
        <v>2</v>
      </c>
      <c r="AF27" s="3">
        <v>11</v>
      </c>
      <c r="AG27" s="3">
        <v>11</v>
      </c>
      <c r="AH27" s="3">
        <v>3</v>
      </c>
      <c r="AI27" s="3">
        <v>3</v>
      </c>
      <c r="AJ27" s="3">
        <v>5</v>
      </c>
      <c r="AK27" s="3">
        <v>5</v>
      </c>
      <c r="AL27" s="3">
        <v>6</v>
      </c>
      <c r="AM27" s="3">
        <v>6</v>
      </c>
      <c r="AN27" s="3">
        <v>1</v>
      </c>
      <c r="AO27" s="3">
        <v>1</v>
      </c>
      <c r="AP27" s="3">
        <v>0</v>
      </c>
      <c r="AQ27" s="3">
        <v>0</v>
      </c>
      <c r="AR27" s="2" t="s">
        <v>63</v>
      </c>
      <c r="AS27" s="2" t="s">
        <v>63</v>
      </c>
      <c r="AU27" s="5" t="str">
        <f>HYPERLINK("https://creighton-primo.hosted.exlibrisgroup.com/primo-explore/search?tab=default_tab&amp;search_scope=EVERYTHING&amp;vid=01CRU&amp;lang=en_US&amp;offset=0&amp;query=any,contains,991002300609702656","Catalog Record")</f>
        <v>Catalog Record</v>
      </c>
      <c r="AV27" s="5" t="str">
        <f>HYPERLINK("http://www.worldcat.org/oclc/29846160","WorldCat Record")</f>
        <v>WorldCat Record</v>
      </c>
      <c r="AW27" s="2" t="s">
        <v>435</v>
      </c>
      <c r="AX27" s="2" t="s">
        <v>436</v>
      </c>
      <c r="AY27" s="2" t="s">
        <v>437</v>
      </c>
      <c r="AZ27" s="2" t="s">
        <v>437</v>
      </c>
      <c r="BA27" s="2" t="s">
        <v>438</v>
      </c>
      <c r="BB27" s="2" t="s">
        <v>79</v>
      </c>
      <c r="BD27" s="2" t="s">
        <v>439</v>
      </c>
      <c r="BE27" s="2" t="s">
        <v>440</v>
      </c>
      <c r="BF27" s="2" t="s">
        <v>441</v>
      </c>
    </row>
    <row r="28" spans="1:58" ht="39.75" customHeight="1" x14ac:dyDescent="0.25">
      <c r="A28" s="1"/>
      <c r="B28" s="1" t="s">
        <v>58</v>
      </c>
      <c r="C28" s="1" t="s">
        <v>59</v>
      </c>
      <c r="D28" s="1" t="s">
        <v>442</v>
      </c>
      <c r="E28" s="1" t="s">
        <v>443</v>
      </c>
      <c r="F28" s="1" t="s">
        <v>444</v>
      </c>
      <c r="H28" s="2" t="s">
        <v>63</v>
      </c>
      <c r="I28" s="2" t="s">
        <v>64</v>
      </c>
      <c r="J28" s="2" t="s">
        <v>63</v>
      </c>
      <c r="K28" s="2" t="s">
        <v>63</v>
      </c>
      <c r="L28" s="2" t="s">
        <v>65</v>
      </c>
      <c r="M28" s="1" t="s">
        <v>445</v>
      </c>
      <c r="N28" s="1" t="s">
        <v>446</v>
      </c>
      <c r="O28" s="2" t="s">
        <v>447</v>
      </c>
      <c r="Q28" s="2" t="s">
        <v>69</v>
      </c>
      <c r="R28" s="2" t="s">
        <v>88</v>
      </c>
      <c r="T28" s="2" t="s">
        <v>71</v>
      </c>
      <c r="U28" s="3">
        <v>3</v>
      </c>
      <c r="V28" s="3">
        <v>3</v>
      </c>
      <c r="W28" s="4" t="s">
        <v>448</v>
      </c>
      <c r="X28" s="4" t="s">
        <v>448</v>
      </c>
      <c r="Y28" s="4" t="s">
        <v>105</v>
      </c>
      <c r="Z28" s="4" t="s">
        <v>105</v>
      </c>
      <c r="AA28" s="3">
        <v>243</v>
      </c>
      <c r="AB28" s="3">
        <v>204</v>
      </c>
      <c r="AC28" s="3">
        <v>219</v>
      </c>
      <c r="AD28" s="3">
        <v>3</v>
      </c>
      <c r="AE28" s="3">
        <v>3</v>
      </c>
      <c r="AF28" s="3">
        <v>11</v>
      </c>
      <c r="AG28" s="3">
        <v>12</v>
      </c>
      <c r="AH28" s="3">
        <v>3</v>
      </c>
      <c r="AI28" s="3">
        <v>3</v>
      </c>
      <c r="AJ28" s="3">
        <v>4</v>
      </c>
      <c r="AK28" s="3">
        <v>4</v>
      </c>
      <c r="AL28" s="3">
        <v>5</v>
      </c>
      <c r="AM28" s="3">
        <v>6</v>
      </c>
      <c r="AN28" s="3">
        <v>2</v>
      </c>
      <c r="AO28" s="3">
        <v>2</v>
      </c>
      <c r="AP28" s="3">
        <v>0</v>
      </c>
      <c r="AQ28" s="3">
        <v>0</v>
      </c>
      <c r="AR28" s="2" t="s">
        <v>63</v>
      </c>
      <c r="AS28" s="2" t="s">
        <v>63</v>
      </c>
      <c r="AT28" s="5" t="str">
        <f>HYPERLINK("http://catalog.hathitrust.org/Record/001556578","HathiTrust Record")</f>
        <v>HathiTrust Record</v>
      </c>
      <c r="AU28" s="5" t="str">
        <f>HYPERLINK("https://creighton-primo.hosted.exlibrisgroup.com/primo-explore/search?tab=default_tab&amp;search_scope=EVERYTHING&amp;vid=01CRU&amp;lang=en_US&amp;offset=0&amp;query=any,contains,991005264519702656","Catalog Record")</f>
        <v>Catalog Record</v>
      </c>
      <c r="AV28" s="5" t="str">
        <f>HYPERLINK("http://www.worldcat.org/oclc/563440","WorldCat Record")</f>
        <v>WorldCat Record</v>
      </c>
      <c r="AW28" s="2" t="s">
        <v>449</v>
      </c>
      <c r="AX28" s="2" t="s">
        <v>450</v>
      </c>
      <c r="AY28" s="2" t="s">
        <v>451</v>
      </c>
      <c r="AZ28" s="2" t="s">
        <v>451</v>
      </c>
      <c r="BA28" s="2" t="s">
        <v>452</v>
      </c>
      <c r="BB28" s="2" t="s">
        <v>79</v>
      </c>
      <c r="BE28" s="2" t="s">
        <v>453</v>
      </c>
      <c r="BF28" s="2" t="s">
        <v>454</v>
      </c>
    </row>
    <row r="29" spans="1:58" ht="39.75" customHeight="1" x14ac:dyDescent="0.25">
      <c r="A29" s="1"/>
      <c r="B29" s="1" t="s">
        <v>58</v>
      </c>
      <c r="C29" s="1" t="s">
        <v>59</v>
      </c>
      <c r="D29" s="1" t="s">
        <v>455</v>
      </c>
      <c r="E29" s="1" t="s">
        <v>456</v>
      </c>
      <c r="F29" s="1" t="s">
        <v>457</v>
      </c>
      <c r="H29" s="2" t="s">
        <v>63</v>
      </c>
      <c r="I29" s="2" t="s">
        <v>64</v>
      </c>
      <c r="J29" s="2" t="s">
        <v>63</v>
      </c>
      <c r="K29" s="2" t="s">
        <v>63</v>
      </c>
      <c r="L29" s="2" t="s">
        <v>65</v>
      </c>
      <c r="M29" s="1" t="s">
        <v>458</v>
      </c>
      <c r="N29" s="1" t="s">
        <v>459</v>
      </c>
      <c r="O29" s="2" t="s">
        <v>176</v>
      </c>
      <c r="Q29" s="2" t="s">
        <v>69</v>
      </c>
      <c r="R29" s="2" t="s">
        <v>118</v>
      </c>
      <c r="T29" s="2" t="s">
        <v>71</v>
      </c>
      <c r="U29" s="3">
        <v>2</v>
      </c>
      <c r="V29" s="3">
        <v>2</v>
      </c>
      <c r="W29" s="4" t="s">
        <v>350</v>
      </c>
      <c r="X29" s="4" t="s">
        <v>350</v>
      </c>
      <c r="Y29" s="4" t="s">
        <v>460</v>
      </c>
      <c r="Z29" s="4" t="s">
        <v>460</v>
      </c>
      <c r="AA29" s="3">
        <v>748</v>
      </c>
      <c r="AB29" s="3">
        <v>639</v>
      </c>
      <c r="AC29" s="3">
        <v>655</v>
      </c>
      <c r="AD29" s="3">
        <v>5</v>
      </c>
      <c r="AE29" s="3">
        <v>5</v>
      </c>
      <c r="AF29" s="3">
        <v>20</v>
      </c>
      <c r="AG29" s="3">
        <v>20</v>
      </c>
      <c r="AH29" s="3">
        <v>5</v>
      </c>
      <c r="AI29" s="3">
        <v>5</v>
      </c>
      <c r="AJ29" s="3">
        <v>7</v>
      </c>
      <c r="AK29" s="3">
        <v>7</v>
      </c>
      <c r="AL29" s="3">
        <v>9</v>
      </c>
      <c r="AM29" s="3">
        <v>9</v>
      </c>
      <c r="AN29" s="3">
        <v>4</v>
      </c>
      <c r="AO29" s="3">
        <v>4</v>
      </c>
      <c r="AP29" s="3">
        <v>0</v>
      </c>
      <c r="AQ29" s="3">
        <v>0</v>
      </c>
      <c r="AR29" s="2" t="s">
        <v>63</v>
      </c>
      <c r="AS29" s="2" t="s">
        <v>63</v>
      </c>
      <c r="AU29" s="5" t="str">
        <f>HYPERLINK("https://creighton-primo.hosted.exlibrisgroup.com/primo-explore/search?tab=default_tab&amp;search_scope=EVERYTHING&amp;vid=01CRU&amp;lang=en_US&amp;offset=0&amp;query=any,contains,991002922409702656","Catalog Record")</f>
        <v>Catalog Record</v>
      </c>
      <c r="AV29" s="5" t="str">
        <f>HYPERLINK("http://www.worldcat.org/oclc/38841997","WorldCat Record")</f>
        <v>WorldCat Record</v>
      </c>
      <c r="AW29" s="2" t="s">
        <v>461</v>
      </c>
      <c r="AX29" s="2" t="s">
        <v>462</v>
      </c>
      <c r="AY29" s="2" t="s">
        <v>463</v>
      </c>
      <c r="AZ29" s="2" t="s">
        <v>463</v>
      </c>
      <c r="BA29" s="2" t="s">
        <v>464</v>
      </c>
      <c r="BB29" s="2" t="s">
        <v>79</v>
      </c>
      <c r="BD29" s="2" t="s">
        <v>465</v>
      </c>
      <c r="BE29" s="2" t="s">
        <v>466</v>
      </c>
      <c r="BF29" s="2" t="s">
        <v>467</v>
      </c>
    </row>
    <row r="30" spans="1:58" ht="39.75" customHeight="1" x14ac:dyDescent="0.25">
      <c r="A30" s="1"/>
      <c r="B30" s="1" t="s">
        <v>58</v>
      </c>
      <c r="C30" s="1" t="s">
        <v>59</v>
      </c>
      <c r="D30" s="1" t="s">
        <v>468</v>
      </c>
      <c r="E30" s="1" t="s">
        <v>469</v>
      </c>
      <c r="F30" s="1" t="s">
        <v>470</v>
      </c>
      <c r="H30" s="2" t="s">
        <v>63</v>
      </c>
      <c r="I30" s="2" t="s">
        <v>64</v>
      </c>
      <c r="J30" s="2" t="s">
        <v>63</v>
      </c>
      <c r="K30" s="2" t="s">
        <v>63</v>
      </c>
      <c r="L30" s="2" t="s">
        <v>65</v>
      </c>
      <c r="N30" s="1" t="s">
        <v>471</v>
      </c>
      <c r="O30" s="2" t="s">
        <v>68</v>
      </c>
      <c r="Q30" s="2" t="s">
        <v>69</v>
      </c>
      <c r="R30" s="2" t="s">
        <v>88</v>
      </c>
      <c r="T30" s="2" t="s">
        <v>71</v>
      </c>
      <c r="U30" s="3">
        <v>2</v>
      </c>
      <c r="V30" s="3">
        <v>2</v>
      </c>
      <c r="W30" s="4" t="s">
        <v>472</v>
      </c>
      <c r="X30" s="4" t="s">
        <v>472</v>
      </c>
      <c r="Y30" s="4" t="s">
        <v>250</v>
      </c>
      <c r="Z30" s="4" t="s">
        <v>250</v>
      </c>
      <c r="AA30" s="3">
        <v>211</v>
      </c>
      <c r="AB30" s="3">
        <v>171</v>
      </c>
      <c r="AC30" s="3">
        <v>173</v>
      </c>
      <c r="AD30" s="3">
        <v>1</v>
      </c>
      <c r="AE30" s="3">
        <v>1</v>
      </c>
      <c r="AF30" s="3">
        <v>6</v>
      </c>
      <c r="AG30" s="3">
        <v>6</v>
      </c>
      <c r="AH30" s="3">
        <v>0</v>
      </c>
      <c r="AI30" s="3">
        <v>0</v>
      </c>
      <c r="AJ30" s="3">
        <v>4</v>
      </c>
      <c r="AK30" s="3">
        <v>4</v>
      </c>
      <c r="AL30" s="3">
        <v>4</v>
      </c>
      <c r="AM30" s="3">
        <v>4</v>
      </c>
      <c r="AN30" s="3">
        <v>0</v>
      </c>
      <c r="AO30" s="3">
        <v>0</v>
      </c>
      <c r="AP30" s="3">
        <v>0</v>
      </c>
      <c r="AQ30" s="3">
        <v>0</v>
      </c>
      <c r="AR30" s="2" t="s">
        <v>63</v>
      </c>
      <c r="AS30" s="2" t="s">
        <v>74</v>
      </c>
      <c r="AT30" s="5" t="str">
        <f>HYPERLINK("http://catalog.hathitrust.org/Record/000361613","HathiTrust Record")</f>
        <v>HathiTrust Record</v>
      </c>
      <c r="AU30" s="5" t="str">
        <f>HYPERLINK("https://creighton-primo.hosted.exlibrisgroup.com/primo-explore/search?tab=default_tab&amp;search_scope=EVERYTHING&amp;vid=01CRU&amp;lang=en_US&amp;offset=0&amp;query=any,contains,991000430869702656","Catalog Record")</f>
        <v>Catalog Record</v>
      </c>
      <c r="AV30" s="5" t="str">
        <f>HYPERLINK("http://www.worldcat.org/oclc/10778678","WorldCat Record")</f>
        <v>WorldCat Record</v>
      </c>
      <c r="AW30" s="2" t="s">
        <v>473</v>
      </c>
      <c r="AX30" s="2" t="s">
        <v>474</v>
      </c>
      <c r="AY30" s="2" t="s">
        <v>475</v>
      </c>
      <c r="AZ30" s="2" t="s">
        <v>475</v>
      </c>
      <c r="BA30" s="2" t="s">
        <v>476</v>
      </c>
      <c r="BB30" s="2" t="s">
        <v>79</v>
      </c>
      <c r="BD30" s="2" t="s">
        <v>477</v>
      </c>
      <c r="BE30" s="2" t="s">
        <v>478</v>
      </c>
      <c r="BF30" s="2" t="s">
        <v>479</v>
      </c>
    </row>
    <row r="31" spans="1:58" ht="39.75" customHeight="1" x14ac:dyDescent="0.25">
      <c r="A31" s="1"/>
      <c r="B31" s="1" t="s">
        <v>58</v>
      </c>
      <c r="C31" s="1" t="s">
        <v>59</v>
      </c>
      <c r="D31" s="1" t="s">
        <v>480</v>
      </c>
      <c r="E31" s="1" t="s">
        <v>481</v>
      </c>
      <c r="F31" s="1" t="s">
        <v>482</v>
      </c>
      <c r="H31" s="2" t="s">
        <v>63</v>
      </c>
      <c r="I31" s="2" t="s">
        <v>64</v>
      </c>
      <c r="J31" s="2" t="s">
        <v>63</v>
      </c>
      <c r="K31" s="2" t="s">
        <v>63</v>
      </c>
      <c r="L31" s="2" t="s">
        <v>65</v>
      </c>
      <c r="M31" s="1" t="s">
        <v>483</v>
      </c>
      <c r="N31" s="1" t="s">
        <v>484</v>
      </c>
      <c r="O31" s="2" t="s">
        <v>485</v>
      </c>
      <c r="Q31" s="2" t="s">
        <v>69</v>
      </c>
      <c r="R31" s="2" t="s">
        <v>88</v>
      </c>
      <c r="S31" s="1" t="s">
        <v>486</v>
      </c>
      <c r="T31" s="2" t="s">
        <v>71</v>
      </c>
      <c r="U31" s="3">
        <v>7</v>
      </c>
      <c r="V31" s="3">
        <v>7</v>
      </c>
      <c r="W31" s="4" t="s">
        <v>487</v>
      </c>
      <c r="X31" s="4" t="s">
        <v>487</v>
      </c>
      <c r="Y31" s="4" t="s">
        <v>488</v>
      </c>
      <c r="Z31" s="4" t="s">
        <v>488</v>
      </c>
      <c r="AA31" s="3">
        <v>240</v>
      </c>
      <c r="AB31" s="3">
        <v>193</v>
      </c>
      <c r="AC31" s="3">
        <v>201</v>
      </c>
      <c r="AD31" s="3">
        <v>1</v>
      </c>
      <c r="AE31" s="3">
        <v>1</v>
      </c>
      <c r="AF31" s="3">
        <v>6</v>
      </c>
      <c r="AG31" s="3">
        <v>6</v>
      </c>
      <c r="AH31" s="3">
        <v>1</v>
      </c>
      <c r="AI31" s="3">
        <v>1</v>
      </c>
      <c r="AJ31" s="3">
        <v>4</v>
      </c>
      <c r="AK31" s="3">
        <v>4</v>
      </c>
      <c r="AL31" s="3">
        <v>4</v>
      </c>
      <c r="AM31" s="3">
        <v>4</v>
      </c>
      <c r="AN31" s="3">
        <v>0</v>
      </c>
      <c r="AO31" s="3">
        <v>0</v>
      </c>
      <c r="AP31" s="3">
        <v>0</v>
      </c>
      <c r="AQ31" s="3">
        <v>0</v>
      </c>
      <c r="AR31" s="2" t="s">
        <v>63</v>
      </c>
      <c r="AS31" s="2" t="s">
        <v>63</v>
      </c>
      <c r="AU31" s="5" t="str">
        <f>HYPERLINK("https://creighton-primo.hosted.exlibrisgroup.com/primo-explore/search?tab=default_tab&amp;search_scope=EVERYTHING&amp;vid=01CRU&amp;lang=en_US&amp;offset=0&amp;query=any,contains,991001604059702656","Catalog Record")</f>
        <v>Catalog Record</v>
      </c>
      <c r="AV31" s="5" t="str">
        <f>HYPERLINK("http://www.worldcat.org/oclc/20690340","WorldCat Record")</f>
        <v>WorldCat Record</v>
      </c>
      <c r="AW31" s="2" t="s">
        <v>489</v>
      </c>
      <c r="AX31" s="2" t="s">
        <v>490</v>
      </c>
      <c r="AY31" s="2" t="s">
        <v>491</v>
      </c>
      <c r="AZ31" s="2" t="s">
        <v>491</v>
      </c>
      <c r="BA31" s="2" t="s">
        <v>492</v>
      </c>
      <c r="BB31" s="2" t="s">
        <v>79</v>
      </c>
      <c r="BD31" s="2" t="s">
        <v>493</v>
      </c>
      <c r="BE31" s="2" t="s">
        <v>494</v>
      </c>
      <c r="BF31" s="2" t="s">
        <v>495</v>
      </c>
    </row>
    <row r="32" spans="1:58" ht="39.75" customHeight="1" x14ac:dyDescent="0.25">
      <c r="A32" s="1"/>
      <c r="B32" s="1" t="s">
        <v>58</v>
      </c>
      <c r="C32" s="1" t="s">
        <v>59</v>
      </c>
      <c r="D32" s="1" t="s">
        <v>496</v>
      </c>
      <c r="E32" s="1" t="s">
        <v>497</v>
      </c>
      <c r="F32" s="1" t="s">
        <v>498</v>
      </c>
      <c r="H32" s="2" t="s">
        <v>63</v>
      </c>
      <c r="I32" s="2" t="s">
        <v>64</v>
      </c>
      <c r="J32" s="2" t="s">
        <v>63</v>
      </c>
      <c r="K32" s="2" t="s">
        <v>63</v>
      </c>
      <c r="L32" s="2" t="s">
        <v>65</v>
      </c>
      <c r="M32" s="1" t="s">
        <v>499</v>
      </c>
      <c r="N32" s="1" t="s">
        <v>500</v>
      </c>
      <c r="O32" s="2" t="s">
        <v>176</v>
      </c>
      <c r="P32" s="1" t="s">
        <v>132</v>
      </c>
      <c r="Q32" s="2" t="s">
        <v>69</v>
      </c>
      <c r="R32" s="2" t="s">
        <v>88</v>
      </c>
      <c r="T32" s="2" t="s">
        <v>71</v>
      </c>
      <c r="U32" s="3">
        <v>6</v>
      </c>
      <c r="V32" s="3">
        <v>6</v>
      </c>
      <c r="W32" s="4" t="s">
        <v>501</v>
      </c>
      <c r="X32" s="4" t="s">
        <v>501</v>
      </c>
      <c r="Y32" s="4" t="s">
        <v>502</v>
      </c>
      <c r="Z32" s="4" t="s">
        <v>502</v>
      </c>
      <c r="AA32" s="3">
        <v>720</v>
      </c>
      <c r="AB32" s="3">
        <v>637</v>
      </c>
      <c r="AC32" s="3">
        <v>666</v>
      </c>
      <c r="AD32" s="3">
        <v>3</v>
      </c>
      <c r="AE32" s="3">
        <v>3</v>
      </c>
      <c r="AF32" s="3">
        <v>31</v>
      </c>
      <c r="AG32" s="3">
        <v>31</v>
      </c>
      <c r="AH32" s="3">
        <v>12</v>
      </c>
      <c r="AI32" s="3">
        <v>12</v>
      </c>
      <c r="AJ32" s="3">
        <v>6</v>
      </c>
      <c r="AK32" s="3">
        <v>6</v>
      </c>
      <c r="AL32" s="3">
        <v>14</v>
      </c>
      <c r="AM32" s="3">
        <v>14</v>
      </c>
      <c r="AN32" s="3">
        <v>2</v>
      </c>
      <c r="AO32" s="3">
        <v>2</v>
      </c>
      <c r="AP32" s="3">
        <v>4</v>
      </c>
      <c r="AQ32" s="3">
        <v>4</v>
      </c>
      <c r="AR32" s="2" t="s">
        <v>63</v>
      </c>
      <c r="AS32" s="2" t="s">
        <v>63</v>
      </c>
      <c r="AU32" s="5" t="str">
        <f>HYPERLINK("https://creighton-primo.hosted.exlibrisgroup.com/primo-explore/search?tab=default_tab&amp;search_scope=EVERYTHING&amp;vid=01CRU&amp;lang=en_US&amp;offset=0&amp;query=any,contains,991002894549702656","Catalog Record")</f>
        <v>Catalog Record</v>
      </c>
      <c r="AV32" s="5" t="str">
        <f>HYPERLINK("http://www.worldcat.org/oclc/38130670","WorldCat Record")</f>
        <v>WorldCat Record</v>
      </c>
      <c r="AW32" s="2" t="s">
        <v>503</v>
      </c>
      <c r="AX32" s="2" t="s">
        <v>504</v>
      </c>
      <c r="AY32" s="2" t="s">
        <v>505</v>
      </c>
      <c r="AZ32" s="2" t="s">
        <v>505</v>
      </c>
      <c r="BA32" s="2" t="s">
        <v>506</v>
      </c>
      <c r="BB32" s="2" t="s">
        <v>79</v>
      </c>
      <c r="BD32" s="2" t="s">
        <v>507</v>
      </c>
      <c r="BE32" s="2" t="s">
        <v>508</v>
      </c>
      <c r="BF32" s="2" t="s">
        <v>509</v>
      </c>
    </row>
    <row r="33" spans="1:58" ht="39.75" customHeight="1" x14ac:dyDescent="0.25">
      <c r="A33" s="1"/>
      <c r="B33" s="1" t="s">
        <v>58</v>
      </c>
      <c r="C33" s="1" t="s">
        <v>59</v>
      </c>
      <c r="D33" s="1" t="s">
        <v>510</v>
      </c>
      <c r="E33" s="1" t="s">
        <v>511</v>
      </c>
      <c r="F33" s="1" t="s">
        <v>512</v>
      </c>
      <c r="H33" s="2" t="s">
        <v>63</v>
      </c>
      <c r="I33" s="2" t="s">
        <v>64</v>
      </c>
      <c r="J33" s="2" t="s">
        <v>63</v>
      </c>
      <c r="K33" s="2" t="s">
        <v>63</v>
      </c>
      <c r="L33" s="2" t="s">
        <v>65</v>
      </c>
      <c r="M33" s="1" t="s">
        <v>513</v>
      </c>
      <c r="N33" s="1" t="s">
        <v>514</v>
      </c>
      <c r="O33" s="2" t="s">
        <v>263</v>
      </c>
      <c r="Q33" s="2" t="s">
        <v>69</v>
      </c>
      <c r="R33" s="2" t="s">
        <v>118</v>
      </c>
      <c r="S33" s="1" t="s">
        <v>515</v>
      </c>
      <c r="T33" s="2" t="s">
        <v>71</v>
      </c>
      <c r="U33" s="3">
        <v>4</v>
      </c>
      <c r="V33" s="3">
        <v>4</v>
      </c>
      <c r="W33" s="4" t="s">
        <v>516</v>
      </c>
      <c r="X33" s="4" t="s">
        <v>516</v>
      </c>
      <c r="Y33" s="4" t="s">
        <v>517</v>
      </c>
      <c r="Z33" s="4" t="s">
        <v>517</v>
      </c>
      <c r="AA33" s="3">
        <v>149</v>
      </c>
      <c r="AB33" s="3">
        <v>70</v>
      </c>
      <c r="AC33" s="3">
        <v>74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0</v>
      </c>
      <c r="AK33" s="3">
        <v>0</v>
      </c>
      <c r="AL33" s="3">
        <v>1</v>
      </c>
      <c r="AM33" s="3">
        <v>1</v>
      </c>
      <c r="AN33" s="3">
        <v>0</v>
      </c>
      <c r="AO33" s="3">
        <v>0</v>
      </c>
      <c r="AP33" s="3">
        <v>0</v>
      </c>
      <c r="AQ33" s="3">
        <v>0</v>
      </c>
      <c r="AR33" s="2" t="s">
        <v>63</v>
      </c>
      <c r="AS33" s="2" t="s">
        <v>74</v>
      </c>
      <c r="AT33" s="5" t="str">
        <f>HYPERLINK("http://catalog.hathitrust.org/Record/012275735","HathiTrust Record")</f>
        <v>HathiTrust Record</v>
      </c>
      <c r="AU33" s="5" t="str">
        <f>HYPERLINK("https://creighton-primo.hosted.exlibrisgroup.com/primo-explore/search?tab=default_tab&amp;search_scope=EVERYTHING&amp;vid=01CRU&amp;lang=en_US&amp;offset=0&amp;query=any,contains,991001455019702656","Catalog Record")</f>
        <v>Catalog Record</v>
      </c>
      <c r="AV33" s="5" t="str">
        <f>HYPERLINK("http://www.worldcat.org/oclc/19354039","WorldCat Record")</f>
        <v>WorldCat Record</v>
      </c>
      <c r="AW33" s="2" t="s">
        <v>518</v>
      </c>
      <c r="AX33" s="2" t="s">
        <v>519</v>
      </c>
      <c r="AY33" s="2" t="s">
        <v>520</v>
      </c>
      <c r="AZ33" s="2" t="s">
        <v>520</v>
      </c>
      <c r="BA33" s="2" t="s">
        <v>521</v>
      </c>
      <c r="BB33" s="2" t="s">
        <v>79</v>
      </c>
      <c r="BD33" s="2" t="s">
        <v>522</v>
      </c>
      <c r="BE33" s="2" t="s">
        <v>523</v>
      </c>
      <c r="BF33" s="2" t="s">
        <v>524</v>
      </c>
    </row>
    <row r="34" spans="1:58" ht="39.75" customHeight="1" x14ac:dyDescent="0.25">
      <c r="A34" s="1"/>
      <c r="B34" s="1" t="s">
        <v>58</v>
      </c>
      <c r="C34" s="1" t="s">
        <v>59</v>
      </c>
      <c r="D34" s="1" t="s">
        <v>525</v>
      </c>
      <c r="E34" s="1" t="s">
        <v>526</v>
      </c>
      <c r="F34" s="1" t="s">
        <v>527</v>
      </c>
      <c r="H34" s="2" t="s">
        <v>63</v>
      </c>
      <c r="I34" s="2" t="s">
        <v>64</v>
      </c>
      <c r="J34" s="2" t="s">
        <v>63</v>
      </c>
      <c r="K34" s="2" t="s">
        <v>63</v>
      </c>
      <c r="L34" s="2" t="s">
        <v>65</v>
      </c>
      <c r="M34" s="1" t="s">
        <v>528</v>
      </c>
      <c r="N34" s="1" t="s">
        <v>529</v>
      </c>
      <c r="O34" s="2" t="s">
        <v>530</v>
      </c>
      <c r="Q34" s="2" t="s">
        <v>69</v>
      </c>
      <c r="R34" s="2" t="s">
        <v>118</v>
      </c>
      <c r="S34" s="1" t="s">
        <v>531</v>
      </c>
      <c r="T34" s="2" t="s">
        <v>71</v>
      </c>
      <c r="U34" s="3">
        <v>7</v>
      </c>
      <c r="V34" s="3">
        <v>7</v>
      </c>
      <c r="W34" s="4" t="s">
        <v>532</v>
      </c>
      <c r="X34" s="4" t="s">
        <v>532</v>
      </c>
      <c r="Y34" s="4" t="s">
        <v>533</v>
      </c>
      <c r="Z34" s="4" t="s">
        <v>533</v>
      </c>
      <c r="AA34" s="3">
        <v>137</v>
      </c>
      <c r="AB34" s="3">
        <v>63</v>
      </c>
      <c r="AC34" s="3">
        <v>64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0</v>
      </c>
      <c r="AK34" s="3">
        <v>0</v>
      </c>
      <c r="AL34" s="3">
        <v>1</v>
      </c>
      <c r="AM34" s="3">
        <v>1</v>
      </c>
      <c r="AN34" s="3">
        <v>0</v>
      </c>
      <c r="AO34" s="3">
        <v>0</v>
      </c>
      <c r="AP34" s="3">
        <v>0</v>
      </c>
      <c r="AQ34" s="3">
        <v>0</v>
      </c>
      <c r="AR34" s="2" t="s">
        <v>63</v>
      </c>
      <c r="AS34" s="2" t="s">
        <v>63</v>
      </c>
      <c r="AU34" s="5" t="str">
        <f>HYPERLINK("https://creighton-primo.hosted.exlibrisgroup.com/primo-explore/search?tab=default_tab&amp;search_scope=EVERYTHING&amp;vid=01CRU&amp;lang=en_US&amp;offset=0&amp;query=any,contains,991002078459702656","Catalog Record")</f>
        <v>Catalog Record</v>
      </c>
      <c r="AV34" s="5" t="str">
        <f>HYPERLINK("http://www.worldcat.org/oclc/26636406","WorldCat Record")</f>
        <v>WorldCat Record</v>
      </c>
      <c r="AW34" s="2" t="s">
        <v>534</v>
      </c>
      <c r="AX34" s="2" t="s">
        <v>535</v>
      </c>
      <c r="AY34" s="2" t="s">
        <v>536</v>
      </c>
      <c r="AZ34" s="2" t="s">
        <v>536</v>
      </c>
      <c r="BA34" s="2" t="s">
        <v>537</v>
      </c>
      <c r="BB34" s="2" t="s">
        <v>79</v>
      </c>
      <c r="BD34" s="2" t="s">
        <v>538</v>
      </c>
      <c r="BE34" s="2" t="s">
        <v>539</v>
      </c>
      <c r="BF34" s="2" t="s">
        <v>540</v>
      </c>
    </row>
    <row r="35" spans="1:58" ht="39.75" customHeight="1" x14ac:dyDescent="0.25">
      <c r="A35" s="1"/>
      <c r="B35" s="1" t="s">
        <v>58</v>
      </c>
      <c r="C35" s="1" t="s">
        <v>59</v>
      </c>
      <c r="D35" s="1" t="s">
        <v>541</v>
      </c>
      <c r="E35" s="1" t="s">
        <v>542</v>
      </c>
      <c r="F35" s="1" t="s">
        <v>543</v>
      </c>
      <c r="H35" s="2" t="s">
        <v>63</v>
      </c>
      <c r="I35" s="2" t="s">
        <v>64</v>
      </c>
      <c r="J35" s="2" t="s">
        <v>74</v>
      </c>
      <c r="K35" s="2" t="s">
        <v>63</v>
      </c>
      <c r="L35" s="2" t="s">
        <v>65</v>
      </c>
      <c r="N35" s="1" t="s">
        <v>544</v>
      </c>
      <c r="O35" s="2" t="s">
        <v>545</v>
      </c>
      <c r="Q35" s="2" t="s">
        <v>69</v>
      </c>
      <c r="R35" s="2" t="s">
        <v>118</v>
      </c>
      <c r="S35" s="1" t="s">
        <v>546</v>
      </c>
      <c r="T35" s="2" t="s">
        <v>71</v>
      </c>
      <c r="U35" s="3">
        <v>4</v>
      </c>
      <c r="V35" s="3">
        <v>8</v>
      </c>
      <c r="W35" s="4" t="s">
        <v>547</v>
      </c>
      <c r="X35" s="4" t="s">
        <v>547</v>
      </c>
      <c r="Y35" s="4" t="s">
        <v>548</v>
      </c>
      <c r="Z35" s="4" t="s">
        <v>548</v>
      </c>
      <c r="AA35" s="3">
        <v>72</v>
      </c>
      <c r="AB35" s="3">
        <v>39</v>
      </c>
      <c r="AC35" s="3">
        <v>44</v>
      </c>
      <c r="AD35" s="3">
        <v>2</v>
      </c>
      <c r="AE35" s="3">
        <v>2</v>
      </c>
      <c r="AF35" s="3">
        <v>1</v>
      </c>
      <c r="AG35" s="3">
        <v>1</v>
      </c>
      <c r="AH35" s="3">
        <v>0</v>
      </c>
      <c r="AI35" s="3">
        <v>0</v>
      </c>
      <c r="AJ35" s="3">
        <v>1</v>
      </c>
      <c r="AK35" s="3">
        <v>1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2" t="s">
        <v>63</v>
      </c>
      <c r="AS35" s="2" t="s">
        <v>63</v>
      </c>
      <c r="AU35" s="5" t="str">
        <f>HYPERLINK("https://creighton-primo.hosted.exlibrisgroup.com/primo-explore/search?tab=default_tab&amp;search_scope=EVERYTHING&amp;vid=01CRU&amp;lang=en_US&amp;offset=0&amp;query=any,contains,991001804419702656","Catalog Record")</f>
        <v>Catalog Record</v>
      </c>
      <c r="AV35" s="5" t="str">
        <f>HYPERLINK("http://www.worldcat.org/oclc/27978373","WorldCat Record")</f>
        <v>WorldCat Record</v>
      </c>
      <c r="AW35" s="2" t="s">
        <v>549</v>
      </c>
      <c r="AX35" s="2" t="s">
        <v>550</v>
      </c>
      <c r="AY35" s="2" t="s">
        <v>551</v>
      </c>
      <c r="AZ35" s="2" t="s">
        <v>551</v>
      </c>
      <c r="BA35" s="2" t="s">
        <v>552</v>
      </c>
      <c r="BB35" s="2" t="s">
        <v>79</v>
      </c>
      <c r="BD35" s="2" t="s">
        <v>553</v>
      </c>
      <c r="BE35" s="2" t="s">
        <v>554</v>
      </c>
      <c r="BF35" s="2" t="s">
        <v>555</v>
      </c>
    </row>
    <row r="36" spans="1:58" ht="39.75" customHeight="1" x14ac:dyDescent="0.25">
      <c r="A36" s="1"/>
      <c r="B36" s="1" t="s">
        <v>58</v>
      </c>
      <c r="C36" s="1" t="s">
        <v>59</v>
      </c>
      <c r="D36" s="1" t="s">
        <v>556</v>
      </c>
      <c r="E36" s="1" t="s">
        <v>557</v>
      </c>
      <c r="F36" s="1" t="s">
        <v>558</v>
      </c>
      <c r="H36" s="2" t="s">
        <v>63</v>
      </c>
      <c r="I36" s="2" t="s">
        <v>64</v>
      </c>
      <c r="J36" s="2" t="s">
        <v>63</v>
      </c>
      <c r="K36" s="2" t="s">
        <v>63</v>
      </c>
      <c r="L36" s="2" t="s">
        <v>65</v>
      </c>
      <c r="M36" s="1" t="s">
        <v>559</v>
      </c>
      <c r="N36" s="1" t="s">
        <v>560</v>
      </c>
      <c r="O36" s="2" t="s">
        <v>290</v>
      </c>
      <c r="Q36" s="2" t="s">
        <v>69</v>
      </c>
      <c r="R36" s="2" t="s">
        <v>88</v>
      </c>
      <c r="S36" s="1" t="s">
        <v>561</v>
      </c>
      <c r="T36" s="2" t="s">
        <v>71</v>
      </c>
      <c r="U36" s="3">
        <v>2</v>
      </c>
      <c r="V36" s="3">
        <v>2</v>
      </c>
      <c r="W36" s="4" t="s">
        <v>562</v>
      </c>
      <c r="X36" s="4" t="s">
        <v>562</v>
      </c>
      <c r="Y36" s="4" t="s">
        <v>563</v>
      </c>
      <c r="Z36" s="4" t="s">
        <v>563</v>
      </c>
      <c r="AA36" s="3">
        <v>62</v>
      </c>
      <c r="AB36" s="3">
        <v>46</v>
      </c>
      <c r="AC36" s="3">
        <v>47</v>
      </c>
      <c r="AD36" s="3">
        <v>1</v>
      </c>
      <c r="AE36" s="3">
        <v>1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2" t="s">
        <v>63</v>
      </c>
      <c r="AS36" s="2" t="s">
        <v>63</v>
      </c>
      <c r="AU36" s="5" t="str">
        <f>HYPERLINK("https://creighton-primo.hosted.exlibrisgroup.com/primo-explore/search?tab=default_tab&amp;search_scope=EVERYTHING&amp;vid=01CRU&amp;lang=en_US&amp;offset=0&amp;query=any,contains,991002463649702656","Catalog Record")</f>
        <v>Catalog Record</v>
      </c>
      <c r="AV36" s="5" t="str">
        <f>HYPERLINK("http://www.worldcat.org/oclc/32094125","WorldCat Record")</f>
        <v>WorldCat Record</v>
      </c>
      <c r="AW36" s="2" t="s">
        <v>564</v>
      </c>
      <c r="AX36" s="2" t="s">
        <v>565</v>
      </c>
      <c r="AY36" s="2" t="s">
        <v>566</v>
      </c>
      <c r="AZ36" s="2" t="s">
        <v>566</v>
      </c>
      <c r="BA36" s="2" t="s">
        <v>567</v>
      </c>
      <c r="BB36" s="2" t="s">
        <v>79</v>
      </c>
      <c r="BD36" s="2" t="s">
        <v>568</v>
      </c>
      <c r="BE36" s="2" t="s">
        <v>569</v>
      </c>
      <c r="BF36" s="2" t="s">
        <v>570</v>
      </c>
    </row>
    <row r="37" spans="1:58" ht="39.75" customHeight="1" x14ac:dyDescent="0.25">
      <c r="A37" s="1"/>
      <c r="B37" s="1" t="s">
        <v>58</v>
      </c>
      <c r="C37" s="1" t="s">
        <v>59</v>
      </c>
      <c r="D37" s="1" t="s">
        <v>571</v>
      </c>
      <c r="E37" s="1" t="s">
        <v>572</v>
      </c>
      <c r="F37" s="1" t="s">
        <v>573</v>
      </c>
      <c r="H37" s="2" t="s">
        <v>63</v>
      </c>
      <c r="I37" s="2" t="s">
        <v>64</v>
      </c>
      <c r="J37" s="2" t="s">
        <v>63</v>
      </c>
      <c r="K37" s="2" t="s">
        <v>63</v>
      </c>
      <c r="L37" s="2" t="s">
        <v>65</v>
      </c>
      <c r="N37" s="1" t="s">
        <v>574</v>
      </c>
      <c r="O37" s="2" t="s">
        <v>545</v>
      </c>
      <c r="Q37" s="2" t="s">
        <v>69</v>
      </c>
      <c r="R37" s="2" t="s">
        <v>118</v>
      </c>
      <c r="S37" s="1" t="s">
        <v>575</v>
      </c>
      <c r="T37" s="2" t="s">
        <v>71</v>
      </c>
      <c r="U37" s="3">
        <v>9</v>
      </c>
      <c r="V37" s="3">
        <v>9</v>
      </c>
      <c r="W37" s="4" t="s">
        <v>320</v>
      </c>
      <c r="X37" s="4" t="s">
        <v>320</v>
      </c>
      <c r="Y37" s="4" t="s">
        <v>73</v>
      </c>
      <c r="Z37" s="4" t="s">
        <v>73</v>
      </c>
      <c r="AA37" s="3">
        <v>199</v>
      </c>
      <c r="AB37" s="3">
        <v>141</v>
      </c>
      <c r="AC37" s="3">
        <v>148</v>
      </c>
      <c r="AD37" s="3">
        <v>2</v>
      </c>
      <c r="AE37" s="3">
        <v>2</v>
      </c>
      <c r="AF37" s="3">
        <v>3</v>
      </c>
      <c r="AG37" s="3">
        <v>3</v>
      </c>
      <c r="AH37" s="3">
        <v>0</v>
      </c>
      <c r="AI37" s="3">
        <v>0</v>
      </c>
      <c r="AJ37" s="3">
        <v>1</v>
      </c>
      <c r="AK37" s="3">
        <v>1</v>
      </c>
      <c r="AL37" s="3">
        <v>2</v>
      </c>
      <c r="AM37" s="3">
        <v>2</v>
      </c>
      <c r="AN37" s="3">
        <v>1</v>
      </c>
      <c r="AO37" s="3">
        <v>1</v>
      </c>
      <c r="AP37" s="3">
        <v>0</v>
      </c>
      <c r="AQ37" s="3">
        <v>0</v>
      </c>
      <c r="AR37" s="2" t="s">
        <v>63</v>
      </c>
      <c r="AS37" s="2" t="s">
        <v>74</v>
      </c>
      <c r="AT37" s="5" t="str">
        <f>HYPERLINK("http://catalog.hathitrust.org/Record/002574822","HathiTrust Record")</f>
        <v>HathiTrust Record</v>
      </c>
      <c r="AU37" s="5" t="str">
        <f>HYPERLINK("https://creighton-primo.hosted.exlibrisgroup.com/primo-explore/search?tab=default_tab&amp;search_scope=EVERYTHING&amp;vid=01CRU&amp;lang=en_US&amp;offset=0&amp;query=any,contains,991001936569702656","Catalog Record")</f>
        <v>Catalog Record</v>
      </c>
      <c r="AV37" s="5" t="str">
        <f>HYPERLINK("http://www.worldcat.org/oclc/24467919","WorldCat Record")</f>
        <v>WorldCat Record</v>
      </c>
      <c r="AW37" s="2" t="s">
        <v>576</v>
      </c>
      <c r="AX37" s="2" t="s">
        <v>577</v>
      </c>
      <c r="AY37" s="2" t="s">
        <v>578</v>
      </c>
      <c r="AZ37" s="2" t="s">
        <v>578</v>
      </c>
      <c r="BA37" s="2" t="s">
        <v>579</v>
      </c>
      <c r="BB37" s="2" t="s">
        <v>79</v>
      </c>
      <c r="BD37" s="2" t="s">
        <v>580</v>
      </c>
      <c r="BE37" s="2" t="s">
        <v>581</v>
      </c>
      <c r="BF37" s="2" t="s">
        <v>582</v>
      </c>
    </row>
    <row r="38" spans="1:58" ht="39.75" customHeight="1" x14ac:dyDescent="0.25">
      <c r="A38" s="1"/>
      <c r="B38" s="1" t="s">
        <v>58</v>
      </c>
      <c r="C38" s="1" t="s">
        <v>59</v>
      </c>
      <c r="D38" s="1" t="s">
        <v>583</v>
      </c>
      <c r="E38" s="1" t="s">
        <v>584</v>
      </c>
      <c r="F38" s="1" t="s">
        <v>585</v>
      </c>
      <c r="H38" s="2" t="s">
        <v>63</v>
      </c>
      <c r="I38" s="2" t="s">
        <v>64</v>
      </c>
      <c r="J38" s="2" t="s">
        <v>63</v>
      </c>
      <c r="K38" s="2" t="s">
        <v>63</v>
      </c>
      <c r="L38" s="2" t="s">
        <v>65</v>
      </c>
      <c r="N38" s="1" t="s">
        <v>586</v>
      </c>
      <c r="O38" s="2" t="s">
        <v>290</v>
      </c>
      <c r="Q38" s="2" t="s">
        <v>69</v>
      </c>
      <c r="R38" s="2" t="s">
        <v>88</v>
      </c>
      <c r="T38" s="2" t="s">
        <v>71</v>
      </c>
      <c r="U38" s="3">
        <v>16</v>
      </c>
      <c r="V38" s="3">
        <v>16</v>
      </c>
      <c r="W38" s="4" t="s">
        <v>532</v>
      </c>
      <c r="X38" s="4" t="s">
        <v>532</v>
      </c>
      <c r="Y38" s="4" t="s">
        <v>587</v>
      </c>
      <c r="Z38" s="4" t="s">
        <v>587</v>
      </c>
      <c r="AA38" s="3">
        <v>200</v>
      </c>
      <c r="AB38" s="3">
        <v>141</v>
      </c>
      <c r="AC38" s="3">
        <v>148</v>
      </c>
      <c r="AD38" s="3">
        <v>2</v>
      </c>
      <c r="AE38" s="3">
        <v>2</v>
      </c>
      <c r="AF38" s="3">
        <v>6</v>
      </c>
      <c r="AG38" s="3">
        <v>6</v>
      </c>
      <c r="AH38" s="3">
        <v>1</v>
      </c>
      <c r="AI38" s="3">
        <v>1</v>
      </c>
      <c r="AJ38" s="3">
        <v>1</v>
      </c>
      <c r="AK38" s="3">
        <v>1</v>
      </c>
      <c r="AL38" s="3">
        <v>4</v>
      </c>
      <c r="AM38" s="3">
        <v>4</v>
      </c>
      <c r="AN38" s="3">
        <v>1</v>
      </c>
      <c r="AO38" s="3">
        <v>1</v>
      </c>
      <c r="AP38" s="3">
        <v>0</v>
      </c>
      <c r="AQ38" s="3">
        <v>0</v>
      </c>
      <c r="AR38" s="2" t="s">
        <v>63</v>
      </c>
      <c r="AS38" s="2" t="s">
        <v>74</v>
      </c>
      <c r="AT38" s="5" t="str">
        <f>HYPERLINK("http://catalog.hathitrust.org/Record/002976260","HathiTrust Record")</f>
        <v>HathiTrust Record</v>
      </c>
      <c r="AU38" s="5" t="str">
        <f>HYPERLINK("https://creighton-primo.hosted.exlibrisgroup.com/primo-explore/search?tab=default_tab&amp;search_scope=EVERYTHING&amp;vid=01CRU&amp;lang=en_US&amp;offset=0&amp;query=any,contains,991002422519702656","Catalog Record")</f>
        <v>Catalog Record</v>
      </c>
      <c r="AV38" s="5" t="str">
        <f>HYPERLINK("http://www.worldcat.org/oclc/31604665","WorldCat Record")</f>
        <v>WorldCat Record</v>
      </c>
      <c r="AW38" s="2" t="s">
        <v>588</v>
      </c>
      <c r="AX38" s="2" t="s">
        <v>589</v>
      </c>
      <c r="AY38" s="2" t="s">
        <v>590</v>
      </c>
      <c r="AZ38" s="2" t="s">
        <v>590</v>
      </c>
      <c r="BA38" s="2" t="s">
        <v>591</v>
      </c>
      <c r="BB38" s="2" t="s">
        <v>79</v>
      </c>
      <c r="BD38" s="2" t="s">
        <v>592</v>
      </c>
      <c r="BE38" s="2" t="s">
        <v>593</v>
      </c>
      <c r="BF38" s="2" t="s">
        <v>594</v>
      </c>
    </row>
    <row r="39" spans="1:58" ht="39.75" customHeight="1" x14ac:dyDescent="0.25">
      <c r="A39" s="1"/>
      <c r="B39" s="1" t="s">
        <v>58</v>
      </c>
      <c r="C39" s="1" t="s">
        <v>59</v>
      </c>
      <c r="D39" s="1" t="s">
        <v>595</v>
      </c>
      <c r="E39" s="1" t="s">
        <v>596</v>
      </c>
      <c r="F39" s="1" t="s">
        <v>597</v>
      </c>
      <c r="H39" s="2" t="s">
        <v>63</v>
      </c>
      <c r="I39" s="2" t="s">
        <v>64</v>
      </c>
      <c r="J39" s="2" t="s">
        <v>63</v>
      </c>
      <c r="K39" s="2" t="s">
        <v>63</v>
      </c>
      <c r="L39" s="2" t="s">
        <v>65</v>
      </c>
      <c r="M39" s="1" t="s">
        <v>598</v>
      </c>
      <c r="O39" s="2" t="s">
        <v>599</v>
      </c>
      <c r="Q39" s="2" t="s">
        <v>69</v>
      </c>
      <c r="R39" s="2" t="s">
        <v>88</v>
      </c>
      <c r="T39" s="2" t="s">
        <v>71</v>
      </c>
      <c r="U39" s="3">
        <v>3</v>
      </c>
      <c r="V39" s="3">
        <v>3</v>
      </c>
      <c r="W39" s="4" t="s">
        <v>600</v>
      </c>
      <c r="X39" s="4" t="s">
        <v>600</v>
      </c>
      <c r="Y39" s="4" t="s">
        <v>601</v>
      </c>
      <c r="Z39" s="4" t="s">
        <v>601</v>
      </c>
      <c r="AA39" s="3">
        <v>645</v>
      </c>
      <c r="AB39" s="3">
        <v>560</v>
      </c>
      <c r="AC39" s="3">
        <v>706</v>
      </c>
      <c r="AD39" s="3">
        <v>4</v>
      </c>
      <c r="AE39" s="3">
        <v>4</v>
      </c>
      <c r="AF39" s="3">
        <v>26</v>
      </c>
      <c r="AG39" s="3">
        <v>33</v>
      </c>
      <c r="AH39" s="3">
        <v>9</v>
      </c>
      <c r="AI39" s="3">
        <v>12</v>
      </c>
      <c r="AJ39" s="3">
        <v>7</v>
      </c>
      <c r="AK39" s="3">
        <v>9</v>
      </c>
      <c r="AL39" s="3">
        <v>14</v>
      </c>
      <c r="AM39" s="3">
        <v>17</v>
      </c>
      <c r="AN39" s="3">
        <v>3</v>
      </c>
      <c r="AO39" s="3">
        <v>3</v>
      </c>
      <c r="AP39" s="3">
        <v>0</v>
      </c>
      <c r="AQ39" s="3">
        <v>0</v>
      </c>
      <c r="AR39" s="2" t="s">
        <v>63</v>
      </c>
      <c r="AS39" s="2" t="s">
        <v>74</v>
      </c>
      <c r="AT39" s="5" t="str">
        <f>HYPERLINK("http://catalog.hathitrust.org/Record/000139178","HathiTrust Record")</f>
        <v>HathiTrust Record</v>
      </c>
      <c r="AU39" s="5" t="str">
        <f>HYPERLINK("https://creighton-primo.hosted.exlibrisgroup.com/primo-explore/search?tab=default_tab&amp;search_scope=EVERYTHING&amp;vid=01CRU&amp;lang=en_US&amp;offset=0&amp;query=any,contains,991003341089702656","Catalog Record")</f>
        <v>Catalog Record</v>
      </c>
      <c r="AV39" s="5" t="str">
        <f>HYPERLINK("http://www.worldcat.org/oclc/712215","WorldCat Record")</f>
        <v>WorldCat Record</v>
      </c>
      <c r="AW39" s="2" t="s">
        <v>602</v>
      </c>
      <c r="AX39" s="2" t="s">
        <v>603</v>
      </c>
      <c r="AY39" s="2" t="s">
        <v>604</v>
      </c>
      <c r="AZ39" s="2" t="s">
        <v>604</v>
      </c>
      <c r="BA39" s="2" t="s">
        <v>605</v>
      </c>
      <c r="BB39" s="2" t="s">
        <v>79</v>
      </c>
      <c r="BE39" s="2" t="s">
        <v>606</v>
      </c>
      <c r="BF39" s="2" t="s">
        <v>607</v>
      </c>
    </row>
    <row r="40" spans="1:58" ht="39.75" customHeight="1" x14ac:dyDescent="0.25">
      <c r="A40" s="1"/>
      <c r="B40" s="1" t="s">
        <v>58</v>
      </c>
      <c r="C40" s="1" t="s">
        <v>59</v>
      </c>
      <c r="D40" s="1" t="s">
        <v>608</v>
      </c>
      <c r="E40" s="1" t="s">
        <v>609</v>
      </c>
      <c r="F40" s="1" t="s">
        <v>610</v>
      </c>
      <c r="H40" s="2" t="s">
        <v>63</v>
      </c>
      <c r="I40" s="2" t="s">
        <v>64</v>
      </c>
      <c r="J40" s="2" t="s">
        <v>63</v>
      </c>
      <c r="K40" s="2" t="s">
        <v>63</v>
      </c>
      <c r="L40" s="2" t="s">
        <v>65</v>
      </c>
      <c r="N40" s="1" t="s">
        <v>611</v>
      </c>
      <c r="O40" s="2" t="s">
        <v>530</v>
      </c>
      <c r="Q40" s="2" t="s">
        <v>69</v>
      </c>
      <c r="R40" s="2" t="s">
        <v>612</v>
      </c>
      <c r="T40" s="2" t="s">
        <v>71</v>
      </c>
      <c r="U40" s="3">
        <v>1</v>
      </c>
      <c r="V40" s="3">
        <v>1</v>
      </c>
      <c r="W40" s="4" t="s">
        <v>613</v>
      </c>
      <c r="X40" s="4" t="s">
        <v>613</v>
      </c>
      <c r="Y40" s="4" t="s">
        <v>614</v>
      </c>
      <c r="Z40" s="4" t="s">
        <v>614</v>
      </c>
      <c r="AA40" s="3">
        <v>96</v>
      </c>
      <c r="AB40" s="3">
        <v>71</v>
      </c>
      <c r="AC40" s="3">
        <v>76</v>
      </c>
      <c r="AD40" s="3">
        <v>1</v>
      </c>
      <c r="AE40" s="3">
        <v>1</v>
      </c>
      <c r="AF40" s="3">
        <v>1</v>
      </c>
      <c r="AG40" s="3">
        <v>1</v>
      </c>
      <c r="AH40" s="3">
        <v>0</v>
      </c>
      <c r="AI40" s="3">
        <v>0</v>
      </c>
      <c r="AJ40" s="3">
        <v>1</v>
      </c>
      <c r="AK40" s="3">
        <v>1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2" t="s">
        <v>63</v>
      </c>
      <c r="AS40" s="2" t="s">
        <v>63</v>
      </c>
      <c r="AU40" s="5" t="str">
        <f>HYPERLINK("https://creighton-primo.hosted.exlibrisgroup.com/primo-explore/search?tab=default_tab&amp;search_scope=EVERYTHING&amp;vid=01CRU&amp;lang=en_US&amp;offset=0&amp;query=any,contains,991001761989702656","Catalog Record")</f>
        <v>Catalog Record</v>
      </c>
      <c r="AV40" s="5" t="str">
        <f>HYPERLINK("http://www.worldcat.org/oclc/22276332","WorldCat Record")</f>
        <v>WorldCat Record</v>
      </c>
      <c r="AW40" s="2" t="s">
        <v>615</v>
      </c>
      <c r="AX40" s="2" t="s">
        <v>616</v>
      </c>
      <c r="AY40" s="2" t="s">
        <v>617</v>
      </c>
      <c r="AZ40" s="2" t="s">
        <v>617</v>
      </c>
      <c r="BA40" s="2" t="s">
        <v>618</v>
      </c>
      <c r="BB40" s="2" t="s">
        <v>79</v>
      </c>
      <c r="BD40" s="2" t="s">
        <v>619</v>
      </c>
      <c r="BE40" s="2" t="s">
        <v>620</v>
      </c>
      <c r="BF40" s="2" t="s">
        <v>621</v>
      </c>
    </row>
    <row r="41" spans="1:58" ht="39.75" customHeight="1" x14ac:dyDescent="0.25">
      <c r="A41" s="1"/>
      <c r="B41" s="1" t="s">
        <v>58</v>
      </c>
      <c r="C41" s="1" t="s">
        <v>59</v>
      </c>
      <c r="D41" s="1" t="s">
        <v>622</v>
      </c>
      <c r="E41" s="1" t="s">
        <v>623</v>
      </c>
      <c r="F41" s="1" t="s">
        <v>624</v>
      </c>
      <c r="H41" s="2" t="s">
        <v>63</v>
      </c>
      <c r="I41" s="2" t="s">
        <v>64</v>
      </c>
      <c r="J41" s="2" t="s">
        <v>63</v>
      </c>
      <c r="K41" s="2" t="s">
        <v>63</v>
      </c>
      <c r="L41" s="2" t="s">
        <v>65</v>
      </c>
      <c r="N41" s="1" t="s">
        <v>625</v>
      </c>
      <c r="O41" s="2" t="s">
        <v>290</v>
      </c>
      <c r="Q41" s="2" t="s">
        <v>69</v>
      </c>
      <c r="R41" s="2" t="s">
        <v>118</v>
      </c>
      <c r="S41" s="1" t="s">
        <v>626</v>
      </c>
      <c r="T41" s="2" t="s">
        <v>71</v>
      </c>
      <c r="U41" s="3">
        <v>6</v>
      </c>
      <c r="V41" s="3">
        <v>6</v>
      </c>
      <c r="W41" s="4" t="s">
        <v>627</v>
      </c>
      <c r="X41" s="4" t="s">
        <v>627</v>
      </c>
      <c r="Y41" s="4" t="s">
        <v>628</v>
      </c>
      <c r="Z41" s="4" t="s">
        <v>628</v>
      </c>
      <c r="AA41" s="3">
        <v>174</v>
      </c>
      <c r="AB41" s="3">
        <v>114</v>
      </c>
      <c r="AC41" s="3">
        <v>119</v>
      </c>
      <c r="AD41" s="3">
        <v>1</v>
      </c>
      <c r="AE41" s="3">
        <v>1</v>
      </c>
      <c r="AF41" s="3">
        <v>2</v>
      </c>
      <c r="AG41" s="3">
        <v>2</v>
      </c>
      <c r="AH41" s="3">
        <v>1</v>
      </c>
      <c r="AI41" s="3">
        <v>1</v>
      </c>
      <c r="AJ41" s="3">
        <v>0</v>
      </c>
      <c r="AK41" s="3">
        <v>0</v>
      </c>
      <c r="AL41" s="3">
        <v>2</v>
      </c>
      <c r="AM41" s="3">
        <v>2</v>
      </c>
      <c r="AN41" s="3">
        <v>0</v>
      </c>
      <c r="AO41" s="3">
        <v>0</v>
      </c>
      <c r="AP41" s="3">
        <v>0</v>
      </c>
      <c r="AQ41" s="3">
        <v>0</v>
      </c>
      <c r="AR41" s="2" t="s">
        <v>63</v>
      </c>
      <c r="AS41" s="2" t="s">
        <v>63</v>
      </c>
      <c r="AU41" s="5" t="str">
        <f>HYPERLINK("https://creighton-primo.hosted.exlibrisgroup.com/primo-explore/search?tab=default_tab&amp;search_scope=EVERYTHING&amp;vid=01CRU&amp;lang=en_US&amp;offset=0&amp;query=any,contains,991002315389702656","Catalog Record")</f>
        <v>Catalog Record</v>
      </c>
      <c r="AV41" s="5" t="str">
        <f>HYPERLINK("http://www.worldcat.org/oclc/30036676","WorldCat Record")</f>
        <v>WorldCat Record</v>
      </c>
      <c r="AW41" s="2" t="s">
        <v>629</v>
      </c>
      <c r="AX41" s="2" t="s">
        <v>630</v>
      </c>
      <c r="AY41" s="2" t="s">
        <v>631</v>
      </c>
      <c r="AZ41" s="2" t="s">
        <v>631</v>
      </c>
      <c r="BA41" s="2" t="s">
        <v>632</v>
      </c>
      <c r="BB41" s="2" t="s">
        <v>79</v>
      </c>
      <c r="BD41" s="2" t="s">
        <v>633</v>
      </c>
      <c r="BE41" s="2" t="s">
        <v>634</v>
      </c>
      <c r="BF41" s="2" t="s">
        <v>635</v>
      </c>
    </row>
    <row r="42" spans="1:58" ht="39.75" customHeight="1" x14ac:dyDescent="0.25">
      <c r="A42" s="1"/>
      <c r="B42" s="1" t="s">
        <v>58</v>
      </c>
      <c r="C42" s="1" t="s">
        <v>59</v>
      </c>
      <c r="D42" s="1" t="s">
        <v>636</v>
      </c>
      <c r="E42" s="1" t="s">
        <v>637</v>
      </c>
      <c r="F42" s="1" t="s">
        <v>638</v>
      </c>
      <c r="H42" s="2" t="s">
        <v>63</v>
      </c>
      <c r="I42" s="2" t="s">
        <v>64</v>
      </c>
      <c r="J42" s="2" t="s">
        <v>63</v>
      </c>
      <c r="K42" s="2" t="s">
        <v>63</v>
      </c>
      <c r="L42" s="2" t="s">
        <v>65</v>
      </c>
      <c r="N42" s="1" t="s">
        <v>639</v>
      </c>
      <c r="O42" s="2" t="s">
        <v>206</v>
      </c>
      <c r="P42" s="1" t="s">
        <v>640</v>
      </c>
      <c r="Q42" s="2" t="s">
        <v>69</v>
      </c>
      <c r="R42" s="2" t="s">
        <v>88</v>
      </c>
      <c r="T42" s="2" t="s">
        <v>71</v>
      </c>
      <c r="U42" s="3">
        <v>1</v>
      </c>
      <c r="V42" s="3">
        <v>1</v>
      </c>
      <c r="W42" s="4" t="s">
        <v>641</v>
      </c>
      <c r="X42" s="4" t="s">
        <v>641</v>
      </c>
      <c r="Y42" s="4" t="s">
        <v>641</v>
      </c>
      <c r="Z42" s="4" t="s">
        <v>641</v>
      </c>
      <c r="AA42" s="3">
        <v>184</v>
      </c>
      <c r="AB42" s="3">
        <v>135</v>
      </c>
      <c r="AC42" s="3">
        <v>145</v>
      </c>
      <c r="AD42" s="3">
        <v>1</v>
      </c>
      <c r="AE42" s="3">
        <v>1</v>
      </c>
      <c r="AF42" s="3">
        <v>5</v>
      </c>
      <c r="AG42" s="3">
        <v>5</v>
      </c>
      <c r="AH42" s="3">
        <v>0</v>
      </c>
      <c r="AI42" s="3">
        <v>0</v>
      </c>
      <c r="AJ42" s="3">
        <v>3</v>
      </c>
      <c r="AK42" s="3">
        <v>3</v>
      </c>
      <c r="AL42" s="3">
        <v>4</v>
      </c>
      <c r="AM42" s="3">
        <v>4</v>
      </c>
      <c r="AN42" s="3">
        <v>0</v>
      </c>
      <c r="AO42" s="3">
        <v>0</v>
      </c>
      <c r="AP42" s="3">
        <v>0</v>
      </c>
      <c r="AQ42" s="3">
        <v>0</v>
      </c>
      <c r="AR42" s="2" t="s">
        <v>63</v>
      </c>
      <c r="AS42" s="2" t="s">
        <v>74</v>
      </c>
      <c r="AT42" s="5" t="str">
        <f>HYPERLINK("http://catalog.hathitrust.org/Record/004063174","HathiTrust Record")</f>
        <v>HathiTrust Record</v>
      </c>
      <c r="AU42" s="5" t="str">
        <f>HYPERLINK("https://creighton-primo.hosted.exlibrisgroup.com/primo-explore/search?tab=default_tab&amp;search_scope=EVERYTHING&amp;vid=01CRU&amp;lang=en_US&amp;offset=0&amp;query=any,contains,991003292879702656","Catalog Record")</f>
        <v>Catalog Record</v>
      </c>
      <c r="AV42" s="5" t="str">
        <f>HYPERLINK("http://www.worldcat.org/oclc/40964704","WorldCat Record")</f>
        <v>WorldCat Record</v>
      </c>
      <c r="AW42" s="2" t="s">
        <v>642</v>
      </c>
      <c r="AX42" s="2" t="s">
        <v>643</v>
      </c>
      <c r="AY42" s="2" t="s">
        <v>644</v>
      </c>
      <c r="AZ42" s="2" t="s">
        <v>644</v>
      </c>
      <c r="BA42" s="2" t="s">
        <v>645</v>
      </c>
      <c r="BB42" s="2" t="s">
        <v>79</v>
      </c>
      <c r="BD42" s="2" t="s">
        <v>646</v>
      </c>
      <c r="BE42" s="2" t="s">
        <v>647</v>
      </c>
      <c r="BF42" s="2" t="s">
        <v>648</v>
      </c>
    </row>
    <row r="43" spans="1:58" ht="39.75" customHeight="1" x14ac:dyDescent="0.25">
      <c r="A43" s="1"/>
      <c r="B43" s="1" t="s">
        <v>58</v>
      </c>
      <c r="C43" s="1" t="s">
        <v>59</v>
      </c>
      <c r="D43" s="1" t="s">
        <v>649</v>
      </c>
      <c r="E43" s="1" t="s">
        <v>650</v>
      </c>
      <c r="F43" s="1" t="s">
        <v>651</v>
      </c>
      <c r="H43" s="2" t="s">
        <v>63</v>
      </c>
      <c r="I43" s="2" t="s">
        <v>64</v>
      </c>
      <c r="J43" s="2" t="s">
        <v>63</v>
      </c>
      <c r="K43" s="2" t="s">
        <v>63</v>
      </c>
      <c r="L43" s="2" t="s">
        <v>65</v>
      </c>
      <c r="M43" s="1" t="s">
        <v>652</v>
      </c>
      <c r="N43" s="1" t="s">
        <v>653</v>
      </c>
      <c r="O43" s="2" t="s">
        <v>68</v>
      </c>
      <c r="Q43" s="2" t="s">
        <v>69</v>
      </c>
      <c r="R43" s="2" t="s">
        <v>70</v>
      </c>
      <c r="T43" s="2" t="s">
        <v>71</v>
      </c>
      <c r="U43" s="3">
        <v>5</v>
      </c>
      <c r="V43" s="3">
        <v>5</v>
      </c>
      <c r="W43" s="4" t="s">
        <v>654</v>
      </c>
      <c r="X43" s="4" t="s">
        <v>654</v>
      </c>
      <c r="Y43" s="4" t="s">
        <v>250</v>
      </c>
      <c r="Z43" s="4" t="s">
        <v>250</v>
      </c>
      <c r="AA43" s="3">
        <v>722</v>
      </c>
      <c r="AB43" s="3">
        <v>671</v>
      </c>
      <c r="AC43" s="3">
        <v>677</v>
      </c>
      <c r="AD43" s="3">
        <v>4</v>
      </c>
      <c r="AE43" s="3">
        <v>4</v>
      </c>
      <c r="AF43" s="3">
        <v>21</v>
      </c>
      <c r="AG43" s="3">
        <v>21</v>
      </c>
      <c r="AH43" s="3">
        <v>5</v>
      </c>
      <c r="AI43" s="3">
        <v>5</v>
      </c>
      <c r="AJ43" s="3">
        <v>5</v>
      </c>
      <c r="AK43" s="3">
        <v>5</v>
      </c>
      <c r="AL43" s="3">
        <v>13</v>
      </c>
      <c r="AM43" s="3">
        <v>13</v>
      </c>
      <c r="AN43" s="3">
        <v>3</v>
      </c>
      <c r="AO43" s="3">
        <v>3</v>
      </c>
      <c r="AP43" s="3">
        <v>0</v>
      </c>
      <c r="AQ43" s="3">
        <v>0</v>
      </c>
      <c r="AR43" s="2" t="s">
        <v>63</v>
      </c>
      <c r="AS43" s="2" t="s">
        <v>74</v>
      </c>
      <c r="AT43" s="5" t="str">
        <f>HYPERLINK("http://catalog.hathitrust.org/Record/000248444","HathiTrust Record")</f>
        <v>HathiTrust Record</v>
      </c>
      <c r="AU43" s="5" t="str">
        <f>HYPERLINK("https://creighton-primo.hosted.exlibrisgroup.com/primo-explore/search?tab=default_tab&amp;search_scope=EVERYTHING&amp;vid=01CRU&amp;lang=en_US&amp;offset=0&amp;query=any,contains,991000487439702656","Catalog Record")</f>
        <v>Catalog Record</v>
      </c>
      <c r="AV43" s="5" t="str">
        <f>HYPERLINK("http://www.worldcat.org/oclc/11089751","WorldCat Record")</f>
        <v>WorldCat Record</v>
      </c>
      <c r="AW43" s="2" t="s">
        <v>655</v>
      </c>
      <c r="AX43" s="2" t="s">
        <v>656</v>
      </c>
      <c r="AY43" s="2" t="s">
        <v>657</v>
      </c>
      <c r="AZ43" s="2" t="s">
        <v>657</v>
      </c>
      <c r="BA43" s="2" t="s">
        <v>658</v>
      </c>
      <c r="BB43" s="2" t="s">
        <v>79</v>
      </c>
      <c r="BD43" s="2" t="s">
        <v>659</v>
      </c>
      <c r="BE43" s="2" t="s">
        <v>660</v>
      </c>
      <c r="BF43" s="2" t="s">
        <v>661</v>
      </c>
    </row>
    <row r="44" spans="1:58" ht="39.75" customHeight="1" x14ac:dyDescent="0.25">
      <c r="A44" s="1"/>
      <c r="B44" s="1" t="s">
        <v>58</v>
      </c>
      <c r="C44" s="1" t="s">
        <v>59</v>
      </c>
      <c r="D44" s="1" t="s">
        <v>662</v>
      </c>
      <c r="E44" s="1" t="s">
        <v>663</v>
      </c>
      <c r="F44" s="1" t="s">
        <v>664</v>
      </c>
      <c r="H44" s="2" t="s">
        <v>63</v>
      </c>
      <c r="I44" s="2" t="s">
        <v>64</v>
      </c>
      <c r="J44" s="2" t="s">
        <v>63</v>
      </c>
      <c r="K44" s="2" t="s">
        <v>63</v>
      </c>
      <c r="L44" s="2" t="s">
        <v>65</v>
      </c>
      <c r="N44" s="1" t="s">
        <v>665</v>
      </c>
      <c r="O44" s="2" t="s">
        <v>290</v>
      </c>
      <c r="Q44" s="2" t="s">
        <v>69</v>
      </c>
      <c r="R44" s="2" t="s">
        <v>88</v>
      </c>
      <c r="S44" s="1" t="s">
        <v>666</v>
      </c>
      <c r="T44" s="2" t="s">
        <v>71</v>
      </c>
      <c r="U44" s="3">
        <v>2</v>
      </c>
      <c r="V44" s="3">
        <v>2</v>
      </c>
      <c r="W44" s="4" t="s">
        <v>667</v>
      </c>
      <c r="X44" s="4" t="s">
        <v>667</v>
      </c>
      <c r="Y44" s="4" t="s">
        <v>668</v>
      </c>
      <c r="Z44" s="4" t="s">
        <v>668</v>
      </c>
      <c r="AA44" s="3">
        <v>57</v>
      </c>
      <c r="AB44" s="3">
        <v>42</v>
      </c>
      <c r="AC44" s="3">
        <v>42</v>
      </c>
      <c r="AD44" s="3">
        <v>1</v>
      </c>
      <c r="AE44" s="3">
        <v>1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2" t="s">
        <v>63</v>
      </c>
      <c r="AS44" s="2" t="s">
        <v>63</v>
      </c>
      <c r="AU44" s="5" t="str">
        <f>HYPERLINK("https://creighton-primo.hosted.exlibrisgroup.com/primo-explore/search?tab=default_tab&amp;search_scope=EVERYTHING&amp;vid=01CRU&amp;lang=en_US&amp;offset=0&amp;query=any,contains,991002449999702656","Catalog Record")</f>
        <v>Catalog Record</v>
      </c>
      <c r="AV44" s="5" t="str">
        <f>HYPERLINK("http://www.worldcat.org/oclc/31940361","WorldCat Record")</f>
        <v>WorldCat Record</v>
      </c>
      <c r="AW44" s="2" t="s">
        <v>669</v>
      </c>
      <c r="AX44" s="2" t="s">
        <v>670</v>
      </c>
      <c r="AY44" s="2" t="s">
        <v>671</v>
      </c>
      <c r="AZ44" s="2" t="s">
        <v>671</v>
      </c>
      <c r="BA44" s="2" t="s">
        <v>672</v>
      </c>
      <c r="BB44" s="2" t="s">
        <v>79</v>
      </c>
      <c r="BD44" s="2" t="s">
        <v>673</v>
      </c>
      <c r="BE44" s="2" t="s">
        <v>674</v>
      </c>
      <c r="BF44" s="2" t="s">
        <v>675</v>
      </c>
    </row>
    <row r="45" spans="1:58" ht="39.75" customHeight="1" x14ac:dyDescent="0.25">
      <c r="A45" s="1"/>
      <c r="B45" s="1" t="s">
        <v>58</v>
      </c>
      <c r="C45" s="1" t="s">
        <v>59</v>
      </c>
      <c r="D45" s="1" t="s">
        <v>676</v>
      </c>
      <c r="E45" s="1" t="s">
        <v>677</v>
      </c>
      <c r="F45" s="1" t="s">
        <v>678</v>
      </c>
      <c r="H45" s="2" t="s">
        <v>63</v>
      </c>
      <c r="I45" s="2" t="s">
        <v>64</v>
      </c>
      <c r="J45" s="2" t="s">
        <v>63</v>
      </c>
      <c r="K45" s="2" t="s">
        <v>63</v>
      </c>
      <c r="L45" s="2" t="s">
        <v>65</v>
      </c>
      <c r="M45" s="1" t="s">
        <v>679</v>
      </c>
      <c r="N45" s="1" t="s">
        <v>680</v>
      </c>
      <c r="O45" s="2" t="s">
        <v>681</v>
      </c>
      <c r="Q45" s="2" t="s">
        <v>69</v>
      </c>
      <c r="R45" s="2" t="s">
        <v>88</v>
      </c>
      <c r="T45" s="2" t="s">
        <v>71</v>
      </c>
      <c r="U45" s="3">
        <v>5</v>
      </c>
      <c r="V45" s="3">
        <v>5</v>
      </c>
      <c r="W45" s="4" t="s">
        <v>682</v>
      </c>
      <c r="X45" s="4" t="s">
        <v>682</v>
      </c>
      <c r="Y45" s="4" t="s">
        <v>683</v>
      </c>
      <c r="Z45" s="4" t="s">
        <v>683</v>
      </c>
      <c r="AA45" s="3">
        <v>899</v>
      </c>
      <c r="AB45" s="3">
        <v>812</v>
      </c>
      <c r="AC45" s="3">
        <v>826</v>
      </c>
      <c r="AD45" s="3">
        <v>5</v>
      </c>
      <c r="AE45" s="3">
        <v>5</v>
      </c>
      <c r="AF45" s="3">
        <v>26</v>
      </c>
      <c r="AG45" s="3">
        <v>26</v>
      </c>
      <c r="AH45" s="3">
        <v>9</v>
      </c>
      <c r="AI45" s="3">
        <v>9</v>
      </c>
      <c r="AJ45" s="3">
        <v>6</v>
      </c>
      <c r="AK45" s="3">
        <v>6</v>
      </c>
      <c r="AL45" s="3">
        <v>14</v>
      </c>
      <c r="AM45" s="3">
        <v>14</v>
      </c>
      <c r="AN45" s="3">
        <v>4</v>
      </c>
      <c r="AO45" s="3">
        <v>4</v>
      </c>
      <c r="AP45" s="3">
        <v>0</v>
      </c>
      <c r="AQ45" s="3">
        <v>0</v>
      </c>
      <c r="AR45" s="2" t="s">
        <v>63</v>
      </c>
      <c r="AS45" s="2" t="s">
        <v>63</v>
      </c>
      <c r="AU45" s="5" t="str">
        <f>HYPERLINK("https://creighton-primo.hosted.exlibrisgroup.com/primo-explore/search?tab=default_tab&amp;search_scope=EVERYTHING&amp;vid=01CRU&amp;lang=en_US&amp;offset=0&amp;query=any,contains,991003604899702656","Catalog Record")</f>
        <v>Catalog Record</v>
      </c>
      <c r="AV45" s="5" t="str">
        <f>HYPERLINK("http://www.worldcat.org/oclc/44803079","WorldCat Record")</f>
        <v>WorldCat Record</v>
      </c>
      <c r="AW45" s="2" t="s">
        <v>684</v>
      </c>
      <c r="AX45" s="2" t="s">
        <v>685</v>
      </c>
      <c r="AY45" s="2" t="s">
        <v>686</v>
      </c>
      <c r="AZ45" s="2" t="s">
        <v>686</v>
      </c>
      <c r="BA45" s="2" t="s">
        <v>687</v>
      </c>
      <c r="BB45" s="2" t="s">
        <v>79</v>
      </c>
      <c r="BD45" s="2" t="s">
        <v>688</v>
      </c>
      <c r="BE45" s="2" t="s">
        <v>689</v>
      </c>
      <c r="BF45" s="2" t="s">
        <v>690</v>
      </c>
    </row>
    <row r="46" spans="1:58" ht="39.75" customHeight="1" x14ac:dyDescent="0.25">
      <c r="A46" s="1"/>
      <c r="B46" s="1" t="s">
        <v>58</v>
      </c>
      <c r="C46" s="1" t="s">
        <v>59</v>
      </c>
      <c r="D46" s="1" t="s">
        <v>691</v>
      </c>
      <c r="E46" s="1" t="s">
        <v>692</v>
      </c>
      <c r="F46" s="1" t="s">
        <v>693</v>
      </c>
      <c r="H46" s="2" t="s">
        <v>63</v>
      </c>
      <c r="I46" s="2" t="s">
        <v>64</v>
      </c>
      <c r="J46" s="2" t="s">
        <v>63</v>
      </c>
      <c r="K46" s="2" t="s">
        <v>63</v>
      </c>
      <c r="L46" s="2" t="s">
        <v>65</v>
      </c>
      <c r="M46" s="1" t="s">
        <v>694</v>
      </c>
      <c r="N46" s="1" t="s">
        <v>695</v>
      </c>
      <c r="O46" s="2" t="s">
        <v>220</v>
      </c>
      <c r="Q46" s="2" t="s">
        <v>69</v>
      </c>
      <c r="R46" s="2" t="s">
        <v>88</v>
      </c>
      <c r="T46" s="2" t="s">
        <v>71</v>
      </c>
      <c r="U46" s="3">
        <v>3</v>
      </c>
      <c r="V46" s="3">
        <v>3</v>
      </c>
      <c r="W46" s="4" t="s">
        <v>696</v>
      </c>
      <c r="X46" s="4" t="s">
        <v>696</v>
      </c>
      <c r="Y46" s="4" t="s">
        <v>697</v>
      </c>
      <c r="Z46" s="4" t="s">
        <v>697</v>
      </c>
      <c r="AA46" s="3">
        <v>861</v>
      </c>
      <c r="AB46" s="3">
        <v>774</v>
      </c>
      <c r="AC46" s="3">
        <v>790</v>
      </c>
      <c r="AD46" s="3">
        <v>5</v>
      </c>
      <c r="AE46" s="3">
        <v>5</v>
      </c>
      <c r="AF46" s="3">
        <v>27</v>
      </c>
      <c r="AG46" s="3">
        <v>27</v>
      </c>
      <c r="AH46" s="3">
        <v>8</v>
      </c>
      <c r="AI46" s="3">
        <v>8</v>
      </c>
      <c r="AJ46" s="3">
        <v>7</v>
      </c>
      <c r="AK46" s="3">
        <v>7</v>
      </c>
      <c r="AL46" s="3">
        <v>11</v>
      </c>
      <c r="AM46" s="3">
        <v>11</v>
      </c>
      <c r="AN46" s="3">
        <v>4</v>
      </c>
      <c r="AO46" s="3">
        <v>4</v>
      </c>
      <c r="AP46" s="3">
        <v>1</v>
      </c>
      <c r="AQ46" s="3">
        <v>1</v>
      </c>
      <c r="AR46" s="2" t="s">
        <v>63</v>
      </c>
      <c r="AS46" s="2" t="s">
        <v>63</v>
      </c>
      <c r="AU46" s="5" t="str">
        <f>HYPERLINK("https://creighton-primo.hosted.exlibrisgroup.com/primo-explore/search?tab=default_tab&amp;search_scope=EVERYTHING&amp;vid=01CRU&amp;lang=en_US&amp;offset=0&amp;query=any,contains,991003292789702656","Catalog Record")</f>
        <v>Catalog Record</v>
      </c>
      <c r="AV46" s="5" t="str">
        <f>HYPERLINK("http://www.worldcat.org/oclc/40762839","WorldCat Record")</f>
        <v>WorldCat Record</v>
      </c>
      <c r="AW46" s="2" t="s">
        <v>698</v>
      </c>
      <c r="AX46" s="2" t="s">
        <v>699</v>
      </c>
      <c r="AY46" s="2" t="s">
        <v>700</v>
      </c>
      <c r="AZ46" s="2" t="s">
        <v>700</v>
      </c>
      <c r="BA46" s="2" t="s">
        <v>701</v>
      </c>
      <c r="BB46" s="2" t="s">
        <v>79</v>
      </c>
      <c r="BD46" s="2" t="s">
        <v>702</v>
      </c>
      <c r="BE46" s="2" t="s">
        <v>703</v>
      </c>
      <c r="BF46" s="2" t="s">
        <v>704</v>
      </c>
    </row>
    <row r="47" spans="1:58" ht="39.75" customHeight="1" x14ac:dyDescent="0.25">
      <c r="A47" s="1"/>
      <c r="B47" s="1" t="s">
        <v>58</v>
      </c>
      <c r="C47" s="1" t="s">
        <v>59</v>
      </c>
      <c r="D47" s="1" t="s">
        <v>705</v>
      </c>
      <c r="E47" s="1" t="s">
        <v>706</v>
      </c>
      <c r="F47" s="1" t="s">
        <v>707</v>
      </c>
      <c r="H47" s="2" t="s">
        <v>63</v>
      </c>
      <c r="I47" s="2" t="s">
        <v>64</v>
      </c>
      <c r="J47" s="2" t="s">
        <v>63</v>
      </c>
      <c r="K47" s="2" t="s">
        <v>63</v>
      </c>
      <c r="L47" s="2" t="s">
        <v>65</v>
      </c>
      <c r="N47" s="1" t="s">
        <v>708</v>
      </c>
      <c r="O47" s="2" t="s">
        <v>190</v>
      </c>
      <c r="Q47" s="2" t="s">
        <v>69</v>
      </c>
      <c r="R47" s="2" t="s">
        <v>88</v>
      </c>
      <c r="T47" s="2" t="s">
        <v>71</v>
      </c>
      <c r="U47" s="3">
        <v>7</v>
      </c>
      <c r="V47" s="3">
        <v>7</v>
      </c>
      <c r="W47" s="4" t="s">
        <v>709</v>
      </c>
      <c r="X47" s="4" t="s">
        <v>709</v>
      </c>
      <c r="Y47" s="4" t="s">
        <v>710</v>
      </c>
      <c r="Z47" s="4" t="s">
        <v>710</v>
      </c>
      <c r="AA47" s="3">
        <v>198</v>
      </c>
      <c r="AB47" s="3">
        <v>141</v>
      </c>
      <c r="AC47" s="3">
        <v>143</v>
      </c>
      <c r="AD47" s="3">
        <v>2</v>
      </c>
      <c r="AE47" s="3">
        <v>2</v>
      </c>
      <c r="AF47" s="3">
        <v>6</v>
      </c>
      <c r="AG47" s="3">
        <v>6</v>
      </c>
      <c r="AH47" s="3">
        <v>1</v>
      </c>
      <c r="AI47" s="3">
        <v>1</v>
      </c>
      <c r="AJ47" s="3">
        <v>2</v>
      </c>
      <c r="AK47" s="3">
        <v>2</v>
      </c>
      <c r="AL47" s="3">
        <v>2</v>
      </c>
      <c r="AM47" s="3">
        <v>2</v>
      </c>
      <c r="AN47" s="3">
        <v>1</v>
      </c>
      <c r="AO47" s="3">
        <v>1</v>
      </c>
      <c r="AP47" s="3">
        <v>0</v>
      </c>
      <c r="AQ47" s="3">
        <v>0</v>
      </c>
      <c r="AR47" s="2" t="s">
        <v>63</v>
      </c>
      <c r="AS47" s="2" t="s">
        <v>74</v>
      </c>
      <c r="AT47" s="5" t="str">
        <f>HYPERLINK("http://catalog.hathitrust.org/Record/002738131","HathiTrust Record")</f>
        <v>HathiTrust Record</v>
      </c>
      <c r="AU47" s="5" t="str">
        <f>HYPERLINK("https://creighton-primo.hosted.exlibrisgroup.com/primo-explore/search?tab=default_tab&amp;search_scope=EVERYTHING&amp;vid=01CRU&amp;lang=en_US&amp;offset=0&amp;query=any,contains,991002144969702656","Catalog Record")</f>
        <v>Catalog Record</v>
      </c>
      <c r="AV47" s="5" t="str">
        <f>HYPERLINK("http://www.worldcat.org/oclc/27640768","WorldCat Record")</f>
        <v>WorldCat Record</v>
      </c>
      <c r="AW47" s="2" t="s">
        <v>711</v>
      </c>
      <c r="AX47" s="2" t="s">
        <v>712</v>
      </c>
      <c r="AY47" s="2" t="s">
        <v>713</v>
      </c>
      <c r="AZ47" s="2" t="s">
        <v>713</v>
      </c>
      <c r="BA47" s="2" t="s">
        <v>714</v>
      </c>
      <c r="BB47" s="2" t="s">
        <v>79</v>
      </c>
      <c r="BD47" s="2" t="s">
        <v>715</v>
      </c>
      <c r="BE47" s="2" t="s">
        <v>716</v>
      </c>
      <c r="BF47" s="2" t="s">
        <v>717</v>
      </c>
    </row>
    <row r="48" spans="1:58" ht="39.75" customHeight="1" x14ac:dyDescent="0.25">
      <c r="A48" s="1"/>
      <c r="B48" s="1" t="s">
        <v>58</v>
      </c>
      <c r="C48" s="1" t="s">
        <v>59</v>
      </c>
      <c r="D48" s="1" t="s">
        <v>718</v>
      </c>
      <c r="E48" s="1" t="s">
        <v>719</v>
      </c>
      <c r="F48" s="1" t="s">
        <v>720</v>
      </c>
      <c r="H48" s="2" t="s">
        <v>63</v>
      </c>
      <c r="I48" s="2" t="s">
        <v>64</v>
      </c>
      <c r="J48" s="2" t="s">
        <v>63</v>
      </c>
      <c r="K48" s="2" t="s">
        <v>63</v>
      </c>
      <c r="L48" s="2" t="s">
        <v>65</v>
      </c>
      <c r="M48" s="1" t="s">
        <v>721</v>
      </c>
      <c r="N48" s="1" t="s">
        <v>722</v>
      </c>
      <c r="O48" s="2" t="s">
        <v>220</v>
      </c>
      <c r="P48" s="1" t="s">
        <v>132</v>
      </c>
      <c r="Q48" s="2" t="s">
        <v>69</v>
      </c>
      <c r="R48" s="2" t="s">
        <v>88</v>
      </c>
      <c r="T48" s="2" t="s">
        <v>71</v>
      </c>
      <c r="U48" s="3">
        <v>1</v>
      </c>
      <c r="V48" s="3">
        <v>1</v>
      </c>
      <c r="W48" s="4" t="s">
        <v>723</v>
      </c>
      <c r="X48" s="4" t="s">
        <v>723</v>
      </c>
      <c r="Y48" s="4" t="s">
        <v>723</v>
      </c>
      <c r="Z48" s="4" t="s">
        <v>723</v>
      </c>
      <c r="AA48" s="3">
        <v>659</v>
      </c>
      <c r="AB48" s="3">
        <v>630</v>
      </c>
      <c r="AC48" s="3">
        <v>700</v>
      </c>
      <c r="AD48" s="3">
        <v>6</v>
      </c>
      <c r="AE48" s="3">
        <v>6</v>
      </c>
      <c r="AF48" s="3">
        <v>21</v>
      </c>
      <c r="AG48" s="3">
        <v>21</v>
      </c>
      <c r="AH48" s="3">
        <v>6</v>
      </c>
      <c r="AI48" s="3">
        <v>6</v>
      </c>
      <c r="AJ48" s="3">
        <v>4</v>
      </c>
      <c r="AK48" s="3">
        <v>4</v>
      </c>
      <c r="AL48" s="3">
        <v>12</v>
      </c>
      <c r="AM48" s="3">
        <v>12</v>
      </c>
      <c r="AN48" s="3">
        <v>4</v>
      </c>
      <c r="AO48" s="3">
        <v>4</v>
      </c>
      <c r="AP48" s="3">
        <v>0</v>
      </c>
      <c r="AQ48" s="3">
        <v>0</v>
      </c>
      <c r="AR48" s="2" t="s">
        <v>63</v>
      </c>
      <c r="AS48" s="2" t="s">
        <v>63</v>
      </c>
      <c r="AU48" s="5" t="str">
        <f>HYPERLINK("https://creighton-primo.hosted.exlibrisgroup.com/primo-explore/search?tab=default_tab&amp;search_scope=EVERYTHING&amp;vid=01CRU&amp;lang=en_US&amp;offset=0&amp;query=any,contains,991003292759702656","Catalog Record")</f>
        <v>Catalog Record</v>
      </c>
      <c r="AV48" s="5" t="str">
        <f>HYPERLINK("http://www.worldcat.org/oclc/42889718","WorldCat Record")</f>
        <v>WorldCat Record</v>
      </c>
      <c r="AW48" s="2" t="s">
        <v>724</v>
      </c>
      <c r="AX48" s="2" t="s">
        <v>725</v>
      </c>
      <c r="AY48" s="2" t="s">
        <v>726</v>
      </c>
      <c r="AZ48" s="2" t="s">
        <v>726</v>
      </c>
      <c r="BA48" s="2" t="s">
        <v>727</v>
      </c>
      <c r="BB48" s="2" t="s">
        <v>79</v>
      </c>
      <c r="BD48" s="2" t="s">
        <v>728</v>
      </c>
      <c r="BE48" s="2" t="s">
        <v>729</v>
      </c>
      <c r="BF48" s="2" t="s">
        <v>730</v>
      </c>
    </row>
    <row r="49" spans="1:58" ht="39.75" customHeight="1" x14ac:dyDescent="0.25">
      <c r="A49" s="1"/>
      <c r="B49" s="1" t="s">
        <v>58</v>
      </c>
      <c r="C49" s="1" t="s">
        <v>59</v>
      </c>
      <c r="D49" s="1" t="s">
        <v>731</v>
      </c>
      <c r="E49" s="1" t="s">
        <v>732</v>
      </c>
      <c r="F49" s="1" t="s">
        <v>733</v>
      </c>
      <c r="H49" s="2" t="s">
        <v>63</v>
      </c>
      <c r="I49" s="2" t="s">
        <v>64</v>
      </c>
      <c r="J49" s="2" t="s">
        <v>63</v>
      </c>
      <c r="K49" s="2" t="s">
        <v>63</v>
      </c>
      <c r="L49" s="2" t="s">
        <v>65</v>
      </c>
      <c r="N49" s="1" t="s">
        <v>734</v>
      </c>
      <c r="O49" s="2" t="s">
        <v>290</v>
      </c>
      <c r="Q49" s="2" t="s">
        <v>69</v>
      </c>
      <c r="R49" s="2" t="s">
        <v>88</v>
      </c>
      <c r="S49" s="1" t="s">
        <v>735</v>
      </c>
      <c r="T49" s="2" t="s">
        <v>71</v>
      </c>
      <c r="U49" s="3">
        <v>1</v>
      </c>
      <c r="V49" s="3">
        <v>1</v>
      </c>
      <c r="W49" s="4" t="s">
        <v>736</v>
      </c>
      <c r="X49" s="4" t="s">
        <v>736</v>
      </c>
      <c r="Y49" s="4" t="s">
        <v>737</v>
      </c>
      <c r="Z49" s="4" t="s">
        <v>737</v>
      </c>
      <c r="AA49" s="3">
        <v>275</v>
      </c>
      <c r="AB49" s="3">
        <v>185</v>
      </c>
      <c r="AC49" s="3">
        <v>191</v>
      </c>
      <c r="AD49" s="3">
        <v>2</v>
      </c>
      <c r="AE49" s="3">
        <v>2</v>
      </c>
      <c r="AF49" s="3">
        <v>11</v>
      </c>
      <c r="AG49" s="3">
        <v>11</v>
      </c>
      <c r="AH49" s="3">
        <v>4</v>
      </c>
      <c r="AI49" s="3">
        <v>4</v>
      </c>
      <c r="AJ49" s="3">
        <v>2</v>
      </c>
      <c r="AK49" s="3">
        <v>2</v>
      </c>
      <c r="AL49" s="3">
        <v>6</v>
      </c>
      <c r="AM49" s="3">
        <v>6</v>
      </c>
      <c r="AN49" s="3">
        <v>1</v>
      </c>
      <c r="AO49" s="3">
        <v>1</v>
      </c>
      <c r="AP49" s="3">
        <v>0</v>
      </c>
      <c r="AQ49" s="3">
        <v>0</v>
      </c>
      <c r="AR49" s="2" t="s">
        <v>63</v>
      </c>
      <c r="AS49" s="2" t="s">
        <v>74</v>
      </c>
      <c r="AT49" s="5" t="str">
        <f>HYPERLINK("http://catalog.hathitrust.org/Record/002973277","HathiTrust Record")</f>
        <v>HathiTrust Record</v>
      </c>
      <c r="AU49" s="5" t="str">
        <f>HYPERLINK("https://creighton-primo.hosted.exlibrisgroup.com/primo-explore/search?tab=default_tab&amp;search_scope=EVERYTHING&amp;vid=01CRU&amp;lang=en_US&amp;offset=0&amp;query=any,contains,991002423909702656","Catalog Record")</f>
        <v>Catalog Record</v>
      </c>
      <c r="AV49" s="5" t="str">
        <f>HYPERLINK("http://www.worldcat.org/oclc/31606281","WorldCat Record")</f>
        <v>WorldCat Record</v>
      </c>
      <c r="AW49" s="2" t="s">
        <v>738</v>
      </c>
      <c r="AX49" s="2" t="s">
        <v>739</v>
      </c>
      <c r="AY49" s="2" t="s">
        <v>740</v>
      </c>
      <c r="AZ49" s="2" t="s">
        <v>740</v>
      </c>
      <c r="BA49" s="2" t="s">
        <v>741</v>
      </c>
      <c r="BB49" s="2" t="s">
        <v>79</v>
      </c>
      <c r="BD49" s="2" t="s">
        <v>742</v>
      </c>
      <c r="BE49" s="2" t="s">
        <v>743</v>
      </c>
      <c r="BF49" s="2" t="s">
        <v>744</v>
      </c>
    </row>
    <row r="50" spans="1:58" ht="39.75" customHeight="1" x14ac:dyDescent="0.25">
      <c r="A50" s="1"/>
      <c r="B50" s="1" t="s">
        <v>58</v>
      </c>
      <c r="C50" s="1" t="s">
        <v>59</v>
      </c>
      <c r="D50" s="1" t="s">
        <v>745</v>
      </c>
      <c r="E50" s="1" t="s">
        <v>746</v>
      </c>
      <c r="F50" s="1" t="s">
        <v>747</v>
      </c>
      <c r="H50" s="2" t="s">
        <v>63</v>
      </c>
      <c r="I50" s="2" t="s">
        <v>64</v>
      </c>
      <c r="J50" s="2" t="s">
        <v>63</v>
      </c>
      <c r="K50" s="2" t="s">
        <v>63</v>
      </c>
      <c r="L50" s="2" t="s">
        <v>65</v>
      </c>
      <c r="M50" s="1" t="s">
        <v>748</v>
      </c>
      <c r="N50" s="1" t="s">
        <v>749</v>
      </c>
      <c r="O50" s="2" t="s">
        <v>750</v>
      </c>
      <c r="Q50" s="2" t="s">
        <v>69</v>
      </c>
      <c r="R50" s="2" t="s">
        <v>88</v>
      </c>
      <c r="S50" s="1" t="s">
        <v>751</v>
      </c>
      <c r="T50" s="2" t="s">
        <v>71</v>
      </c>
      <c r="U50" s="3">
        <v>2</v>
      </c>
      <c r="V50" s="3">
        <v>2</v>
      </c>
      <c r="W50" s="4" t="s">
        <v>752</v>
      </c>
      <c r="X50" s="4" t="s">
        <v>752</v>
      </c>
      <c r="Y50" s="4" t="s">
        <v>105</v>
      </c>
      <c r="Z50" s="4" t="s">
        <v>105</v>
      </c>
      <c r="AA50" s="3">
        <v>285</v>
      </c>
      <c r="AB50" s="3">
        <v>198</v>
      </c>
      <c r="AC50" s="3">
        <v>250</v>
      </c>
      <c r="AD50" s="3">
        <v>1</v>
      </c>
      <c r="AE50" s="3">
        <v>1</v>
      </c>
      <c r="AF50" s="3">
        <v>5</v>
      </c>
      <c r="AG50" s="3">
        <v>8</v>
      </c>
      <c r="AH50" s="3">
        <v>2</v>
      </c>
      <c r="AI50" s="3">
        <v>4</v>
      </c>
      <c r="AJ50" s="3">
        <v>2</v>
      </c>
      <c r="AK50" s="3">
        <v>4</v>
      </c>
      <c r="AL50" s="3">
        <v>3</v>
      </c>
      <c r="AM50" s="3">
        <v>3</v>
      </c>
      <c r="AN50" s="3">
        <v>0</v>
      </c>
      <c r="AO50" s="3">
        <v>0</v>
      </c>
      <c r="AP50" s="3">
        <v>0</v>
      </c>
      <c r="AQ50" s="3">
        <v>0</v>
      </c>
      <c r="AR50" s="2" t="s">
        <v>63</v>
      </c>
      <c r="AS50" s="2" t="s">
        <v>74</v>
      </c>
      <c r="AT50" s="5" t="str">
        <f>HYPERLINK("http://catalog.hathitrust.org/Record/001556700","HathiTrust Record")</f>
        <v>HathiTrust Record</v>
      </c>
      <c r="AU50" s="5" t="str">
        <f>HYPERLINK("https://creighton-primo.hosted.exlibrisgroup.com/primo-explore/search?tab=default_tab&amp;search_scope=EVERYTHING&amp;vid=01CRU&amp;lang=en_US&amp;offset=0&amp;query=any,contains,991003367639702656","Catalog Record")</f>
        <v>Catalog Record</v>
      </c>
      <c r="AV50" s="5" t="str">
        <f>HYPERLINK("http://www.worldcat.org/oclc/902802","WorldCat Record")</f>
        <v>WorldCat Record</v>
      </c>
      <c r="AW50" s="2" t="s">
        <v>753</v>
      </c>
      <c r="AX50" s="2" t="s">
        <v>754</v>
      </c>
      <c r="AY50" s="2" t="s">
        <v>755</v>
      </c>
      <c r="AZ50" s="2" t="s">
        <v>755</v>
      </c>
      <c r="BA50" s="2" t="s">
        <v>756</v>
      </c>
      <c r="BB50" s="2" t="s">
        <v>79</v>
      </c>
      <c r="BD50" s="2" t="s">
        <v>757</v>
      </c>
      <c r="BE50" s="2" t="s">
        <v>758</v>
      </c>
      <c r="BF50" s="2" t="s">
        <v>759</v>
      </c>
    </row>
    <row r="51" spans="1:58" ht="39.75" customHeight="1" x14ac:dyDescent="0.25">
      <c r="A51" s="1"/>
      <c r="B51" s="1" t="s">
        <v>58</v>
      </c>
      <c r="C51" s="1" t="s">
        <v>59</v>
      </c>
      <c r="D51" s="1" t="s">
        <v>760</v>
      </c>
      <c r="E51" s="1" t="s">
        <v>761</v>
      </c>
      <c r="F51" s="1" t="s">
        <v>762</v>
      </c>
      <c r="H51" s="2" t="s">
        <v>63</v>
      </c>
      <c r="I51" s="2" t="s">
        <v>64</v>
      </c>
      <c r="J51" s="2" t="s">
        <v>63</v>
      </c>
      <c r="K51" s="2" t="s">
        <v>63</v>
      </c>
      <c r="L51" s="2" t="s">
        <v>65</v>
      </c>
      <c r="N51" s="1" t="s">
        <v>763</v>
      </c>
      <c r="O51" s="2" t="s">
        <v>530</v>
      </c>
      <c r="Q51" s="2" t="s">
        <v>69</v>
      </c>
      <c r="R51" s="2" t="s">
        <v>118</v>
      </c>
      <c r="T51" s="2" t="s">
        <v>71</v>
      </c>
      <c r="U51" s="3">
        <v>3</v>
      </c>
      <c r="V51" s="3">
        <v>3</v>
      </c>
      <c r="W51" s="4" t="s">
        <v>764</v>
      </c>
      <c r="X51" s="4" t="s">
        <v>764</v>
      </c>
      <c r="Y51" s="4" t="s">
        <v>765</v>
      </c>
      <c r="Z51" s="4" t="s">
        <v>765</v>
      </c>
      <c r="AA51" s="3">
        <v>108</v>
      </c>
      <c r="AB51" s="3">
        <v>59</v>
      </c>
      <c r="AC51" s="3">
        <v>699</v>
      </c>
      <c r="AD51" s="3">
        <v>2</v>
      </c>
      <c r="AE51" s="3">
        <v>28</v>
      </c>
      <c r="AF51" s="3">
        <v>3</v>
      </c>
      <c r="AG51" s="3">
        <v>20</v>
      </c>
      <c r="AH51" s="3">
        <v>1</v>
      </c>
      <c r="AI51" s="3">
        <v>5</v>
      </c>
      <c r="AJ51" s="3">
        <v>1</v>
      </c>
      <c r="AK51" s="3">
        <v>1</v>
      </c>
      <c r="AL51" s="3">
        <v>1</v>
      </c>
      <c r="AM51" s="3">
        <v>4</v>
      </c>
      <c r="AN51" s="3">
        <v>1</v>
      </c>
      <c r="AO51" s="3">
        <v>13</v>
      </c>
      <c r="AP51" s="3">
        <v>0</v>
      </c>
      <c r="AQ51" s="3">
        <v>0</v>
      </c>
      <c r="AR51" s="2" t="s">
        <v>63</v>
      </c>
      <c r="AS51" s="2" t="s">
        <v>63</v>
      </c>
      <c r="AU51" s="5" t="str">
        <f>HYPERLINK("https://creighton-primo.hosted.exlibrisgroup.com/primo-explore/search?tab=default_tab&amp;search_scope=EVERYTHING&amp;vid=01CRU&amp;lang=en_US&amp;offset=0&amp;query=any,contains,991002058899702656","Catalog Record")</f>
        <v>Catalog Record</v>
      </c>
      <c r="AV51" s="5" t="str">
        <f>HYPERLINK("http://www.worldcat.org/oclc/28159700","WorldCat Record")</f>
        <v>WorldCat Record</v>
      </c>
      <c r="AW51" s="2" t="s">
        <v>766</v>
      </c>
      <c r="AX51" s="2" t="s">
        <v>767</v>
      </c>
      <c r="AY51" s="2" t="s">
        <v>768</v>
      </c>
      <c r="AZ51" s="2" t="s">
        <v>768</v>
      </c>
      <c r="BA51" s="2" t="s">
        <v>769</v>
      </c>
      <c r="BB51" s="2" t="s">
        <v>79</v>
      </c>
      <c r="BD51" s="2" t="s">
        <v>770</v>
      </c>
      <c r="BE51" s="2" t="s">
        <v>771</v>
      </c>
      <c r="BF51" s="2" t="s">
        <v>772</v>
      </c>
    </row>
    <row r="52" spans="1:58" ht="39.75" customHeight="1" x14ac:dyDescent="0.25">
      <c r="A52" s="1"/>
      <c r="B52" s="1" t="s">
        <v>58</v>
      </c>
      <c r="C52" s="1" t="s">
        <v>59</v>
      </c>
      <c r="D52" s="1" t="s">
        <v>773</v>
      </c>
      <c r="E52" s="1" t="s">
        <v>774</v>
      </c>
      <c r="F52" s="1" t="s">
        <v>775</v>
      </c>
      <c r="H52" s="2" t="s">
        <v>63</v>
      </c>
      <c r="I52" s="2" t="s">
        <v>64</v>
      </c>
      <c r="J52" s="2" t="s">
        <v>63</v>
      </c>
      <c r="K52" s="2" t="s">
        <v>63</v>
      </c>
      <c r="L52" s="2" t="s">
        <v>65</v>
      </c>
      <c r="M52" s="1" t="s">
        <v>776</v>
      </c>
      <c r="N52" s="1" t="s">
        <v>777</v>
      </c>
      <c r="O52" s="2" t="s">
        <v>248</v>
      </c>
      <c r="Q52" s="2" t="s">
        <v>69</v>
      </c>
      <c r="R52" s="2" t="s">
        <v>191</v>
      </c>
      <c r="T52" s="2" t="s">
        <v>71</v>
      </c>
      <c r="U52" s="3">
        <v>10</v>
      </c>
      <c r="V52" s="3">
        <v>10</v>
      </c>
      <c r="W52" s="4" t="s">
        <v>778</v>
      </c>
      <c r="X52" s="4" t="s">
        <v>778</v>
      </c>
      <c r="Y52" s="4" t="s">
        <v>250</v>
      </c>
      <c r="Z52" s="4" t="s">
        <v>250</v>
      </c>
      <c r="AA52" s="3">
        <v>346</v>
      </c>
      <c r="AB52" s="3">
        <v>250</v>
      </c>
      <c r="AC52" s="3">
        <v>303</v>
      </c>
      <c r="AD52" s="3">
        <v>3</v>
      </c>
      <c r="AE52" s="3">
        <v>3</v>
      </c>
      <c r="AF52" s="3">
        <v>11</v>
      </c>
      <c r="AG52" s="3">
        <v>13</v>
      </c>
      <c r="AH52" s="3">
        <v>5</v>
      </c>
      <c r="AI52" s="3">
        <v>7</v>
      </c>
      <c r="AJ52" s="3">
        <v>3</v>
      </c>
      <c r="AK52" s="3">
        <v>4</v>
      </c>
      <c r="AL52" s="3">
        <v>4</v>
      </c>
      <c r="AM52" s="3">
        <v>5</v>
      </c>
      <c r="AN52" s="3">
        <v>2</v>
      </c>
      <c r="AO52" s="3">
        <v>2</v>
      </c>
      <c r="AP52" s="3">
        <v>0</v>
      </c>
      <c r="AQ52" s="3">
        <v>0</v>
      </c>
      <c r="AR52" s="2" t="s">
        <v>63</v>
      </c>
      <c r="AS52" s="2" t="s">
        <v>63</v>
      </c>
      <c r="AU52" s="5" t="str">
        <f>HYPERLINK("https://creighton-primo.hosted.exlibrisgroup.com/primo-explore/search?tab=default_tab&amp;search_scope=EVERYTHING&amp;vid=01CRU&amp;lang=en_US&amp;offset=0&amp;query=any,contains,991001022899702656","Catalog Record")</f>
        <v>Catalog Record</v>
      </c>
      <c r="AV52" s="5" t="str">
        <f>HYPERLINK("http://www.worldcat.org/oclc/15414965","WorldCat Record")</f>
        <v>WorldCat Record</v>
      </c>
      <c r="AW52" s="2" t="s">
        <v>779</v>
      </c>
      <c r="AX52" s="2" t="s">
        <v>780</v>
      </c>
      <c r="AY52" s="2" t="s">
        <v>781</v>
      </c>
      <c r="AZ52" s="2" t="s">
        <v>781</v>
      </c>
      <c r="BA52" s="2" t="s">
        <v>782</v>
      </c>
      <c r="BB52" s="2" t="s">
        <v>79</v>
      </c>
      <c r="BD52" s="2" t="s">
        <v>783</v>
      </c>
      <c r="BE52" s="2" t="s">
        <v>784</v>
      </c>
      <c r="BF52" s="2" t="s">
        <v>785</v>
      </c>
    </row>
    <row r="53" spans="1:58" ht="39.75" customHeight="1" x14ac:dyDescent="0.25">
      <c r="A53" s="1"/>
      <c r="B53" s="1" t="s">
        <v>58</v>
      </c>
      <c r="C53" s="1" t="s">
        <v>59</v>
      </c>
      <c r="D53" s="1" t="s">
        <v>786</v>
      </c>
      <c r="E53" s="1" t="s">
        <v>787</v>
      </c>
      <c r="F53" s="1" t="s">
        <v>788</v>
      </c>
      <c r="G53" s="2" t="s">
        <v>789</v>
      </c>
      <c r="H53" s="2" t="s">
        <v>74</v>
      </c>
      <c r="I53" s="2" t="s">
        <v>64</v>
      </c>
      <c r="J53" s="2" t="s">
        <v>63</v>
      </c>
      <c r="K53" s="2" t="s">
        <v>63</v>
      </c>
      <c r="L53" s="2" t="s">
        <v>65</v>
      </c>
      <c r="M53" s="1" t="s">
        <v>776</v>
      </c>
      <c r="N53" s="1" t="s">
        <v>790</v>
      </c>
      <c r="O53" s="2" t="s">
        <v>530</v>
      </c>
      <c r="P53" s="1" t="s">
        <v>276</v>
      </c>
      <c r="Q53" s="2" t="s">
        <v>69</v>
      </c>
      <c r="R53" s="2" t="s">
        <v>177</v>
      </c>
      <c r="T53" s="2" t="s">
        <v>71</v>
      </c>
      <c r="U53" s="3">
        <v>4</v>
      </c>
      <c r="V53" s="3">
        <v>10</v>
      </c>
      <c r="W53" s="4" t="s">
        <v>778</v>
      </c>
      <c r="X53" s="4" t="s">
        <v>778</v>
      </c>
      <c r="Y53" s="4" t="s">
        <v>193</v>
      </c>
      <c r="Z53" s="4" t="s">
        <v>193</v>
      </c>
      <c r="AA53" s="3">
        <v>278</v>
      </c>
      <c r="AB53" s="3">
        <v>222</v>
      </c>
      <c r="AC53" s="3">
        <v>257</v>
      </c>
      <c r="AD53" s="3">
        <v>3</v>
      </c>
      <c r="AE53" s="3">
        <v>3</v>
      </c>
      <c r="AF53" s="3">
        <v>8</v>
      </c>
      <c r="AG53" s="3">
        <v>10</v>
      </c>
      <c r="AH53" s="3">
        <v>1</v>
      </c>
      <c r="AI53" s="3">
        <v>2</v>
      </c>
      <c r="AJ53" s="3">
        <v>3</v>
      </c>
      <c r="AK53" s="3">
        <v>4</v>
      </c>
      <c r="AL53" s="3">
        <v>5</v>
      </c>
      <c r="AM53" s="3">
        <v>5</v>
      </c>
      <c r="AN53" s="3">
        <v>2</v>
      </c>
      <c r="AO53" s="3">
        <v>2</v>
      </c>
      <c r="AP53" s="3">
        <v>0</v>
      </c>
      <c r="AQ53" s="3">
        <v>0</v>
      </c>
      <c r="AR53" s="2" t="s">
        <v>63</v>
      </c>
      <c r="AS53" s="2" t="s">
        <v>74</v>
      </c>
      <c r="AT53" s="5" t="str">
        <f>HYPERLINK("http://catalog.hathitrust.org/Record/002503524","HathiTrust Record")</f>
        <v>HathiTrust Record</v>
      </c>
      <c r="AU53" s="5" t="str">
        <f>HYPERLINK("https://creighton-primo.hosted.exlibrisgroup.com/primo-explore/search?tab=default_tab&amp;search_scope=EVERYTHING&amp;vid=01CRU&amp;lang=en_US&amp;offset=0&amp;query=any,contains,991001890729702656","Catalog Record")</f>
        <v>Catalog Record</v>
      </c>
      <c r="AV53" s="5" t="str">
        <f>HYPERLINK("http://www.worldcat.org/oclc/23868964","WorldCat Record")</f>
        <v>WorldCat Record</v>
      </c>
      <c r="AW53" s="2" t="s">
        <v>791</v>
      </c>
      <c r="AX53" s="2" t="s">
        <v>792</v>
      </c>
      <c r="AY53" s="2" t="s">
        <v>793</v>
      </c>
      <c r="AZ53" s="2" t="s">
        <v>793</v>
      </c>
      <c r="BA53" s="2" t="s">
        <v>794</v>
      </c>
      <c r="BB53" s="2" t="s">
        <v>79</v>
      </c>
      <c r="BD53" s="2" t="s">
        <v>795</v>
      </c>
      <c r="BE53" s="2" t="s">
        <v>796</v>
      </c>
      <c r="BF53" s="2" t="s">
        <v>797</v>
      </c>
    </row>
    <row r="54" spans="1:58" ht="39.75" customHeight="1" x14ac:dyDescent="0.25">
      <c r="A54" s="1"/>
      <c r="B54" s="1" t="s">
        <v>58</v>
      </c>
      <c r="C54" s="1" t="s">
        <v>59</v>
      </c>
      <c r="D54" s="1" t="s">
        <v>786</v>
      </c>
      <c r="E54" s="1" t="s">
        <v>787</v>
      </c>
      <c r="F54" s="1" t="s">
        <v>788</v>
      </c>
      <c r="G54" s="2" t="s">
        <v>798</v>
      </c>
      <c r="H54" s="2" t="s">
        <v>74</v>
      </c>
      <c r="I54" s="2" t="s">
        <v>64</v>
      </c>
      <c r="J54" s="2" t="s">
        <v>63</v>
      </c>
      <c r="K54" s="2" t="s">
        <v>63</v>
      </c>
      <c r="L54" s="2" t="s">
        <v>65</v>
      </c>
      <c r="M54" s="1" t="s">
        <v>776</v>
      </c>
      <c r="N54" s="1" t="s">
        <v>790</v>
      </c>
      <c r="O54" s="2" t="s">
        <v>530</v>
      </c>
      <c r="P54" s="1" t="s">
        <v>276</v>
      </c>
      <c r="Q54" s="2" t="s">
        <v>69</v>
      </c>
      <c r="R54" s="2" t="s">
        <v>177</v>
      </c>
      <c r="T54" s="2" t="s">
        <v>71</v>
      </c>
      <c r="U54" s="3">
        <v>6</v>
      </c>
      <c r="V54" s="3">
        <v>10</v>
      </c>
      <c r="W54" s="4" t="s">
        <v>752</v>
      </c>
      <c r="X54" s="4" t="s">
        <v>778</v>
      </c>
      <c r="Y54" s="4" t="s">
        <v>799</v>
      </c>
      <c r="Z54" s="4" t="s">
        <v>193</v>
      </c>
      <c r="AA54" s="3">
        <v>278</v>
      </c>
      <c r="AB54" s="3">
        <v>222</v>
      </c>
      <c r="AC54" s="3">
        <v>257</v>
      </c>
      <c r="AD54" s="3">
        <v>3</v>
      </c>
      <c r="AE54" s="3">
        <v>3</v>
      </c>
      <c r="AF54" s="3">
        <v>8</v>
      </c>
      <c r="AG54" s="3">
        <v>10</v>
      </c>
      <c r="AH54" s="3">
        <v>1</v>
      </c>
      <c r="AI54" s="3">
        <v>2</v>
      </c>
      <c r="AJ54" s="3">
        <v>3</v>
      </c>
      <c r="AK54" s="3">
        <v>4</v>
      </c>
      <c r="AL54" s="3">
        <v>5</v>
      </c>
      <c r="AM54" s="3">
        <v>5</v>
      </c>
      <c r="AN54" s="3">
        <v>2</v>
      </c>
      <c r="AO54" s="3">
        <v>2</v>
      </c>
      <c r="AP54" s="3">
        <v>0</v>
      </c>
      <c r="AQ54" s="3">
        <v>0</v>
      </c>
      <c r="AR54" s="2" t="s">
        <v>63</v>
      </c>
      <c r="AS54" s="2" t="s">
        <v>74</v>
      </c>
      <c r="AT54" s="5" t="str">
        <f>HYPERLINK("http://catalog.hathitrust.org/Record/002503524","HathiTrust Record")</f>
        <v>HathiTrust Record</v>
      </c>
      <c r="AU54" s="5" t="str">
        <f>HYPERLINK("https://creighton-primo.hosted.exlibrisgroup.com/primo-explore/search?tab=default_tab&amp;search_scope=EVERYTHING&amp;vid=01CRU&amp;lang=en_US&amp;offset=0&amp;query=any,contains,991001890729702656","Catalog Record")</f>
        <v>Catalog Record</v>
      </c>
      <c r="AV54" s="5" t="str">
        <f>HYPERLINK("http://www.worldcat.org/oclc/23868964","WorldCat Record")</f>
        <v>WorldCat Record</v>
      </c>
      <c r="AW54" s="2" t="s">
        <v>791</v>
      </c>
      <c r="AX54" s="2" t="s">
        <v>792</v>
      </c>
      <c r="AY54" s="2" t="s">
        <v>793</v>
      </c>
      <c r="AZ54" s="2" t="s">
        <v>793</v>
      </c>
      <c r="BA54" s="2" t="s">
        <v>794</v>
      </c>
      <c r="BB54" s="2" t="s">
        <v>79</v>
      </c>
      <c r="BD54" s="2" t="s">
        <v>795</v>
      </c>
      <c r="BE54" s="2" t="s">
        <v>800</v>
      </c>
      <c r="BF54" s="2" t="s">
        <v>801</v>
      </c>
    </row>
    <row r="55" spans="1:58" ht="39.75" customHeight="1" x14ac:dyDescent="0.25">
      <c r="A55" s="1"/>
      <c r="B55" s="1" t="s">
        <v>58</v>
      </c>
      <c r="C55" s="1" t="s">
        <v>59</v>
      </c>
      <c r="D55" s="1" t="s">
        <v>802</v>
      </c>
      <c r="E55" s="1" t="s">
        <v>803</v>
      </c>
      <c r="F55" s="1" t="s">
        <v>804</v>
      </c>
      <c r="H55" s="2" t="s">
        <v>63</v>
      </c>
      <c r="I55" s="2" t="s">
        <v>64</v>
      </c>
      <c r="J55" s="2" t="s">
        <v>63</v>
      </c>
      <c r="K55" s="2" t="s">
        <v>63</v>
      </c>
      <c r="L55" s="2" t="s">
        <v>65</v>
      </c>
      <c r="N55" s="1" t="s">
        <v>805</v>
      </c>
      <c r="O55" s="2" t="s">
        <v>190</v>
      </c>
      <c r="P55" s="1" t="s">
        <v>276</v>
      </c>
      <c r="Q55" s="2" t="s">
        <v>69</v>
      </c>
      <c r="R55" s="2" t="s">
        <v>118</v>
      </c>
      <c r="T55" s="2" t="s">
        <v>71</v>
      </c>
      <c r="U55" s="3">
        <v>8</v>
      </c>
      <c r="V55" s="3">
        <v>8</v>
      </c>
      <c r="W55" s="4" t="s">
        <v>806</v>
      </c>
      <c r="X55" s="4" t="s">
        <v>806</v>
      </c>
      <c r="Y55" s="4" t="s">
        <v>807</v>
      </c>
      <c r="Z55" s="4" t="s">
        <v>807</v>
      </c>
      <c r="AA55" s="3">
        <v>290</v>
      </c>
      <c r="AB55" s="3">
        <v>132</v>
      </c>
      <c r="AC55" s="3">
        <v>310</v>
      </c>
      <c r="AD55" s="3">
        <v>5</v>
      </c>
      <c r="AE55" s="3">
        <v>6</v>
      </c>
      <c r="AF55" s="3">
        <v>3</v>
      </c>
      <c r="AG55" s="3">
        <v>10</v>
      </c>
      <c r="AH55" s="3">
        <v>1</v>
      </c>
      <c r="AI55" s="3">
        <v>3</v>
      </c>
      <c r="AJ55" s="3">
        <v>1</v>
      </c>
      <c r="AK55" s="3">
        <v>2</v>
      </c>
      <c r="AL55" s="3">
        <v>2</v>
      </c>
      <c r="AM55" s="3">
        <v>7</v>
      </c>
      <c r="AN55" s="3">
        <v>1</v>
      </c>
      <c r="AO55" s="3">
        <v>2</v>
      </c>
      <c r="AP55" s="3">
        <v>0</v>
      </c>
      <c r="AQ55" s="3">
        <v>0</v>
      </c>
      <c r="AR55" s="2" t="s">
        <v>63</v>
      </c>
      <c r="AS55" s="2" t="s">
        <v>63</v>
      </c>
      <c r="AU55" s="5" t="str">
        <f>HYPERLINK("https://creighton-primo.hosted.exlibrisgroup.com/primo-explore/search?tab=default_tab&amp;search_scope=EVERYTHING&amp;vid=01CRU&amp;lang=en_US&amp;offset=0&amp;query=any,contains,991005416629702656","Catalog Record")</f>
        <v>Catalog Record</v>
      </c>
      <c r="AV55" s="5" t="str">
        <f>HYPERLINK("http://www.worldcat.org/oclc/27729119","WorldCat Record")</f>
        <v>WorldCat Record</v>
      </c>
      <c r="AW55" s="2" t="s">
        <v>808</v>
      </c>
      <c r="AX55" s="2" t="s">
        <v>809</v>
      </c>
      <c r="AY55" s="2" t="s">
        <v>810</v>
      </c>
      <c r="AZ55" s="2" t="s">
        <v>810</v>
      </c>
      <c r="BA55" s="2" t="s">
        <v>811</v>
      </c>
      <c r="BB55" s="2" t="s">
        <v>79</v>
      </c>
      <c r="BD55" s="2" t="s">
        <v>812</v>
      </c>
      <c r="BE55" s="2" t="s">
        <v>813</v>
      </c>
      <c r="BF55" s="2" t="s">
        <v>814</v>
      </c>
    </row>
    <row r="56" spans="1:58" ht="39.75" customHeight="1" x14ac:dyDescent="0.25">
      <c r="A56" s="1"/>
      <c r="B56" s="1" t="s">
        <v>58</v>
      </c>
      <c r="C56" s="1" t="s">
        <v>59</v>
      </c>
      <c r="D56" s="1" t="s">
        <v>815</v>
      </c>
      <c r="E56" s="1" t="s">
        <v>816</v>
      </c>
      <c r="F56" s="1" t="s">
        <v>817</v>
      </c>
      <c r="H56" s="2" t="s">
        <v>63</v>
      </c>
      <c r="I56" s="2" t="s">
        <v>64</v>
      </c>
      <c r="J56" s="2" t="s">
        <v>63</v>
      </c>
      <c r="K56" s="2" t="s">
        <v>63</v>
      </c>
      <c r="L56" s="2" t="s">
        <v>65</v>
      </c>
      <c r="M56" s="1" t="s">
        <v>818</v>
      </c>
      <c r="N56" s="1" t="s">
        <v>819</v>
      </c>
      <c r="O56" s="2" t="s">
        <v>820</v>
      </c>
      <c r="Q56" s="2" t="s">
        <v>69</v>
      </c>
      <c r="R56" s="2" t="s">
        <v>191</v>
      </c>
      <c r="T56" s="2" t="s">
        <v>71</v>
      </c>
      <c r="U56" s="3">
        <v>1</v>
      </c>
      <c r="V56" s="3">
        <v>1</v>
      </c>
      <c r="W56" s="4" t="s">
        <v>821</v>
      </c>
      <c r="X56" s="4" t="s">
        <v>821</v>
      </c>
      <c r="Y56" s="4" t="s">
        <v>821</v>
      </c>
      <c r="Z56" s="4" t="s">
        <v>821</v>
      </c>
      <c r="AA56" s="3">
        <v>182</v>
      </c>
      <c r="AB56" s="3">
        <v>149</v>
      </c>
      <c r="AC56" s="3">
        <v>158</v>
      </c>
      <c r="AD56" s="3">
        <v>2</v>
      </c>
      <c r="AE56" s="3">
        <v>3</v>
      </c>
      <c r="AF56" s="3">
        <v>7</v>
      </c>
      <c r="AG56" s="3">
        <v>8</v>
      </c>
      <c r="AH56" s="3">
        <v>3</v>
      </c>
      <c r="AI56" s="3">
        <v>3</v>
      </c>
      <c r="AJ56" s="3">
        <v>3</v>
      </c>
      <c r="AK56" s="3">
        <v>3</v>
      </c>
      <c r="AL56" s="3">
        <v>2</v>
      </c>
      <c r="AM56" s="3">
        <v>2</v>
      </c>
      <c r="AN56" s="3">
        <v>1</v>
      </c>
      <c r="AO56" s="3">
        <v>2</v>
      </c>
      <c r="AP56" s="3">
        <v>0</v>
      </c>
      <c r="AQ56" s="3">
        <v>0</v>
      </c>
      <c r="AR56" s="2" t="s">
        <v>63</v>
      </c>
      <c r="AS56" s="2" t="s">
        <v>63</v>
      </c>
      <c r="AU56" s="5" t="str">
        <f>HYPERLINK("https://creighton-primo.hosted.exlibrisgroup.com/primo-explore/search?tab=default_tab&amp;search_scope=EVERYTHING&amp;vid=01CRU&amp;lang=en_US&amp;offset=0&amp;query=any,contains,991005278929702656","Catalog Record")</f>
        <v>Catalog Record</v>
      </c>
      <c r="AV56" s="5" t="str">
        <f>HYPERLINK("http://www.worldcat.org/oclc/136316476","WorldCat Record")</f>
        <v>WorldCat Record</v>
      </c>
      <c r="AW56" s="2" t="s">
        <v>822</v>
      </c>
      <c r="AX56" s="2" t="s">
        <v>823</v>
      </c>
      <c r="AY56" s="2" t="s">
        <v>824</v>
      </c>
      <c r="AZ56" s="2" t="s">
        <v>824</v>
      </c>
      <c r="BA56" s="2" t="s">
        <v>825</v>
      </c>
      <c r="BB56" s="2" t="s">
        <v>79</v>
      </c>
      <c r="BD56" s="2" t="s">
        <v>826</v>
      </c>
      <c r="BE56" s="2" t="s">
        <v>827</v>
      </c>
      <c r="BF56" s="2" t="s">
        <v>828</v>
      </c>
    </row>
    <row r="57" spans="1:58" ht="39.75" customHeight="1" x14ac:dyDescent="0.25">
      <c r="A57" s="1"/>
      <c r="B57" s="1" t="s">
        <v>58</v>
      </c>
      <c r="C57" s="1" t="s">
        <v>59</v>
      </c>
      <c r="D57" s="1" t="s">
        <v>829</v>
      </c>
      <c r="E57" s="1" t="s">
        <v>830</v>
      </c>
      <c r="F57" s="1" t="s">
        <v>831</v>
      </c>
      <c r="H57" s="2" t="s">
        <v>63</v>
      </c>
      <c r="I57" s="2" t="s">
        <v>64</v>
      </c>
      <c r="J57" s="2" t="s">
        <v>74</v>
      </c>
      <c r="K57" s="2" t="s">
        <v>63</v>
      </c>
      <c r="L57" s="2" t="s">
        <v>65</v>
      </c>
      <c r="M57" s="1" t="s">
        <v>832</v>
      </c>
      <c r="N57" s="1" t="s">
        <v>833</v>
      </c>
      <c r="O57" s="2" t="s">
        <v>834</v>
      </c>
      <c r="Q57" s="2" t="s">
        <v>69</v>
      </c>
      <c r="R57" s="2" t="s">
        <v>191</v>
      </c>
      <c r="T57" s="2" t="s">
        <v>71</v>
      </c>
      <c r="U57" s="3">
        <v>3</v>
      </c>
      <c r="V57" s="3">
        <v>10</v>
      </c>
      <c r="W57" s="4" t="s">
        <v>835</v>
      </c>
      <c r="X57" s="4" t="s">
        <v>835</v>
      </c>
      <c r="Y57" s="4" t="s">
        <v>250</v>
      </c>
      <c r="Z57" s="4" t="s">
        <v>250</v>
      </c>
      <c r="AA57" s="3">
        <v>525</v>
      </c>
      <c r="AB57" s="3">
        <v>424</v>
      </c>
      <c r="AC57" s="3">
        <v>446</v>
      </c>
      <c r="AD57" s="3">
        <v>3</v>
      </c>
      <c r="AE57" s="3">
        <v>3</v>
      </c>
      <c r="AF57" s="3">
        <v>15</v>
      </c>
      <c r="AG57" s="3">
        <v>16</v>
      </c>
      <c r="AH57" s="3">
        <v>6</v>
      </c>
      <c r="AI57" s="3">
        <v>7</v>
      </c>
      <c r="AJ57" s="3">
        <v>5</v>
      </c>
      <c r="AK57" s="3">
        <v>5</v>
      </c>
      <c r="AL57" s="3">
        <v>8</v>
      </c>
      <c r="AM57" s="3">
        <v>9</v>
      </c>
      <c r="AN57" s="3">
        <v>1</v>
      </c>
      <c r="AO57" s="3">
        <v>1</v>
      </c>
      <c r="AP57" s="3">
        <v>0</v>
      </c>
      <c r="AQ57" s="3">
        <v>0</v>
      </c>
      <c r="AR57" s="2" t="s">
        <v>63</v>
      </c>
      <c r="AS57" s="2" t="s">
        <v>63</v>
      </c>
      <c r="AU57" s="5" t="str">
        <f>HYPERLINK("https://creighton-primo.hosted.exlibrisgroup.com/primo-explore/search?tab=default_tab&amp;search_scope=EVERYTHING&amp;vid=01CRU&amp;lang=en_US&amp;offset=0&amp;query=any,contains,991001802049702656","Catalog Record")</f>
        <v>Catalog Record</v>
      </c>
      <c r="AV57" s="5" t="str">
        <f>HYPERLINK("http://www.worldcat.org/oclc/14719427","WorldCat Record")</f>
        <v>WorldCat Record</v>
      </c>
      <c r="AW57" s="2" t="s">
        <v>836</v>
      </c>
      <c r="AX57" s="2" t="s">
        <v>837</v>
      </c>
      <c r="AY57" s="2" t="s">
        <v>838</v>
      </c>
      <c r="AZ57" s="2" t="s">
        <v>838</v>
      </c>
      <c r="BA57" s="2" t="s">
        <v>839</v>
      </c>
      <c r="BB57" s="2" t="s">
        <v>79</v>
      </c>
      <c r="BD57" s="2" t="s">
        <v>840</v>
      </c>
      <c r="BE57" s="2" t="s">
        <v>841</v>
      </c>
      <c r="BF57" s="2" t="s">
        <v>842</v>
      </c>
    </row>
    <row r="58" spans="1:58" ht="39.75" customHeight="1" x14ac:dyDescent="0.25">
      <c r="A58" s="1"/>
      <c r="B58" s="1" t="s">
        <v>58</v>
      </c>
      <c r="C58" s="1" t="s">
        <v>59</v>
      </c>
      <c r="D58" s="1" t="s">
        <v>843</v>
      </c>
      <c r="E58" s="1" t="s">
        <v>844</v>
      </c>
      <c r="F58" s="1" t="s">
        <v>845</v>
      </c>
      <c r="H58" s="2" t="s">
        <v>63</v>
      </c>
      <c r="I58" s="2" t="s">
        <v>64</v>
      </c>
      <c r="J58" s="2" t="s">
        <v>63</v>
      </c>
      <c r="K58" s="2" t="s">
        <v>63</v>
      </c>
      <c r="L58" s="2" t="s">
        <v>65</v>
      </c>
      <c r="N58" s="1" t="s">
        <v>846</v>
      </c>
      <c r="O58" s="2" t="s">
        <v>101</v>
      </c>
      <c r="Q58" s="2" t="s">
        <v>69</v>
      </c>
      <c r="R58" s="2" t="s">
        <v>88</v>
      </c>
      <c r="S58" s="1" t="s">
        <v>847</v>
      </c>
      <c r="T58" s="2" t="s">
        <v>71</v>
      </c>
      <c r="U58" s="3">
        <v>1</v>
      </c>
      <c r="V58" s="3">
        <v>1</v>
      </c>
      <c r="W58" s="4" t="s">
        <v>848</v>
      </c>
      <c r="X58" s="4" t="s">
        <v>848</v>
      </c>
      <c r="Y58" s="4" t="s">
        <v>105</v>
      </c>
      <c r="Z58" s="4" t="s">
        <v>105</v>
      </c>
      <c r="AA58" s="3">
        <v>371</v>
      </c>
      <c r="AB58" s="3">
        <v>268</v>
      </c>
      <c r="AC58" s="3">
        <v>274</v>
      </c>
      <c r="AD58" s="3">
        <v>1</v>
      </c>
      <c r="AE58" s="3">
        <v>1</v>
      </c>
      <c r="AF58" s="3">
        <v>9</v>
      </c>
      <c r="AG58" s="3">
        <v>9</v>
      </c>
      <c r="AH58" s="3">
        <v>3</v>
      </c>
      <c r="AI58" s="3">
        <v>3</v>
      </c>
      <c r="AJ58" s="3">
        <v>3</v>
      </c>
      <c r="AK58" s="3">
        <v>3</v>
      </c>
      <c r="AL58" s="3">
        <v>5</v>
      </c>
      <c r="AM58" s="3">
        <v>5</v>
      </c>
      <c r="AN58" s="3">
        <v>0</v>
      </c>
      <c r="AO58" s="3">
        <v>0</v>
      </c>
      <c r="AP58" s="3">
        <v>0</v>
      </c>
      <c r="AQ58" s="3">
        <v>0</v>
      </c>
      <c r="AR58" s="2" t="s">
        <v>63</v>
      </c>
      <c r="AS58" s="2" t="s">
        <v>74</v>
      </c>
      <c r="AT58" s="5" t="str">
        <f>HYPERLINK("http://catalog.hathitrust.org/Record/000032781","HathiTrust Record")</f>
        <v>HathiTrust Record</v>
      </c>
      <c r="AU58" s="5" t="str">
        <f>HYPERLINK("https://creighton-primo.hosted.exlibrisgroup.com/primo-explore/search?tab=default_tab&amp;search_scope=EVERYTHING&amp;vid=01CRU&amp;lang=en_US&amp;offset=0&amp;query=any,contains,991003828349702656","Catalog Record")</f>
        <v>Catalog Record</v>
      </c>
      <c r="AV58" s="5" t="str">
        <f>HYPERLINK("http://www.worldcat.org/oclc/1582488","WorldCat Record")</f>
        <v>WorldCat Record</v>
      </c>
      <c r="AW58" s="2" t="s">
        <v>849</v>
      </c>
      <c r="AX58" s="2" t="s">
        <v>850</v>
      </c>
      <c r="AY58" s="2" t="s">
        <v>851</v>
      </c>
      <c r="AZ58" s="2" t="s">
        <v>851</v>
      </c>
      <c r="BA58" s="2" t="s">
        <v>852</v>
      </c>
      <c r="BB58" s="2" t="s">
        <v>79</v>
      </c>
      <c r="BD58" s="2" t="s">
        <v>853</v>
      </c>
      <c r="BE58" s="2" t="s">
        <v>854</v>
      </c>
      <c r="BF58" s="2" t="s">
        <v>855</v>
      </c>
    </row>
    <row r="59" spans="1:58" ht="39.75" customHeight="1" x14ac:dyDescent="0.25">
      <c r="A59" s="1"/>
      <c r="B59" s="1" t="s">
        <v>58</v>
      </c>
      <c r="C59" s="1" t="s">
        <v>59</v>
      </c>
      <c r="D59" s="1" t="s">
        <v>856</v>
      </c>
      <c r="E59" s="1" t="s">
        <v>857</v>
      </c>
      <c r="F59" s="1" t="s">
        <v>858</v>
      </c>
      <c r="H59" s="2" t="s">
        <v>63</v>
      </c>
      <c r="I59" s="2" t="s">
        <v>64</v>
      </c>
      <c r="J59" s="2" t="s">
        <v>63</v>
      </c>
      <c r="K59" s="2" t="s">
        <v>63</v>
      </c>
      <c r="L59" s="2" t="s">
        <v>65</v>
      </c>
      <c r="N59" s="1" t="s">
        <v>859</v>
      </c>
      <c r="O59" s="2" t="s">
        <v>485</v>
      </c>
      <c r="Q59" s="2" t="s">
        <v>69</v>
      </c>
      <c r="R59" s="2" t="s">
        <v>88</v>
      </c>
      <c r="T59" s="2" t="s">
        <v>71</v>
      </c>
      <c r="U59" s="3">
        <v>1</v>
      </c>
      <c r="V59" s="3">
        <v>1</v>
      </c>
      <c r="W59" s="4" t="s">
        <v>860</v>
      </c>
      <c r="X59" s="4" t="s">
        <v>860</v>
      </c>
      <c r="Y59" s="4" t="s">
        <v>861</v>
      </c>
      <c r="Z59" s="4" t="s">
        <v>861</v>
      </c>
      <c r="AA59" s="3">
        <v>152</v>
      </c>
      <c r="AB59" s="3">
        <v>100</v>
      </c>
      <c r="AC59" s="3">
        <v>126</v>
      </c>
      <c r="AD59" s="3">
        <v>1</v>
      </c>
      <c r="AE59" s="3">
        <v>1</v>
      </c>
      <c r="AF59" s="3">
        <v>3</v>
      </c>
      <c r="AG59" s="3">
        <v>4</v>
      </c>
      <c r="AH59" s="3">
        <v>0</v>
      </c>
      <c r="AI59" s="3">
        <v>1</v>
      </c>
      <c r="AJ59" s="3">
        <v>2</v>
      </c>
      <c r="AK59" s="3">
        <v>2</v>
      </c>
      <c r="AL59" s="3">
        <v>1</v>
      </c>
      <c r="AM59" s="3">
        <v>2</v>
      </c>
      <c r="AN59" s="3">
        <v>0</v>
      </c>
      <c r="AO59" s="3">
        <v>0</v>
      </c>
      <c r="AP59" s="3">
        <v>0</v>
      </c>
      <c r="AQ59" s="3">
        <v>0</v>
      </c>
      <c r="AR59" s="2" t="s">
        <v>63</v>
      </c>
      <c r="AS59" s="2" t="s">
        <v>74</v>
      </c>
      <c r="AT59" s="5" t="str">
        <f>HYPERLINK("http://catalog.hathitrust.org/Record/002473522","HathiTrust Record")</f>
        <v>HathiTrust Record</v>
      </c>
      <c r="AU59" s="5" t="str">
        <f>HYPERLINK("https://creighton-primo.hosted.exlibrisgroup.com/primo-explore/search?tab=default_tab&amp;search_scope=EVERYTHING&amp;vid=01CRU&amp;lang=en_US&amp;offset=0&amp;query=any,contains,991001688769702656","Catalog Record")</f>
        <v>Catalog Record</v>
      </c>
      <c r="AV59" s="5" t="str">
        <f>HYPERLINK("http://www.worldcat.org/oclc/21411432","WorldCat Record")</f>
        <v>WorldCat Record</v>
      </c>
      <c r="AW59" s="2" t="s">
        <v>862</v>
      </c>
      <c r="AX59" s="2" t="s">
        <v>863</v>
      </c>
      <c r="AY59" s="2" t="s">
        <v>864</v>
      </c>
      <c r="AZ59" s="2" t="s">
        <v>864</v>
      </c>
      <c r="BA59" s="2" t="s">
        <v>865</v>
      </c>
      <c r="BB59" s="2" t="s">
        <v>79</v>
      </c>
      <c r="BD59" s="2" t="s">
        <v>866</v>
      </c>
      <c r="BE59" s="2" t="s">
        <v>867</v>
      </c>
      <c r="BF59" s="2" t="s">
        <v>868</v>
      </c>
    </row>
    <row r="60" spans="1:58" ht="39.75" customHeight="1" x14ac:dyDescent="0.25">
      <c r="A60" s="1"/>
      <c r="B60" s="1" t="s">
        <v>58</v>
      </c>
      <c r="C60" s="1" t="s">
        <v>59</v>
      </c>
      <c r="D60" s="1" t="s">
        <v>869</v>
      </c>
      <c r="E60" s="1" t="s">
        <v>870</v>
      </c>
      <c r="F60" s="1" t="s">
        <v>871</v>
      </c>
      <c r="G60" s="2" t="s">
        <v>872</v>
      </c>
      <c r="H60" s="2" t="s">
        <v>63</v>
      </c>
      <c r="I60" s="2" t="s">
        <v>64</v>
      </c>
      <c r="J60" s="2" t="s">
        <v>74</v>
      </c>
      <c r="K60" s="2" t="s">
        <v>63</v>
      </c>
      <c r="L60" s="2" t="s">
        <v>65</v>
      </c>
      <c r="M60" s="1" t="s">
        <v>873</v>
      </c>
      <c r="N60" s="1" t="s">
        <v>874</v>
      </c>
      <c r="O60" s="2" t="s">
        <v>875</v>
      </c>
      <c r="Q60" s="2" t="s">
        <v>69</v>
      </c>
      <c r="R60" s="2" t="s">
        <v>88</v>
      </c>
      <c r="S60" s="1" t="s">
        <v>876</v>
      </c>
      <c r="T60" s="2" t="s">
        <v>71</v>
      </c>
      <c r="U60" s="3">
        <v>2</v>
      </c>
      <c r="V60" s="3">
        <v>2</v>
      </c>
      <c r="W60" s="4" t="s">
        <v>877</v>
      </c>
      <c r="X60" s="4" t="s">
        <v>877</v>
      </c>
      <c r="Y60" s="4" t="s">
        <v>250</v>
      </c>
      <c r="Z60" s="4" t="s">
        <v>250</v>
      </c>
      <c r="AA60" s="3">
        <v>247</v>
      </c>
      <c r="AB60" s="3">
        <v>177</v>
      </c>
      <c r="AC60" s="3">
        <v>183</v>
      </c>
      <c r="AD60" s="3">
        <v>2</v>
      </c>
      <c r="AE60" s="3">
        <v>2</v>
      </c>
      <c r="AF60" s="3">
        <v>5</v>
      </c>
      <c r="AG60" s="3">
        <v>5</v>
      </c>
      <c r="AH60" s="3">
        <v>1</v>
      </c>
      <c r="AI60" s="3">
        <v>1</v>
      </c>
      <c r="AJ60" s="3">
        <v>2</v>
      </c>
      <c r="AK60" s="3">
        <v>2</v>
      </c>
      <c r="AL60" s="3">
        <v>3</v>
      </c>
      <c r="AM60" s="3">
        <v>3</v>
      </c>
      <c r="AN60" s="3">
        <v>0</v>
      </c>
      <c r="AO60" s="3">
        <v>0</v>
      </c>
      <c r="AP60" s="3">
        <v>0</v>
      </c>
      <c r="AQ60" s="3">
        <v>0</v>
      </c>
      <c r="AR60" s="2" t="s">
        <v>63</v>
      </c>
      <c r="AS60" s="2" t="s">
        <v>74</v>
      </c>
      <c r="AT60" s="5" t="str">
        <f>HYPERLINK("http://catalog.hathitrust.org/Record/010517334","HathiTrust Record")</f>
        <v>HathiTrust Record</v>
      </c>
      <c r="AU60" s="5" t="str">
        <f>HYPERLINK("https://creighton-primo.hosted.exlibrisgroup.com/primo-explore/search?tab=default_tab&amp;search_scope=EVERYTHING&amp;vid=01CRU&amp;lang=en_US&amp;offset=0&amp;query=any,contains,991001779719702656","Catalog Record")</f>
        <v>Catalog Record</v>
      </c>
      <c r="AV60" s="5" t="str">
        <f>HYPERLINK("http://www.worldcat.org/oclc/6708497","WorldCat Record")</f>
        <v>WorldCat Record</v>
      </c>
      <c r="AW60" s="2" t="s">
        <v>878</v>
      </c>
      <c r="AX60" s="2" t="s">
        <v>879</v>
      </c>
      <c r="AY60" s="2" t="s">
        <v>880</v>
      </c>
      <c r="AZ60" s="2" t="s">
        <v>880</v>
      </c>
      <c r="BA60" s="2" t="s">
        <v>881</v>
      </c>
      <c r="BB60" s="2" t="s">
        <v>79</v>
      </c>
      <c r="BD60" s="2" t="s">
        <v>882</v>
      </c>
      <c r="BE60" s="2" t="s">
        <v>883</v>
      </c>
      <c r="BF60" s="2" t="s">
        <v>884</v>
      </c>
    </row>
    <row r="61" spans="1:58" ht="39.75" customHeight="1" x14ac:dyDescent="0.25">
      <c r="A61" s="1"/>
      <c r="B61" s="1" t="s">
        <v>58</v>
      </c>
      <c r="C61" s="1" t="s">
        <v>59</v>
      </c>
      <c r="D61" s="1" t="s">
        <v>885</v>
      </c>
      <c r="E61" s="1" t="s">
        <v>886</v>
      </c>
      <c r="F61" s="1" t="s">
        <v>887</v>
      </c>
      <c r="G61" s="2" t="s">
        <v>798</v>
      </c>
      <c r="H61" s="2" t="s">
        <v>63</v>
      </c>
      <c r="I61" s="2" t="s">
        <v>64</v>
      </c>
      <c r="J61" s="2" t="s">
        <v>63</v>
      </c>
      <c r="K61" s="2" t="s">
        <v>63</v>
      </c>
      <c r="L61" s="2" t="s">
        <v>65</v>
      </c>
      <c r="N61" s="1" t="s">
        <v>888</v>
      </c>
      <c r="O61" s="2" t="s">
        <v>889</v>
      </c>
      <c r="Q61" s="2" t="s">
        <v>69</v>
      </c>
      <c r="R61" s="2" t="s">
        <v>88</v>
      </c>
      <c r="S61" s="1" t="s">
        <v>890</v>
      </c>
      <c r="T61" s="2" t="s">
        <v>71</v>
      </c>
      <c r="U61" s="3">
        <v>2</v>
      </c>
      <c r="V61" s="3">
        <v>2</v>
      </c>
      <c r="W61" s="4" t="s">
        <v>860</v>
      </c>
      <c r="X61" s="4" t="s">
        <v>860</v>
      </c>
      <c r="Y61" s="4" t="s">
        <v>250</v>
      </c>
      <c r="Z61" s="4" t="s">
        <v>250</v>
      </c>
      <c r="AA61" s="3">
        <v>123</v>
      </c>
      <c r="AB61" s="3">
        <v>97</v>
      </c>
      <c r="AC61" s="3">
        <v>97</v>
      </c>
      <c r="AD61" s="3">
        <v>1</v>
      </c>
      <c r="AE61" s="3">
        <v>1</v>
      </c>
      <c r="AF61" s="3">
        <v>2</v>
      </c>
      <c r="AG61" s="3">
        <v>2</v>
      </c>
      <c r="AH61" s="3">
        <v>0</v>
      </c>
      <c r="AI61" s="3">
        <v>0</v>
      </c>
      <c r="AJ61" s="3">
        <v>1</v>
      </c>
      <c r="AK61" s="3">
        <v>1</v>
      </c>
      <c r="AL61" s="3">
        <v>1</v>
      </c>
      <c r="AM61" s="3">
        <v>1</v>
      </c>
      <c r="AN61" s="3">
        <v>0</v>
      </c>
      <c r="AO61" s="3">
        <v>0</v>
      </c>
      <c r="AP61" s="3">
        <v>0</v>
      </c>
      <c r="AQ61" s="3">
        <v>0</v>
      </c>
      <c r="AR61" s="2" t="s">
        <v>63</v>
      </c>
      <c r="AS61" s="2" t="s">
        <v>63</v>
      </c>
      <c r="AU61" s="5" t="str">
        <f>HYPERLINK("https://creighton-primo.hosted.exlibrisgroup.com/primo-explore/search?tab=default_tab&amp;search_scope=EVERYTHING&amp;vid=01CRU&amp;lang=en_US&amp;offset=0&amp;query=any,contains,991000592199702656","Catalog Record")</f>
        <v>Catalog Record</v>
      </c>
      <c r="AV61" s="5" t="str">
        <f>HYPERLINK("http://www.worldcat.org/oclc/11785696","WorldCat Record")</f>
        <v>WorldCat Record</v>
      </c>
      <c r="AW61" s="2" t="s">
        <v>891</v>
      </c>
      <c r="AX61" s="2" t="s">
        <v>892</v>
      </c>
      <c r="AY61" s="2" t="s">
        <v>893</v>
      </c>
      <c r="AZ61" s="2" t="s">
        <v>893</v>
      </c>
      <c r="BA61" s="2" t="s">
        <v>894</v>
      </c>
      <c r="BB61" s="2" t="s">
        <v>79</v>
      </c>
      <c r="BD61" s="2" t="s">
        <v>895</v>
      </c>
      <c r="BE61" s="2" t="s">
        <v>896</v>
      </c>
      <c r="BF61" s="2" t="s">
        <v>897</v>
      </c>
    </row>
    <row r="62" spans="1:58" ht="39.75" customHeight="1" x14ac:dyDescent="0.25">
      <c r="A62" s="1"/>
      <c r="B62" s="1" t="s">
        <v>58</v>
      </c>
      <c r="C62" s="1" t="s">
        <v>59</v>
      </c>
      <c r="D62" s="1" t="s">
        <v>898</v>
      </c>
      <c r="E62" s="1" t="s">
        <v>899</v>
      </c>
      <c r="F62" s="1" t="s">
        <v>900</v>
      </c>
      <c r="H62" s="2" t="s">
        <v>63</v>
      </c>
      <c r="I62" s="2" t="s">
        <v>64</v>
      </c>
      <c r="J62" s="2" t="s">
        <v>63</v>
      </c>
      <c r="K62" s="2" t="s">
        <v>63</v>
      </c>
      <c r="L62" s="2" t="s">
        <v>65</v>
      </c>
      <c r="M62" s="1" t="s">
        <v>901</v>
      </c>
      <c r="N62" s="1" t="s">
        <v>902</v>
      </c>
      <c r="O62" s="2" t="s">
        <v>263</v>
      </c>
      <c r="Q62" s="2" t="s">
        <v>69</v>
      </c>
      <c r="R62" s="2" t="s">
        <v>88</v>
      </c>
      <c r="T62" s="2" t="s">
        <v>71</v>
      </c>
      <c r="U62" s="3">
        <v>4</v>
      </c>
      <c r="V62" s="3">
        <v>4</v>
      </c>
      <c r="W62" s="4" t="s">
        <v>903</v>
      </c>
      <c r="X62" s="4" t="s">
        <v>903</v>
      </c>
      <c r="Y62" s="4" t="s">
        <v>904</v>
      </c>
      <c r="Z62" s="4" t="s">
        <v>904</v>
      </c>
      <c r="AA62" s="3">
        <v>260</v>
      </c>
      <c r="AB62" s="3">
        <v>227</v>
      </c>
      <c r="AC62" s="3">
        <v>280</v>
      </c>
      <c r="AD62" s="3">
        <v>3</v>
      </c>
      <c r="AE62" s="3">
        <v>3</v>
      </c>
      <c r="AF62" s="3">
        <v>10</v>
      </c>
      <c r="AG62" s="3">
        <v>11</v>
      </c>
      <c r="AH62" s="3">
        <v>2</v>
      </c>
      <c r="AI62" s="3">
        <v>2</v>
      </c>
      <c r="AJ62" s="3">
        <v>4</v>
      </c>
      <c r="AK62" s="3">
        <v>4</v>
      </c>
      <c r="AL62" s="3">
        <v>4</v>
      </c>
      <c r="AM62" s="3">
        <v>5</v>
      </c>
      <c r="AN62" s="3">
        <v>2</v>
      </c>
      <c r="AO62" s="3">
        <v>2</v>
      </c>
      <c r="AP62" s="3">
        <v>0</v>
      </c>
      <c r="AQ62" s="3">
        <v>0</v>
      </c>
      <c r="AR62" s="2" t="s">
        <v>63</v>
      </c>
      <c r="AS62" s="2" t="s">
        <v>74</v>
      </c>
      <c r="AT62" s="5" t="str">
        <f>HYPERLINK("http://catalog.hathitrust.org/Record/007474452","HathiTrust Record")</f>
        <v>HathiTrust Record</v>
      </c>
      <c r="AU62" s="5" t="str">
        <f>HYPERLINK("https://creighton-primo.hosted.exlibrisgroup.com/primo-explore/search?tab=default_tab&amp;search_scope=EVERYTHING&amp;vid=01CRU&amp;lang=en_US&amp;offset=0&amp;query=any,contains,991001394369702656","Catalog Record")</f>
        <v>Catalog Record</v>
      </c>
      <c r="AV62" s="5" t="str">
        <f>HYPERLINK("http://www.worldcat.org/oclc/18780386","WorldCat Record")</f>
        <v>WorldCat Record</v>
      </c>
      <c r="AW62" s="2" t="s">
        <v>905</v>
      </c>
      <c r="AX62" s="2" t="s">
        <v>906</v>
      </c>
      <c r="AY62" s="2" t="s">
        <v>907</v>
      </c>
      <c r="AZ62" s="2" t="s">
        <v>907</v>
      </c>
      <c r="BA62" s="2" t="s">
        <v>908</v>
      </c>
      <c r="BB62" s="2" t="s">
        <v>79</v>
      </c>
      <c r="BD62" s="2" t="s">
        <v>909</v>
      </c>
      <c r="BE62" s="2" t="s">
        <v>910</v>
      </c>
      <c r="BF62" s="2" t="s">
        <v>911</v>
      </c>
    </row>
    <row r="63" spans="1:58" ht="39.75" customHeight="1" x14ac:dyDescent="0.25">
      <c r="A63" s="1"/>
      <c r="B63" s="1" t="s">
        <v>58</v>
      </c>
      <c r="C63" s="1" t="s">
        <v>59</v>
      </c>
      <c r="D63" s="1" t="s">
        <v>912</v>
      </c>
      <c r="E63" s="1" t="s">
        <v>913</v>
      </c>
      <c r="F63" s="1" t="s">
        <v>914</v>
      </c>
      <c r="H63" s="2" t="s">
        <v>63</v>
      </c>
      <c r="I63" s="2" t="s">
        <v>64</v>
      </c>
      <c r="J63" s="2" t="s">
        <v>63</v>
      </c>
      <c r="K63" s="2" t="s">
        <v>63</v>
      </c>
      <c r="L63" s="2" t="s">
        <v>65</v>
      </c>
      <c r="M63" s="1" t="s">
        <v>915</v>
      </c>
      <c r="N63" s="1" t="s">
        <v>916</v>
      </c>
      <c r="O63" s="2" t="s">
        <v>530</v>
      </c>
      <c r="P63" s="1" t="s">
        <v>132</v>
      </c>
      <c r="Q63" s="2" t="s">
        <v>69</v>
      </c>
      <c r="R63" s="2" t="s">
        <v>191</v>
      </c>
      <c r="T63" s="2" t="s">
        <v>71</v>
      </c>
      <c r="U63" s="3">
        <v>14</v>
      </c>
      <c r="V63" s="3">
        <v>14</v>
      </c>
      <c r="W63" s="4" t="s">
        <v>917</v>
      </c>
      <c r="X63" s="4" t="s">
        <v>917</v>
      </c>
      <c r="Y63" s="4" t="s">
        <v>918</v>
      </c>
      <c r="Z63" s="4" t="s">
        <v>918</v>
      </c>
      <c r="AA63" s="3">
        <v>1346</v>
      </c>
      <c r="AB63" s="3">
        <v>1263</v>
      </c>
      <c r="AC63" s="3">
        <v>1268</v>
      </c>
      <c r="AD63" s="3">
        <v>10</v>
      </c>
      <c r="AE63" s="3">
        <v>10</v>
      </c>
      <c r="AF63" s="3">
        <v>37</v>
      </c>
      <c r="AG63" s="3">
        <v>37</v>
      </c>
      <c r="AH63" s="3">
        <v>16</v>
      </c>
      <c r="AI63" s="3">
        <v>16</v>
      </c>
      <c r="AJ63" s="3">
        <v>6</v>
      </c>
      <c r="AK63" s="3">
        <v>6</v>
      </c>
      <c r="AL63" s="3">
        <v>17</v>
      </c>
      <c r="AM63" s="3">
        <v>17</v>
      </c>
      <c r="AN63" s="3">
        <v>7</v>
      </c>
      <c r="AO63" s="3">
        <v>7</v>
      </c>
      <c r="AP63" s="3">
        <v>1</v>
      </c>
      <c r="AQ63" s="3">
        <v>1</v>
      </c>
      <c r="AR63" s="2" t="s">
        <v>63</v>
      </c>
      <c r="AS63" s="2" t="s">
        <v>63</v>
      </c>
      <c r="AU63" s="5" t="str">
        <f>HYPERLINK("https://creighton-primo.hosted.exlibrisgroup.com/primo-explore/search?tab=default_tab&amp;search_scope=EVERYTHING&amp;vid=01CRU&amp;lang=en_US&amp;offset=0&amp;query=any,contains,991001744719702656","Catalog Record")</f>
        <v>Catalog Record</v>
      </c>
      <c r="AV63" s="5" t="str">
        <f>HYPERLINK("http://www.worldcat.org/oclc/22111009","WorldCat Record")</f>
        <v>WorldCat Record</v>
      </c>
      <c r="AW63" s="2" t="s">
        <v>919</v>
      </c>
      <c r="AX63" s="2" t="s">
        <v>920</v>
      </c>
      <c r="AY63" s="2" t="s">
        <v>921</v>
      </c>
      <c r="AZ63" s="2" t="s">
        <v>921</v>
      </c>
      <c r="BA63" s="2" t="s">
        <v>922</v>
      </c>
      <c r="BB63" s="2" t="s">
        <v>79</v>
      </c>
      <c r="BD63" s="2" t="s">
        <v>923</v>
      </c>
      <c r="BE63" s="2" t="s">
        <v>924</v>
      </c>
      <c r="BF63" s="2" t="s">
        <v>925</v>
      </c>
    </row>
    <row r="64" spans="1:58" ht="39.75" customHeight="1" x14ac:dyDescent="0.25">
      <c r="A64" s="1"/>
      <c r="B64" s="1" t="s">
        <v>58</v>
      </c>
      <c r="C64" s="1" t="s">
        <v>59</v>
      </c>
      <c r="D64" s="1" t="s">
        <v>926</v>
      </c>
      <c r="E64" s="1" t="s">
        <v>927</v>
      </c>
      <c r="F64" s="1" t="s">
        <v>928</v>
      </c>
      <c r="H64" s="2" t="s">
        <v>63</v>
      </c>
      <c r="I64" s="2" t="s">
        <v>64</v>
      </c>
      <c r="J64" s="2" t="s">
        <v>63</v>
      </c>
      <c r="K64" s="2" t="s">
        <v>63</v>
      </c>
      <c r="L64" s="2" t="s">
        <v>65</v>
      </c>
      <c r="M64" s="1" t="s">
        <v>929</v>
      </c>
      <c r="N64" s="1" t="s">
        <v>930</v>
      </c>
      <c r="O64" s="2" t="s">
        <v>931</v>
      </c>
      <c r="Q64" s="2" t="s">
        <v>69</v>
      </c>
      <c r="R64" s="2" t="s">
        <v>88</v>
      </c>
      <c r="S64" s="1" t="s">
        <v>932</v>
      </c>
      <c r="T64" s="2" t="s">
        <v>71</v>
      </c>
      <c r="U64" s="3">
        <v>3</v>
      </c>
      <c r="V64" s="3">
        <v>3</v>
      </c>
      <c r="W64" s="4" t="s">
        <v>933</v>
      </c>
      <c r="X64" s="4" t="s">
        <v>933</v>
      </c>
      <c r="Y64" s="4" t="s">
        <v>105</v>
      </c>
      <c r="Z64" s="4" t="s">
        <v>105</v>
      </c>
      <c r="AA64" s="3">
        <v>671</v>
      </c>
      <c r="AB64" s="3">
        <v>643</v>
      </c>
      <c r="AC64" s="3">
        <v>709</v>
      </c>
      <c r="AD64" s="3">
        <v>7</v>
      </c>
      <c r="AE64" s="3">
        <v>7</v>
      </c>
      <c r="AF64" s="3">
        <v>17</v>
      </c>
      <c r="AG64" s="3">
        <v>18</v>
      </c>
      <c r="AH64" s="3">
        <v>5</v>
      </c>
      <c r="AI64" s="3">
        <v>6</v>
      </c>
      <c r="AJ64" s="3">
        <v>2</v>
      </c>
      <c r="AK64" s="3">
        <v>2</v>
      </c>
      <c r="AL64" s="3">
        <v>8</v>
      </c>
      <c r="AM64" s="3">
        <v>8</v>
      </c>
      <c r="AN64" s="3">
        <v>5</v>
      </c>
      <c r="AO64" s="3">
        <v>5</v>
      </c>
      <c r="AP64" s="3">
        <v>0</v>
      </c>
      <c r="AQ64" s="3">
        <v>0</v>
      </c>
      <c r="AR64" s="2" t="s">
        <v>63</v>
      </c>
      <c r="AS64" s="2" t="s">
        <v>63</v>
      </c>
      <c r="AU64" s="5" t="str">
        <f>HYPERLINK("https://creighton-primo.hosted.exlibrisgroup.com/primo-explore/search?tab=default_tab&amp;search_scope=EVERYTHING&amp;vid=01CRU&amp;lang=en_US&amp;offset=0&amp;query=any,contains,991002861259702656","Catalog Record")</f>
        <v>Catalog Record</v>
      </c>
      <c r="AV64" s="5" t="str">
        <f>HYPERLINK("http://www.worldcat.org/oclc/493155","WorldCat Record")</f>
        <v>WorldCat Record</v>
      </c>
      <c r="AW64" s="2" t="s">
        <v>934</v>
      </c>
      <c r="AX64" s="2" t="s">
        <v>935</v>
      </c>
      <c r="AY64" s="2" t="s">
        <v>936</v>
      </c>
      <c r="AZ64" s="2" t="s">
        <v>936</v>
      </c>
      <c r="BA64" s="2" t="s">
        <v>937</v>
      </c>
      <c r="BB64" s="2" t="s">
        <v>79</v>
      </c>
      <c r="BE64" s="2" t="s">
        <v>938</v>
      </c>
      <c r="BF64" s="2" t="s">
        <v>939</v>
      </c>
    </row>
    <row r="65" spans="1:58" ht="39.75" customHeight="1" x14ac:dyDescent="0.25">
      <c r="A65" s="1"/>
      <c r="B65" s="1" t="s">
        <v>58</v>
      </c>
      <c r="C65" s="1" t="s">
        <v>59</v>
      </c>
      <c r="D65" s="1" t="s">
        <v>940</v>
      </c>
      <c r="E65" s="1" t="s">
        <v>941</v>
      </c>
      <c r="F65" s="1" t="s">
        <v>942</v>
      </c>
      <c r="H65" s="2" t="s">
        <v>63</v>
      </c>
      <c r="I65" s="2" t="s">
        <v>64</v>
      </c>
      <c r="J65" s="2" t="s">
        <v>63</v>
      </c>
      <c r="K65" s="2" t="s">
        <v>63</v>
      </c>
      <c r="L65" s="2" t="s">
        <v>65</v>
      </c>
      <c r="M65" s="1" t="s">
        <v>929</v>
      </c>
      <c r="N65" s="1" t="s">
        <v>943</v>
      </c>
      <c r="O65" s="2" t="s">
        <v>931</v>
      </c>
      <c r="P65" s="1" t="s">
        <v>161</v>
      </c>
      <c r="Q65" s="2" t="s">
        <v>69</v>
      </c>
      <c r="R65" s="2" t="s">
        <v>944</v>
      </c>
      <c r="T65" s="2" t="s">
        <v>71</v>
      </c>
      <c r="U65" s="3">
        <v>1</v>
      </c>
      <c r="V65" s="3">
        <v>1</v>
      </c>
      <c r="W65" s="4" t="s">
        <v>903</v>
      </c>
      <c r="X65" s="4" t="s">
        <v>903</v>
      </c>
      <c r="Y65" s="4" t="s">
        <v>105</v>
      </c>
      <c r="Z65" s="4" t="s">
        <v>105</v>
      </c>
      <c r="AA65" s="3">
        <v>105</v>
      </c>
      <c r="AB65" s="3">
        <v>54</v>
      </c>
      <c r="AC65" s="3">
        <v>431</v>
      </c>
      <c r="AD65" s="3">
        <v>1</v>
      </c>
      <c r="AE65" s="3">
        <v>3</v>
      </c>
      <c r="AF65" s="3">
        <v>2</v>
      </c>
      <c r="AG65" s="3">
        <v>16</v>
      </c>
      <c r="AH65" s="3">
        <v>1</v>
      </c>
      <c r="AI65" s="3">
        <v>6</v>
      </c>
      <c r="AJ65" s="3">
        <v>1</v>
      </c>
      <c r="AK65" s="3">
        <v>5</v>
      </c>
      <c r="AL65" s="3">
        <v>1</v>
      </c>
      <c r="AM65" s="3">
        <v>9</v>
      </c>
      <c r="AN65" s="3">
        <v>0</v>
      </c>
      <c r="AO65" s="3">
        <v>2</v>
      </c>
      <c r="AP65" s="3">
        <v>0</v>
      </c>
      <c r="AQ65" s="3">
        <v>0</v>
      </c>
      <c r="AR65" s="2" t="s">
        <v>63</v>
      </c>
      <c r="AS65" s="2" t="s">
        <v>63</v>
      </c>
      <c r="AU65" s="5" t="str">
        <f>HYPERLINK("https://creighton-primo.hosted.exlibrisgroup.com/primo-explore/search?tab=default_tab&amp;search_scope=EVERYTHING&amp;vid=01CRU&amp;lang=en_US&amp;offset=0&amp;query=any,contains,991004570139702656","Catalog Record")</f>
        <v>Catalog Record</v>
      </c>
      <c r="AV65" s="5" t="str">
        <f>HYPERLINK("http://www.worldcat.org/oclc/4019489","WorldCat Record")</f>
        <v>WorldCat Record</v>
      </c>
      <c r="AW65" s="2" t="s">
        <v>945</v>
      </c>
      <c r="AX65" s="2" t="s">
        <v>946</v>
      </c>
      <c r="AY65" s="2" t="s">
        <v>947</v>
      </c>
      <c r="AZ65" s="2" t="s">
        <v>947</v>
      </c>
      <c r="BA65" s="2" t="s">
        <v>948</v>
      </c>
      <c r="BB65" s="2" t="s">
        <v>79</v>
      </c>
      <c r="BE65" s="2" t="s">
        <v>949</v>
      </c>
      <c r="BF65" s="2" t="s">
        <v>950</v>
      </c>
    </row>
    <row r="66" spans="1:58" ht="39.75" customHeight="1" x14ac:dyDescent="0.25">
      <c r="A66" s="1"/>
      <c r="B66" s="1" t="s">
        <v>58</v>
      </c>
      <c r="C66" s="1" t="s">
        <v>59</v>
      </c>
      <c r="D66" s="1" t="s">
        <v>951</v>
      </c>
      <c r="E66" s="1" t="s">
        <v>952</v>
      </c>
      <c r="F66" s="1" t="s">
        <v>953</v>
      </c>
      <c r="H66" s="2" t="s">
        <v>63</v>
      </c>
      <c r="I66" s="2" t="s">
        <v>64</v>
      </c>
      <c r="J66" s="2" t="s">
        <v>63</v>
      </c>
      <c r="K66" s="2" t="s">
        <v>63</v>
      </c>
      <c r="L66" s="2" t="s">
        <v>65</v>
      </c>
      <c r="N66" s="1" t="s">
        <v>954</v>
      </c>
      <c r="O66" s="2" t="s">
        <v>955</v>
      </c>
      <c r="Q66" s="2" t="s">
        <v>69</v>
      </c>
      <c r="R66" s="2" t="s">
        <v>88</v>
      </c>
      <c r="S66" s="1" t="s">
        <v>847</v>
      </c>
      <c r="T66" s="2" t="s">
        <v>71</v>
      </c>
      <c r="U66" s="3">
        <v>3</v>
      </c>
      <c r="V66" s="3">
        <v>3</v>
      </c>
      <c r="W66" s="4" t="s">
        <v>956</v>
      </c>
      <c r="X66" s="4" t="s">
        <v>956</v>
      </c>
      <c r="Y66" s="4" t="s">
        <v>105</v>
      </c>
      <c r="Z66" s="4" t="s">
        <v>105</v>
      </c>
      <c r="AA66" s="3">
        <v>448</v>
      </c>
      <c r="AB66" s="3">
        <v>337</v>
      </c>
      <c r="AC66" s="3">
        <v>349</v>
      </c>
      <c r="AD66" s="3">
        <v>1</v>
      </c>
      <c r="AE66" s="3">
        <v>1</v>
      </c>
      <c r="AF66" s="3">
        <v>11</v>
      </c>
      <c r="AG66" s="3">
        <v>11</v>
      </c>
      <c r="AH66" s="3">
        <v>3</v>
      </c>
      <c r="AI66" s="3">
        <v>3</v>
      </c>
      <c r="AJ66" s="3">
        <v>5</v>
      </c>
      <c r="AK66" s="3">
        <v>5</v>
      </c>
      <c r="AL66" s="3">
        <v>5</v>
      </c>
      <c r="AM66" s="3">
        <v>5</v>
      </c>
      <c r="AN66" s="3">
        <v>0</v>
      </c>
      <c r="AO66" s="3">
        <v>0</v>
      </c>
      <c r="AP66" s="3">
        <v>0</v>
      </c>
      <c r="AQ66" s="3">
        <v>0</v>
      </c>
      <c r="AR66" s="2" t="s">
        <v>63</v>
      </c>
      <c r="AS66" s="2" t="s">
        <v>74</v>
      </c>
      <c r="AT66" s="5" t="str">
        <f>HYPERLINK("http://catalog.hathitrust.org/Record/001556720","HathiTrust Record")</f>
        <v>HathiTrust Record</v>
      </c>
      <c r="AU66" s="5" t="str">
        <f>HYPERLINK("https://creighton-primo.hosted.exlibrisgroup.com/primo-explore/search?tab=default_tab&amp;search_scope=EVERYTHING&amp;vid=01CRU&amp;lang=en_US&amp;offset=0&amp;query=any,contains,991005353819702656","Catalog Record")</f>
        <v>Catalog Record</v>
      </c>
      <c r="AV66" s="5" t="str">
        <f>HYPERLINK("http://www.worldcat.org/oclc/220264","WorldCat Record")</f>
        <v>WorldCat Record</v>
      </c>
      <c r="AW66" s="2" t="s">
        <v>957</v>
      </c>
      <c r="AX66" s="2" t="s">
        <v>958</v>
      </c>
      <c r="AY66" s="2" t="s">
        <v>959</v>
      </c>
      <c r="AZ66" s="2" t="s">
        <v>959</v>
      </c>
      <c r="BA66" s="2" t="s">
        <v>960</v>
      </c>
      <c r="BB66" s="2" t="s">
        <v>79</v>
      </c>
      <c r="BE66" s="2" t="s">
        <v>961</v>
      </c>
      <c r="BF66" s="2" t="s">
        <v>962</v>
      </c>
    </row>
    <row r="67" spans="1:58" ht="39.75" customHeight="1" x14ac:dyDescent="0.25">
      <c r="A67" s="1"/>
      <c r="B67" s="1" t="s">
        <v>58</v>
      </c>
      <c r="C67" s="1" t="s">
        <v>59</v>
      </c>
      <c r="D67" s="1" t="s">
        <v>963</v>
      </c>
      <c r="E67" s="1" t="s">
        <v>964</v>
      </c>
      <c r="F67" s="1" t="s">
        <v>965</v>
      </c>
      <c r="H67" s="2" t="s">
        <v>63</v>
      </c>
      <c r="I67" s="2" t="s">
        <v>64</v>
      </c>
      <c r="J67" s="2" t="s">
        <v>63</v>
      </c>
      <c r="K67" s="2" t="s">
        <v>63</v>
      </c>
      <c r="L67" s="2" t="s">
        <v>65</v>
      </c>
      <c r="M67" s="1" t="s">
        <v>873</v>
      </c>
      <c r="N67" s="1" t="s">
        <v>966</v>
      </c>
      <c r="O67" s="2" t="s">
        <v>319</v>
      </c>
      <c r="Q67" s="2" t="s">
        <v>69</v>
      </c>
      <c r="R67" s="2" t="s">
        <v>88</v>
      </c>
      <c r="T67" s="2" t="s">
        <v>71</v>
      </c>
      <c r="U67" s="3">
        <v>4</v>
      </c>
      <c r="V67" s="3">
        <v>4</v>
      </c>
      <c r="W67" s="4" t="s">
        <v>967</v>
      </c>
      <c r="X67" s="4" t="s">
        <v>967</v>
      </c>
      <c r="Y67" s="4" t="s">
        <v>105</v>
      </c>
      <c r="Z67" s="4" t="s">
        <v>105</v>
      </c>
      <c r="AA67" s="3">
        <v>569</v>
      </c>
      <c r="AB67" s="3">
        <v>398</v>
      </c>
      <c r="AC67" s="3">
        <v>406</v>
      </c>
      <c r="AD67" s="3">
        <v>5</v>
      </c>
      <c r="AE67" s="3">
        <v>5</v>
      </c>
      <c r="AF67" s="3">
        <v>18</v>
      </c>
      <c r="AG67" s="3">
        <v>18</v>
      </c>
      <c r="AH67" s="3">
        <v>7</v>
      </c>
      <c r="AI67" s="3">
        <v>7</v>
      </c>
      <c r="AJ67" s="3">
        <v>3</v>
      </c>
      <c r="AK67" s="3">
        <v>3</v>
      </c>
      <c r="AL67" s="3">
        <v>9</v>
      </c>
      <c r="AM67" s="3">
        <v>9</v>
      </c>
      <c r="AN67" s="3">
        <v>4</v>
      </c>
      <c r="AO67" s="3">
        <v>4</v>
      </c>
      <c r="AP67" s="3">
        <v>0</v>
      </c>
      <c r="AQ67" s="3">
        <v>0</v>
      </c>
      <c r="AR67" s="2" t="s">
        <v>63</v>
      </c>
      <c r="AS67" s="2" t="s">
        <v>74</v>
      </c>
      <c r="AT67" s="5" t="str">
        <f>HYPERLINK("http://catalog.hathitrust.org/Record/001556727","HathiTrust Record")</f>
        <v>HathiTrust Record</v>
      </c>
      <c r="AU67" s="5" t="str">
        <f>HYPERLINK("https://creighton-primo.hosted.exlibrisgroup.com/primo-explore/search?tab=default_tab&amp;search_scope=EVERYTHING&amp;vid=01CRU&amp;lang=en_US&amp;offset=0&amp;query=any,contains,991000083139702656","Catalog Record")</f>
        <v>Catalog Record</v>
      </c>
      <c r="AV67" s="5" t="str">
        <f>HYPERLINK("http://www.worldcat.org/oclc/32481","WorldCat Record")</f>
        <v>WorldCat Record</v>
      </c>
      <c r="AW67" s="2" t="s">
        <v>968</v>
      </c>
      <c r="AX67" s="2" t="s">
        <v>969</v>
      </c>
      <c r="AY67" s="2" t="s">
        <v>970</v>
      </c>
      <c r="AZ67" s="2" t="s">
        <v>970</v>
      </c>
      <c r="BA67" s="2" t="s">
        <v>971</v>
      </c>
      <c r="BB67" s="2" t="s">
        <v>79</v>
      </c>
      <c r="BE67" s="2" t="s">
        <v>972</v>
      </c>
      <c r="BF67" s="2" t="s">
        <v>973</v>
      </c>
    </row>
    <row r="68" spans="1:58" ht="39.75" customHeight="1" x14ac:dyDescent="0.25">
      <c r="A68" s="1"/>
      <c r="B68" s="1" t="s">
        <v>58</v>
      </c>
      <c r="C68" s="1" t="s">
        <v>59</v>
      </c>
      <c r="D68" s="1" t="s">
        <v>974</v>
      </c>
      <c r="E68" s="1" t="s">
        <v>975</v>
      </c>
      <c r="F68" s="1" t="s">
        <v>976</v>
      </c>
      <c r="H68" s="2" t="s">
        <v>63</v>
      </c>
      <c r="I68" s="2" t="s">
        <v>64</v>
      </c>
      <c r="J68" s="2" t="s">
        <v>63</v>
      </c>
      <c r="K68" s="2" t="s">
        <v>63</v>
      </c>
      <c r="L68" s="2" t="s">
        <v>65</v>
      </c>
      <c r="M68" s="1" t="s">
        <v>873</v>
      </c>
      <c r="N68" s="1" t="s">
        <v>888</v>
      </c>
      <c r="O68" s="2" t="s">
        <v>889</v>
      </c>
      <c r="Q68" s="2" t="s">
        <v>69</v>
      </c>
      <c r="R68" s="2" t="s">
        <v>88</v>
      </c>
      <c r="S68" s="1" t="s">
        <v>977</v>
      </c>
      <c r="T68" s="2" t="s">
        <v>71</v>
      </c>
      <c r="U68" s="3">
        <v>4</v>
      </c>
      <c r="V68" s="3">
        <v>4</v>
      </c>
      <c r="W68" s="4" t="s">
        <v>978</v>
      </c>
      <c r="X68" s="4" t="s">
        <v>978</v>
      </c>
      <c r="Y68" s="4" t="s">
        <v>979</v>
      </c>
      <c r="Z68" s="4" t="s">
        <v>979</v>
      </c>
      <c r="AA68" s="3">
        <v>460</v>
      </c>
      <c r="AB68" s="3">
        <v>370</v>
      </c>
      <c r="AC68" s="3">
        <v>387</v>
      </c>
      <c r="AD68" s="3">
        <v>3</v>
      </c>
      <c r="AE68" s="3">
        <v>3</v>
      </c>
      <c r="AF68" s="3">
        <v>14</v>
      </c>
      <c r="AG68" s="3">
        <v>15</v>
      </c>
      <c r="AH68" s="3">
        <v>5</v>
      </c>
      <c r="AI68" s="3">
        <v>6</v>
      </c>
      <c r="AJ68" s="3">
        <v>4</v>
      </c>
      <c r="AK68" s="3">
        <v>4</v>
      </c>
      <c r="AL68" s="3">
        <v>6</v>
      </c>
      <c r="AM68" s="3">
        <v>7</v>
      </c>
      <c r="AN68" s="3">
        <v>2</v>
      </c>
      <c r="AO68" s="3">
        <v>2</v>
      </c>
      <c r="AP68" s="3">
        <v>0</v>
      </c>
      <c r="AQ68" s="3">
        <v>0</v>
      </c>
      <c r="AR68" s="2" t="s">
        <v>63</v>
      </c>
      <c r="AS68" s="2" t="s">
        <v>74</v>
      </c>
      <c r="AT68" s="5" t="str">
        <f>HYPERLINK("http://catalog.hathitrust.org/Record/000572806","HathiTrust Record")</f>
        <v>HathiTrust Record</v>
      </c>
      <c r="AU68" s="5" t="str">
        <f>HYPERLINK("https://creighton-primo.hosted.exlibrisgroup.com/primo-explore/search?tab=default_tab&amp;search_scope=EVERYTHING&amp;vid=01CRU&amp;lang=en_US&amp;offset=0&amp;query=any,contains,991000562559702656","Catalog Record")</f>
        <v>Catalog Record</v>
      </c>
      <c r="AV68" s="5" t="str">
        <f>HYPERLINK("http://www.worldcat.org/oclc/11599265","WorldCat Record")</f>
        <v>WorldCat Record</v>
      </c>
      <c r="AW68" s="2" t="s">
        <v>980</v>
      </c>
      <c r="AX68" s="2" t="s">
        <v>981</v>
      </c>
      <c r="AY68" s="2" t="s">
        <v>982</v>
      </c>
      <c r="AZ68" s="2" t="s">
        <v>982</v>
      </c>
      <c r="BA68" s="2" t="s">
        <v>983</v>
      </c>
      <c r="BB68" s="2" t="s">
        <v>79</v>
      </c>
      <c r="BD68" s="2" t="s">
        <v>984</v>
      </c>
      <c r="BE68" s="2" t="s">
        <v>985</v>
      </c>
      <c r="BF68" s="2" t="s">
        <v>986</v>
      </c>
    </row>
    <row r="69" spans="1:58" ht="39.75" customHeight="1" x14ac:dyDescent="0.25">
      <c r="A69" s="1"/>
      <c r="B69" s="1" t="s">
        <v>58</v>
      </c>
      <c r="C69" s="1" t="s">
        <v>59</v>
      </c>
      <c r="D69" s="1" t="s">
        <v>987</v>
      </c>
      <c r="E69" s="1" t="s">
        <v>988</v>
      </c>
      <c r="F69" s="1" t="s">
        <v>989</v>
      </c>
      <c r="H69" s="2" t="s">
        <v>63</v>
      </c>
      <c r="I69" s="2" t="s">
        <v>64</v>
      </c>
      <c r="J69" s="2" t="s">
        <v>74</v>
      </c>
      <c r="K69" s="2" t="s">
        <v>63</v>
      </c>
      <c r="L69" s="2" t="s">
        <v>65</v>
      </c>
      <c r="M69" s="1" t="s">
        <v>990</v>
      </c>
      <c r="N69" s="1" t="s">
        <v>991</v>
      </c>
      <c r="O69" s="2" t="s">
        <v>545</v>
      </c>
      <c r="Q69" s="2" t="s">
        <v>69</v>
      </c>
      <c r="R69" s="2" t="s">
        <v>88</v>
      </c>
      <c r="T69" s="2" t="s">
        <v>71</v>
      </c>
      <c r="U69" s="3">
        <v>20</v>
      </c>
      <c r="V69" s="3">
        <v>32</v>
      </c>
      <c r="W69" s="4" t="s">
        <v>736</v>
      </c>
      <c r="X69" s="4" t="s">
        <v>736</v>
      </c>
      <c r="Y69" s="4" t="s">
        <v>992</v>
      </c>
      <c r="Z69" s="4" t="s">
        <v>993</v>
      </c>
      <c r="AA69" s="3">
        <v>1007</v>
      </c>
      <c r="AB69" s="3">
        <v>873</v>
      </c>
      <c r="AC69" s="3">
        <v>916</v>
      </c>
      <c r="AD69" s="3">
        <v>7</v>
      </c>
      <c r="AE69" s="3">
        <v>7</v>
      </c>
      <c r="AF69" s="3">
        <v>26</v>
      </c>
      <c r="AG69" s="3">
        <v>26</v>
      </c>
      <c r="AH69" s="3">
        <v>8</v>
      </c>
      <c r="AI69" s="3">
        <v>8</v>
      </c>
      <c r="AJ69" s="3">
        <v>4</v>
      </c>
      <c r="AK69" s="3">
        <v>4</v>
      </c>
      <c r="AL69" s="3">
        <v>16</v>
      </c>
      <c r="AM69" s="3">
        <v>16</v>
      </c>
      <c r="AN69" s="3">
        <v>4</v>
      </c>
      <c r="AO69" s="3">
        <v>4</v>
      </c>
      <c r="AP69" s="3">
        <v>0</v>
      </c>
      <c r="AQ69" s="3">
        <v>0</v>
      </c>
      <c r="AR69" s="2" t="s">
        <v>63</v>
      </c>
      <c r="AS69" s="2" t="s">
        <v>63</v>
      </c>
      <c r="AU69" s="5" t="str">
        <f>HYPERLINK("https://creighton-primo.hosted.exlibrisgroup.com/primo-explore/search?tab=default_tab&amp;search_scope=EVERYTHING&amp;vid=01CRU&amp;lang=en_US&amp;offset=0&amp;query=any,contains,991001796729702656","Catalog Record")</f>
        <v>Catalog Record</v>
      </c>
      <c r="AV69" s="5" t="str">
        <f>HYPERLINK("http://www.worldcat.org/oclc/23868127","WorldCat Record")</f>
        <v>WorldCat Record</v>
      </c>
      <c r="AW69" s="2" t="s">
        <v>994</v>
      </c>
      <c r="AX69" s="2" t="s">
        <v>995</v>
      </c>
      <c r="AY69" s="2" t="s">
        <v>996</v>
      </c>
      <c r="AZ69" s="2" t="s">
        <v>996</v>
      </c>
      <c r="BA69" s="2" t="s">
        <v>997</v>
      </c>
      <c r="BB69" s="2" t="s">
        <v>79</v>
      </c>
      <c r="BD69" s="2" t="s">
        <v>998</v>
      </c>
      <c r="BE69" s="2" t="s">
        <v>999</v>
      </c>
      <c r="BF69" s="2" t="s">
        <v>1000</v>
      </c>
    </row>
    <row r="70" spans="1:58" ht="39.75" customHeight="1" x14ac:dyDescent="0.25">
      <c r="A70" s="1"/>
      <c r="B70" s="1" t="s">
        <v>58</v>
      </c>
      <c r="C70" s="1" t="s">
        <v>59</v>
      </c>
      <c r="D70" s="1" t="s">
        <v>1001</v>
      </c>
      <c r="E70" s="1" t="s">
        <v>1002</v>
      </c>
      <c r="F70" s="1" t="s">
        <v>1003</v>
      </c>
      <c r="H70" s="2" t="s">
        <v>63</v>
      </c>
      <c r="I70" s="2" t="s">
        <v>64</v>
      </c>
      <c r="J70" s="2" t="s">
        <v>63</v>
      </c>
      <c r="K70" s="2" t="s">
        <v>63</v>
      </c>
      <c r="L70" s="2" t="s">
        <v>65</v>
      </c>
      <c r="M70" s="1" t="s">
        <v>1004</v>
      </c>
      <c r="N70" s="1" t="s">
        <v>1005</v>
      </c>
      <c r="O70" s="2" t="s">
        <v>1006</v>
      </c>
      <c r="Q70" s="2" t="s">
        <v>69</v>
      </c>
      <c r="R70" s="2" t="s">
        <v>944</v>
      </c>
      <c r="S70" s="1" t="s">
        <v>1007</v>
      </c>
      <c r="T70" s="2" t="s">
        <v>71</v>
      </c>
      <c r="U70" s="3">
        <v>2</v>
      </c>
      <c r="V70" s="3">
        <v>2</v>
      </c>
      <c r="W70" s="4" t="s">
        <v>1008</v>
      </c>
      <c r="X70" s="4" t="s">
        <v>1008</v>
      </c>
      <c r="Y70" s="4" t="s">
        <v>105</v>
      </c>
      <c r="Z70" s="4" t="s">
        <v>105</v>
      </c>
      <c r="AA70" s="3">
        <v>132</v>
      </c>
      <c r="AB70" s="3">
        <v>106</v>
      </c>
      <c r="AC70" s="3">
        <v>167</v>
      </c>
      <c r="AD70" s="3">
        <v>1</v>
      </c>
      <c r="AE70" s="3">
        <v>1</v>
      </c>
      <c r="AF70" s="3">
        <v>5</v>
      </c>
      <c r="AG70" s="3">
        <v>5</v>
      </c>
      <c r="AH70" s="3">
        <v>2</v>
      </c>
      <c r="AI70" s="3">
        <v>2</v>
      </c>
      <c r="AJ70" s="3">
        <v>1</v>
      </c>
      <c r="AK70" s="3">
        <v>1</v>
      </c>
      <c r="AL70" s="3">
        <v>4</v>
      </c>
      <c r="AM70" s="3">
        <v>4</v>
      </c>
      <c r="AN70" s="3">
        <v>0</v>
      </c>
      <c r="AO70" s="3">
        <v>0</v>
      </c>
      <c r="AP70" s="3">
        <v>0</v>
      </c>
      <c r="AQ70" s="3">
        <v>0</v>
      </c>
      <c r="AR70" s="2" t="s">
        <v>63</v>
      </c>
      <c r="AS70" s="2" t="s">
        <v>63</v>
      </c>
      <c r="AT70" s="5" t="str">
        <f>HYPERLINK("http://catalog.hathitrust.org/Record/001556755","HathiTrust Record")</f>
        <v>HathiTrust Record</v>
      </c>
      <c r="AU70" s="5" t="str">
        <f>HYPERLINK("https://creighton-primo.hosted.exlibrisgroup.com/primo-explore/search?tab=default_tab&amp;search_scope=EVERYTHING&amp;vid=01CRU&amp;lang=en_US&amp;offset=0&amp;query=any,contains,991003295099702656","Catalog Record")</f>
        <v>Catalog Record</v>
      </c>
      <c r="AV70" s="5" t="str">
        <f>HYPERLINK("http://www.worldcat.org/oclc/14660074","WorldCat Record")</f>
        <v>WorldCat Record</v>
      </c>
      <c r="AW70" s="2" t="s">
        <v>1009</v>
      </c>
      <c r="AX70" s="2" t="s">
        <v>1010</v>
      </c>
      <c r="AY70" s="2" t="s">
        <v>1011</v>
      </c>
      <c r="AZ70" s="2" t="s">
        <v>1011</v>
      </c>
      <c r="BA70" s="2" t="s">
        <v>1012</v>
      </c>
      <c r="BB70" s="2" t="s">
        <v>79</v>
      </c>
      <c r="BE70" s="2" t="s">
        <v>1013</v>
      </c>
      <c r="BF70" s="2" t="s">
        <v>1014</v>
      </c>
    </row>
    <row r="71" spans="1:58" ht="39.75" customHeight="1" x14ac:dyDescent="0.25">
      <c r="A71" s="1"/>
      <c r="B71" s="1" t="s">
        <v>58</v>
      </c>
      <c r="C71" s="1" t="s">
        <v>59</v>
      </c>
      <c r="D71" s="1" t="s">
        <v>1015</v>
      </c>
      <c r="E71" s="1" t="s">
        <v>1016</v>
      </c>
      <c r="F71" s="1" t="s">
        <v>1017</v>
      </c>
      <c r="H71" s="2" t="s">
        <v>63</v>
      </c>
      <c r="I71" s="2" t="s">
        <v>64</v>
      </c>
      <c r="J71" s="2" t="s">
        <v>63</v>
      </c>
      <c r="K71" s="2" t="s">
        <v>63</v>
      </c>
      <c r="L71" s="2" t="s">
        <v>65</v>
      </c>
      <c r="M71" s="1" t="s">
        <v>1018</v>
      </c>
      <c r="N71" s="1" t="s">
        <v>1019</v>
      </c>
      <c r="O71" s="2" t="s">
        <v>931</v>
      </c>
      <c r="Q71" s="2" t="s">
        <v>69</v>
      </c>
      <c r="R71" s="2" t="s">
        <v>88</v>
      </c>
      <c r="T71" s="2" t="s">
        <v>71</v>
      </c>
      <c r="U71" s="3">
        <v>3</v>
      </c>
      <c r="V71" s="3">
        <v>3</v>
      </c>
      <c r="W71" s="4" t="s">
        <v>600</v>
      </c>
      <c r="X71" s="4" t="s">
        <v>600</v>
      </c>
      <c r="Y71" s="4" t="s">
        <v>105</v>
      </c>
      <c r="Z71" s="4" t="s">
        <v>105</v>
      </c>
      <c r="AA71" s="3">
        <v>395</v>
      </c>
      <c r="AB71" s="3">
        <v>285</v>
      </c>
      <c r="AC71" s="3">
        <v>292</v>
      </c>
      <c r="AD71" s="3">
        <v>2</v>
      </c>
      <c r="AE71" s="3">
        <v>2</v>
      </c>
      <c r="AF71" s="3">
        <v>13</v>
      </c>
      <c r="AG71" s="3">
        <v>13</v>
      </c>
      <c r="AH71" s="3">
        <v>6</v>
      </c>
      <c r="AI71" s="3">
        <v>6</v>
      </c>
      <c r="AJ71" s="3">
        <v>3</v>
      </c>
      <c r="AK71" s="3">
        <v>3</v>
      </c>
      <c r="AL71" s="3">
        <v>6</v>
      </c>
      <c r="AM71" s="3">
        <v>6</v>
      </c>
      <c r="AN71" s="3">
        <v>1</v>
      </c>
      <c r="AO71" s="3">
        <v>1</v>
      </c>
      <c r="AP71" s="3">
        <v>0</v>
      </c>
      <c r="AQ71" s="3">
        <v>0</v>
      </c>
      <c r="AR71" s="2" t="s">
        <v>63</v>
      </c>
      <c r="AS71" s="2" t="s">
        <v>74</v>
      </c>
      <c r="AT71" s="5" t="str">
        <f>HYPERLINK("http://catalog.hathitrust.org/Record/001556759","HathiTrust Record")</f>
        <v>HathiTrust Record</v>
      </c>
      <c r="AU71" s="5" t="str">
        <f>HYPERLINK("https://creighton-primo.hosted.exlibrisgroup.com/primo-explore/search?tab=default_tab&amp;search_scope=EVERYTHING&amp;vid=01CRU&amp;lang=en_US&amp;offset=0&amp;query=any,contains,991003247559702656","Catalog Record")</f>
        <v>Catalog Record</v>
      </c>
      <c r="AV71" s="5" t="str">
        <f>HYPERLINK("http://www.worldcat.org/oclc/772462","WorldCat Record")</f>
        <v>WorldCat Record</v>
      </c>
      <c r="AW71" s="2" t="s">
        <v>1020</v>
      </c>
      <c r="AX71" s="2" t="s">
        <v>1021</v>
      </c>
      <c r="AY71" s="2" t="s">
        <v>1022</v>
      </c>
      <c r="AZ71" s="2" t="s">
        <v>1022</v>
      </c>
      <c r="BA71" s="2" t="s">
        <v>1023</v>
      </c>
      <c r="BB71" s="2" t="s">
        <v>79</v>
      </c>
      <c r="BE71" s="2" t="s">
        <v>1024</v>
      </c>
      <c r="BF71" s="2" t="s">
        <v>1025</v>
      </c>
    </row>
    <row r="72" spans="1:58" ht="39.75" customHeight="1" x14ac:dyDescent="0.25">
      <c r="A72" s="1"/>
      <c r="B72" s="1" t="s">
        <v>58</v>
      </c>
      <c r="C72" s="1" t="s">
        <v>59</v>
      </c>
      <c r="D72" s="1" t="s">
        <v>1026</v>
      </c>
      <c r="E72" s="1" t="s">
        <v>1027</v>
      </c>
      <c r="F72" s="1" t="s">
        <v>1028</v>
      </c>
      <c r="H72" s="2" t="s">
        <v>63</v>
      </c>
      <c r="I72" s="2" t="s">
        <v>64</v>
      </c>
      <c r="J72" s="2" t="s">
        <v>63</v>
      </c>
      <c r="K72" s="2" t="s">
        <v>63</v>
      </c>
      <c r="L72" s="2" t="s">
        <v>65</v>
      </c>
      <c r="M72" s="1" t="s">
        <v>1029</v>
      </c>
      <c r="N72" s="1" t="s">
        <v>1030</v>
      </c>
      <c r="O72" s="2" t="s">
        <v>447</v>
      </c>
      <c r="P72" s="1" t="s">
        <v>1031</v>
      </c>
      <c r="Q72" s="2" t="s">
        <v>69</v>
      </c>
      <c r="R72" s="2" t="s">
        <v>88</v>
      </c>
      <c r="T72" s="2" t="s">
        <v>71</v>
      </c>
      <c r="U72" s="3">
        <v>9</v>
      </c>
      <c r="V72" s="3">
        <v>9</v>
      </c>
      <c r="W72" s="4" t="s">
        <v>1032</v>
      </c>
      <c r="X72" s="4" t="s">
        <v>1032</v>
      </c>
      <c r="Y72" s="4" t="s">
        <v>1033</v>
      </c>
      <c r="Z72" s="4" t="s">
        <v>1033</v>
      </c>
      <c r="AA72" s="3">
        <v>794</v>
      </c>
      <c r="AB72" s="3">
        <v>759</v>
      </c>
      <c r="AC72" s="3">
        <v>819</v>
      </c>
      <c r="AD72" s="3">
        <v>7</v>
      </c>
      <c r="AE72" s="3">
        <v>7</v>
      </c>
      <c r="AF72" s="3">
        <v>25</v>
      </c>
      <c r="AG72" s="3">
        <v>28</v>
      </c>
      <c r="AH72" s="3">
        <v>9</v>
      </c>
      <c r="AI72" s="3">
        <v>12</v>
      </c>
      <c r="AJ72" s="3">
        <v>3</v>
      </c>
      <c r="AK72" s="3">
        <v>3</v>
      </c>
      <c r="AL72" s="3">
        <v>10</v>
      </c>
      <c r="AM72" s="3">
        <v>12</v>
      </c>
      <c r="AN72" s="3">
        <v>6</v>
      </c>
      <c r="AO72" s="3">
        <v>6</v>
      </c>
      <c r="AP72" s="3">
        <v>0</v>
      </c>
      <c r="AQ72" s="3">
        <v>0</v>
      </c>
      <c r="AR72" s="2" t="s">
        <v>63</v>
      </c>
      <c r="AS72" s="2" t="s">
        <v>74</v>
      </c>
      <c r="AT72" s="5" t="str">
        <f>HYPERLINK("http://catalog.hathitrust.org/Record/001556771","HathiTrust Record")</f>
        <v>HathiTrust Record</v>
      </c>
      <c r="AU72" s="5" t="str">
        <f>HYPERLINK("https://creighton-primo.hosted.exlibrisgroup.com/primo-explore/search?tab=default_tab&amp;search_scope=EVERYTHING&amp;vid=01CRU&amp;lang=en_US&amp;offset=0&amp;query=any,contains,991002834399702656","Catalog Record")</f>
        <v>Catalog Record</v>
      </c>
      <c r="AV72" s="5" t="str">
        <f>HYPERLINK("http://www.worldcat.org/oclc/479276","WorldCat Record")</f>
        <v>WorldCat Record</v>
      </c>
      <c r="AW72" s="2" t="s">
        <v>1034</v>
      </c>
      <c r="AX72" s="2" t="s">
        <v>1035</v>
      </c>
      <c r="AY72" s="2" t="s">
        <v>1036</v>
      </c>
      <c r="AZ72" s="2" t="s">
        <v>1036</v>
      </c>
      <c r="BA72" s="2" t="s">
        <v>1037</v>
      </c>
      <c r="BB72" s="2" t="s">
        <v>79</v>
      </c>
      <c r="BE72" s="2" t="s">
        <v>1038</v>
      </c>
      <c r="BF72" s="2" t="s">
        <v>1039</v>
      </c>
    </row>
    <row r="73" spans="1:58" ht="39.75" customHeight="1" x14ac:dyDescent="0.25">
      <c r="A73" s="1"/>
      <c r="B73" s="1" t="s">
        <v>58</v>
      </c>
      <c r="C73" s="1" t="s">
        <v>59</v>
      </c>
      <c r="D73" s="1" t="s">
        <v>1040</v>
      </c>
      <c r="E73" s="1" t="s">
        <v>1041</v>
      </c>
      <c r="F73" s="1" t="s">
        <v>1042</v>
      </c>
      <c r="H73" s="2" t="s">
        <v>63</v>
      </c>
      <c r="I73" s="2" t="s">
        <v>64</v>
      </c>
      <c r="J73" s="2" t="s">
        <v>63</v>
      </c>
      <c r="K73" s="2" t="s">
        <v>63</v>
      </c>
      <c r="L73" s="2" t="s">
        <v>65</v>
      </c>
      <c r="M73" s="1" t="s">
        <v>1043</v>
      </c>
      <c r="N73" s="1" t="s">
        <v>1044</v>
      </c>
      <c r="O73" s="2" t="s">
        <v>290</v>
      </c>
      <c r="Q73" s="2" t="s">
        <v>69</v>
      </c>
      <c r="R73" s="2" t="s">
        <v>612</v>
      </c>
      <c r="T73" s="2" t="s">
        <v>71</v>
      </c>
      <c r="U73" s="3">
        <v>16</v>
      </c>
      <c r="V73" s="3">
        <v>16</v>
      </c>
      <c r="W73" s="4" t="s">
        <v>1008</v>
      </c>
      <c r="X73" s="4" t="s">
        <v>1008</v>
      </c>
      <c r="Y73" s="4" t="s">
        <v>1045</v>
      </c>
      <c r="Z73" s="4" t="s">
        <v>1045</v>
      </c>
      <c r="AA73" s="3">
        <v>309</v>
      </c>
      <c r="AB73" s="3">
        <v>247</v>
      </c>
      <c r="AC73" s="3">
        <v>248</v>
      </c>
      <c r="AD73" s="3">
        <v>3</v>
      </c>
      <c r="AE73" s="3">
        <v>3</v>
      </c>
      <c r="AF73" s="3">
        <v>9</v>
      </c>
      <c r="AG73" s="3">
        <v>9</v>
      </c>
      <c r="AH73" s="3">
        <v>3</v>
      </c>
      <c r="AI73" s="3">
        <v>3</v>
      </c>
      <c r="AJ73" s="3">
        <v>0</v>
      </c>
      <c r="AK73" s="3">
        <v>0</v>
      </c>
      <c r="AL73" s="3">
        <v>5</v>
      </c>
      <c r="AM73" s="3">
        <v>5</v>
      </c>
      <c r="AN73" s="3">
        <v>2</v>
      </c>
      <c r="AO73" s="3">
        <v>2</v>
      </c>
      <c r="AP73" s="3">
        <v>0</v>
      </c>
      <c r="AQ73" s="3">
        <v>0</v>
      </c>
      <c r="AR73" s="2" t="s">
        <v>63</v>
      </c>
      <c r="AS73" s="2" t="s">
        <v>63</v>
      </c>
      <c r="AU73" s="5" t="str">
        <f>HYPERLINK("https://creighton-primo.hosted.exlibrisgroup.com/primo-explore/search?tab=default_tab&amp;search_scope=EVERYTHING&amp;vid=01CRU&amp;lang=en_US&amp;offset=0&amp;query=any,contains,991002441519702656","Catalog Record")</f>
        <v>Catalog Record</v>
      </c>
      <c r="AV73" s="5" t="str">
        <f>HYPERLINK("http://www.worldcat.org/oclc/31819705","WorldCat Record")</f>
        <v>WorldCat Record</v>
      </c>
      <c r="AW73" s="2" t="s">
        <v>1046</v>
      </c>
      <c r="AX73" s="2" t="s">
        <v>1047</v>
      </c>
      <c r="AY73" s="2" t="s">
        <v>1048</v>
      </c>
      <c r="AZ73" s="2" t="s">
        <v>1048</v>
      </c>
      <c r="BA73" s="2" t="s">
        <v>1049</v>
      </c>
      <c r="BB73" s="2" t="s">
        <v>79</v>
      </c>
      <c r="BD73" s="2" t="s">
        <v>1050</v>
      </c>
      <c r="BE73" s="2" t="s">
        <v>1051</v>
      </c>
      <c r="BF73" s="2" t="s">
        <v>1052</v>
      </c>
    </row>
    <row r="74" spans="1:58" ht="39.75" customHeight="1" x14ac:dyDescent="0.25">
      <c r="A74" s="1"/>
      <c r="B74" s="1" t="s">
        <v>58</v>
      </c>
      <c r="C74" s="1" t="s">
        <v>59</v>
      </c>
      <c r="D74" s="1" t="s">
        <v>1053</v>
      </c>
      <c r="E74" s="1" t="s">
        <v>1054</v>
      </c>
      <c r="F74" s="1" t="s">
        <v>1055</v>
      </c>
      <c r="H74" s="2" t="s">
        <v>63</v>
      </c>
      <c r="I74" s="2" t="s">
        <v>64</v>
      </c>
      <c r="J74" s="2" t="s">
        <v>63</v>
      </c>
      <c r="K74" s="2" t="s">
        <v>63</v>
      </c>
      <c r="L74" s="2" t="s">
        <v>65</v>
      </c>
      <c r="M74" s="1" t="s">
        <v>1056</v>
      </c>
      <c r="N74" s="1" t="s">
        <v>1057</v>
      </c>
      <c r="O74" s="2" t="s">
        <v>220</v>
      </c>
      <c r="Q74" s="2" t="s">
        <v>69</v>
      </c>
      <c r="R74" s="2" t="s">
        <v>118</v>
      </c>
      <c r="T74" s="2" t="s">
        <v>71</v>
      </c>
      <c r="U74" s="3">
        <v>4</v>
      </c>
      <c r="V74" s="3">
        <v>4</v>
      </c>
      <c r="W74" s="4" t="s">
        <v>1008</v>
      </c>
      <c r="X74" s="4" t="s">
        <v>1008</v>
      </c>
      <c r="Y74" s="4" t="s">
        <v>1058</v>
      </c>
      <c r="Z74" s="4" t="s">
        <v>1058</v>
      </c>
      <c r="AA74" s="3">
        <v>1145</v>
      </c>
      <c r="AB74" s="3">
        <v>968</v>
      </c>
      <c r="AC74" s="3">
        <v>1082</v>
      </c>
      <c r="AD74" s="3">
        <v>9</v>
      </c>
      <c r="AE74" s="3">
        <v>11</v>
      </c>
      <c r="AF74" s="3">
        <v>32</v>
      </c>
      <c r="AG74" s="3">
        <v>33</v>
      </c>
      <c r="AH74" s="3">
        <v>13</v>
      </c>
      <c r="AI74" s="3">
        <v>13</v>
      </c>
      <c r="AJ74" s="3">
        <v>7</v>
      </c>
      <c r="AK74" s="3">
        <v>7</v>
      </c>
      <c r="AL74" s="3">
        <v>13</v>
      </c>
      <c r="AM74" s="3">
        <v>13</v>
      </c>
      <c r="AN74" s="3">
        <v>7</v>
      </c>
      <c r="AO74" s="3">
        <v>8</v>
      </c>
      <c r="AP74" s="3">
        <v>0</v>
      </c>
      <c r="AQ74" s="3">
        <v>0</v>
      </c>
      <c r="AR74" s="2" t="s">
        <v>63</v>
      </c>
      <c r="AS74" s="2" t="s">
        <v>74</v>
      </c>
      <c r="AT74" s="5" t="str">
        <f>HYPERLINK("http://catalog.hathitrust.org/Record/004200544","HathiTrust Record")</f>
        <v>HathiTrust Record</v>
      </c>
      <c r="AU74" s="5" t="str">
        <f>HYPERLINK("https://creighton-primo.hosted.exlibrisgroup.com/primo-explore/search?tab=default_tab&amp;search_scope=EVERYTHING&amp;vid=01CRU&amp;lang=en_US&amp;offset=0&amp;query=any,contains,991003666419702656","Catalog Record")</f>
        <v>Catalog Record</v>
      </c>
      <c r="AV74" s="5" t="str">
        <f>HYPERLINK("http://www.worldcat.org/oclc/44185293","WorldCat Record")</f>
        <v>WorldCat Record</v>
      </c>
      <c r="AW74" s="2" t="s">
        <v>1059</v>
      </c>
      <c r="AX74" s="2" t="s">
        <v>1060</v>
      </c>
      <c r="AY74" s="2" t="s">
        <v>1061</v>
      </c>
      <c r="AZ74" s="2" t="s">
        <v>1061</v>
      </c>
      <c r="BA74" s="2" t="s">
        <v>1062</v>
      </c>
      <c r="BB74" s="2" t="s">
        <v>79</v>
      </c>
      <c r="BD74" s="2" t="s">
        <v>1063</v>
      </c>
      <c r="BE74" s="2" t="s">
        <v>1064</v>
      </c>
      <c r="BF74" s="2" t="s">
        <v>1065</v>
      </c>
    </row>
    <row r="75" spans="1:58" ht="39.75" customHeight="1" x14ac:dyDescent="0.25">
      <c r="A75" s="1"/>
      <c r="B75" s="1" t="s">
        <v>58</v>
      </c>
      <c r="C75" s="1" t="s">
        <v>59</v>
      </c>
      <c r="D75" s="1" t="s">
        <v>1066</v>
      </c>
      <c r="E75" s="1" t="s">
        <v>1067</v>
      </c>
      <c r="F75" s="1" t="s">
        <v>1068</v>
      </c>
      <c r="H75" s="2" t="s">
        <v>63</v>
      </c>
      <c r="I75" s="2" t="s">
        <v>64</v>
      </c>
      <c r="J75" s="2" t="s">
        <v>63</v>
      </c>
      <c r="K75" s="2" t="s">
        <v>63</v>
      </c>
      <c r="L75" s="2" t="s">
        <v>65</v>
      </c>
      <c r="M75" s="1" t="s">
        <v>1069</v>
      </c>
      <c r="N75" s="1" t="s">
        <v>1070</v>
      </c>
      <c r="O75" s="2" t="s">
        <v>485</v>
      </c>
      <c r="Q75" s="2" t="s">
        <v>69</v>
      </c>
      <c r="R75" s="2" t="s">
        <v>88</v>
      </c>
      <c r="T75" s="2" t="s">
        <v>71</v>
      </c>
      <c r="U75" s="3">
        <v>25</v>
      </c>
      <c r="V75" s="3">
        <v>25</v>
      </c>
      <c r="W75" s="4" t="s">
        <v>1008</v>
      </c>
      <c r="X75" s="4" t="s">
        <v>1008</v>
      </c>
      <c r="Y75" s="4" t="s">
        <v>1071</v>
      </c>
      <c r="Z75" s="4" t="s">
        <v>1071</v>
      </c>
      <c r="AA75" s="3">
        <v>518</v>
      </c>
      <c r="AB75" s="3">
        <v>486</v>
      </c>
      <c r="AC75" s="3">
        <v>491</v>
      </c>
      <c r="AD75" s="3">
        <v>3</v>
      </c>
      <c r="AE75" s="3">
        <v>3</v>
      </c>
      <c r="AF75" s="3">
        <v>10</v>
      </c>
      <c r="AG75" s="3">
        <v>10</v>
      </c>
      <c r="AH75" s="3">
        <v>4</v>
      </c>
      <c r="AI75" s="3">
        <v>4</v>
      </c>
      <c r="AJ75" s="3">
        <v>2</v>
      </c>
      <c r="AK75" s="3">
        <v>2</v>
      </c>
      <c r="AL75" s="3">
        <v>7</v>
      </c>
      <c r="AM75" s="3">
        <v>7</v>
      </c>
      <c r="AN75" s="3">
        <v>1</v>
      </c>
      <c r="AO75" s="3">
        <v>1</v>
      </c>
      <c r="AP75" s="3">
        <v>1</v>
      </c>
      <c r="AQ75" s="3">
        <v>1</v>
      </c>
      <c r="AR75" s="2" t="s">
        <v>63</v>
      </c>
      <c r="AS75" s="2" t="s">
        <v>63</v>
      </c>
      <c r="AU75" s="5" t="str">
        <f>HYPERLINK("https://creighton-primo.hosted.exlibrisgroup.com/primo-explore/search?tab=default_tab&amp;search_scope=EVERYTHING&amp;vid=01CRU&amp;lang=en_US&amp;offset=0&amp;query=any,contains,991001655219702656","Catalog Record")</f>
        <v>Catalog Record</v>
      </c>
      <c r="AV75" s="5" t="str">
        <f>HYPERLINK("http://www.worldcat.org/oclc/21119105","WorldCat Record")</f>
        <v>WorldCat Record</v>
      </c>
      <c r="AW75" s="2" t="s">
        <v>1072</v>
      </c>
      <c r="AX75" s="2" t="s">
        <v>1073</v>
      </c>
      <c r="AY75" s="2" t="s">
        <v>1074</v>
      </c>
      <c r="AZ75" s="2" t="s">
        <v>1074</v>
      </c>
      <c r="BA75" s="2" t="s">
        <v>1075</v>
      </c>
      <c r="BB75" s="2" t="s">
        <v>79</v>
      </c>
      <c r="BD75" s="2" t="s">
        <v>1076</v>
      </c>
      <c r="BE75" s="2" t="s">
        <v>1077</v>
      </c>
      <c r="BF75" s="2" t="s">
        <v>1078</v>
      </c>
    </row>
    <row r="76" spans="1:58" ht="39.75" customHeight="1" x14ac:dyDescent="0.25">
      <c r="A76" s="1"/>
      <c r="B76" s="1" t="s">
        <v>58</v>
      </c>
      <c r="C76" s="1" t="s">
        <v>59</v>
      </c>
      <c r="D76" s="1" t="s">
        <v>1079</v>
      </c>
      <c r="E76" s="1" t="s">
        <v>1080</v>
      </c>
      <c r="F76" s="1" t="s">
        <v>1081</v>
      </c>
      <c r="H76" s="2" t="s">
        <v>63</v>
      </c>
      <c r="I76" s="2" t="s">
        <v>64</v>
      </c>
      <c r="J76" s="2" t="s">
        <v>74</v>
      </c>
      <c r="K76" s="2" t="s">
        <v>63</v>
      </c>
      <c r="L76" s="2" t="s">
        <v>65</v>
      </c>
      <c r="M76" s="1" t="s">
        <v>1082</v>
      </c>
      <c r="N76" s="1" t="s">
        <v>1083</v>
      </c>
      <c r="O76" s="2" t="s">
        <v>190</v>
      </c>
      <c r="P76" s="1" t="s">
        <v>132</v>
      </c>
      <c r="Q76" s="2" t="s">
        <v>69</v>
      </c>
      <c r="R76" s="2" t="s">
        <v>88</v>
      </c>
      <c r="T76" s="2" t="s">
        <v>71</v>
      </c>
      <c r="U76" s="3">
        <v>11</v>
      </c>
      <c r="V76" s="3">
        <v>17</v>
      </c>
      <c r="W76" s="4" t="s">
        <v>1084</v>
      </c>
      <c r="X76" s="4" t="s">
        <v>1085</v>
      </c>
      <c r="Y76" s="4" t="s">
        <v>1086</v>
      </c>
      <c r="Z76" s="4" t="s">
        <v>1086</v>
      </c>
      <c r="AA76" s="3">
        <v>768</v>
      </c>
      <c r="AB76" s="3">
        <v>725</v>
      </c>
      <c r="AC76" s="3">
        <v>732</v>
      </c>
      <c r="AD76" s="3">
        <v>5</v>
      </c>
      <c r="AE76" s="3">
        <v>5</v>
      </c>
      <c r="AF76" s="3">
        <v>21</v>
      </c>
      <c r="AG76" s="3">
        <v>21</v>
      </c>
      <c r="AH76" s="3">
        <v>7</v>
      </c>
      <c r="AI76" s="3">
        <v>7</v>
      </c>
      <c r="AJ76" s="3">
        <v>4</v>
      </c>
      <c r="AK76" s="3">
        <v>4</v>
      </c>
      <c r="AL76" s="3">
        <v>12</v>
      </c>
      <c r="AM76" s="3">
        <v>12</v>
      </c>
      <c r="AN76" s="3">
        <v>2</v>
      </c>
      <c r="AO76" s="3">
        <v>2</v>
      </c>
      <c r="AP76" s="3">
        <v>1</v>
      </c>
      <c r="AQ76" s="3">
        <v>1</v>
      </c>
      <c r="AR76" s="2" t="s">
        <v>63</v>
      </c>
      <c r="AS76" s="2" t="s">
        <v>74</v>
      </c>
      <c r="AT76" s="5" t="str">
        <f>HYPERLINK("http://catalog.hathitrust.org/Record/002736425","HathiTrust Record")</f>
        <v>HathiTrust Record</v>
      </c>
      <c r="AU76" s="5" t="str">
        <f>HYPERLINK("https://creighton-primo.hosted.exlibrisgroup.com/primo-explore/search?tab=default_tab&amp;search_scope=EVERYTHING&amp;vid=01CRU&amp;lang=en_US&amp;offset=0&amp;query=any,contains,991001802569702656","Catalog Record")</f>
        <v>Catalog Record</v>
      </c>
      <c r="AV76" s="5" t="str">
        <f>HYPERLINK("http://www.worldcat.org/oclc/25914047","WorldCat Record")</f>
        <v>WorldCat Record</v>
      </c>
      <c r="AW76" s="2" t="s">
        <v>1087</v>
      </c>
      <c r="AX76" s="2" t="s">
        <v>1088</v>
      </c>
      <c r="AY76" s="2" t="s">
        <v>1089</v>
      </c>
      <c r="AZ76" s="2" t="s">
        <v>1089</v>
      </c>
      <c r="BA76" s="2" t="s">
        <v>1090</v>
      </c>
      <c r="BB76" s="2" t="s">
        <v>79</v>
      </c>
      <c r="BD76" s="2" t="s">
        <v>1091</v>
      </c>
      <c r="BE76" s="2" t="s">
        <v>1092</v>
      </c>
      <c r="BF76" s="2" t="s">
        <v>1093</v>
      </c>
    </row>
    <row r="77" spans="1:58" ht="39.75" customHeight="1" x14ac:dyDescent="0.25">
      <c r="A77" s="1"/>
      <c r="B77" s="1" t="s">
        <v>58</v>
      </c>
      <c r="C77" s="1" t="s">
        <v>59</v>
      </c>
      <c r="D77" s="1" t="s">
        <v>1094</v>
      </c>
      <c r="E77" s="1" t="s">
        <v>1095</v>
      </c>
      <c r="F77" s="1" t="s">
        <v>1096</v>
      </c>
      <c r="G77" s="2" t="s">
        <v>1097</v>
      </c>
      <c r="H77" s="2" t="s">
        <v>63</v>
      </c>
      <c r="I77" s="2" t="s">
        <v>64</v>
      </c>
      <c r="J77" s="2" t="s">
        <v>74</v>
      </c>
      <c r="K77" s="2" t="s">
        <v>63</v>
      </c>
      <c r="L77" s="2" t="s">
        <v>65</v>
      </c>
      <c r="N77" s="1" t="s">
        <v>1098</v>
      </c>
      <c r="O77" s="2" t="s">
        <v>1099</v>
      </c>
      <c r="P77" s="1" t="s">
        <v>276</v>
      </c>
      <c r="Q77" s="2" t="s">
        <v>69</v>
      </c>
      <c r="R77" s="2" t="s">
        <v>88</v>
      </c>
      <c r="S77" s="1" t="s">
        <v>1100</v>
      </c>
      <c r="T77" s="2" t="s">
        <v>71</v>
      </c>
      <c r="U77" s="3">
        <v>3</v>
      </c>
      <c r="V77" s="3">
        <v>4</v>
      </c>
      <c r="W77" s="4" t="s">
        <v>1101</v>
      </c>
      <c r="X77" s="4" t="s">
        <v>1101</v>
      </c>
      <c r="Y77" s="4" t="s">
        <v>250</v>
      </c>
      <c r="Z77" s="4" t="s">
        <v>250</v>
      </c>
      <c r="AA77" s="3">
        <v>203</v>
      </c>
      <c r="AB77" s="3">
        <v>149</v>
      </c>
      <c r="AC77" s="3">
        <v>156</v>
      </c>
      <c r="AD77" s="3">
        <v>2</v>
      </c>
      <c r="AE77" s="3">
        <v>2</v>
      </c>
      <c r="AF77" s="3">
        <v>5</v>
      </c>
      <c r="AG77" s="3">
        <v>5</v>
      </c>
      <c r="AH77" s="3">
        <v>1</v>
      </c>
      <c r="AI77" s="3">
        <v>1</v>
      </c>
      <c r="AJ77" s="3">
        <v>2</v>
      </c>
      <c r="AK77" s="3">
        <v>2</v>
      </c>
      <c r="AL77" s="3">
        <v>4</v>
      </c>
      <c r="AM77" s="3">
        <v>4</v>
      </c>
      <c r="AN77" s="3">
        <v>0</v>
      </c>
      <c r="AO77" s="3">
        <v>0</v>
      </c>
      <c r="AP77" s="3">
        <v>0</v>
      </c>
      <c r="AQ77" s="3">
        <v>0</v>
      </c>
      <c r="AR77" s="2" t="s">
        <v>63</v>
      </c>
      <c r="AS77" s="2" t="s">
        <v>74</v>
      </c>
      <c r="AT77" s="5" t="str">
        <f>HYPERLINK("http://catalog.hathitrust.org/Record/000160387","HathiTrust Record")</f>
        <v>HathiTrust Record</v>
      </c>
      <c r="AU77" s="5" t="str">
        <f>HYPERLINK("https://creighton-primo.hosted.exlibrisgroup.com/primo-explore/search?tab=default_tab&amp;search_scope=EVERYTHING&amp;vid=01CRU&amp;lang=en_US&amp;offset=0&amp;query=any,contains,991001785939702656","Catalog Record")</f>
        <v>Catalog Record</v>
      </c>
      <c r="AV77" s="5" t="str">
        <f>HYPERLINK("http://www.worldcat.org/oclc/8431508","WorldCat Record")</f>
        <v>WorldCat Record</v>
      </c>
      <c r="AW77" s="2" t="s">
        <v>1102</v>
      </c>
      <c r="AX77" s="2" t="s">
        <v>1103</v>
      </c>
      <c r="AY77" s="2" t="s">
        <v>1104</v>
      </c>
      <c r="AZ77" s="2" t="s">
        <v>1104</v>
      </c>
      <c r="BA77" s="2" t="s">
        <v>1105</v>
      </c>
      <c r="BB77" s="2" t="s">
        <v>79</v>
      </c>
      <c r="BD77" s="2" t="s">
        <v>1106</v>
      </c>
      <c r="BE77" s="2" t="s">
        <v>1107</v>
      </c>
      <c r="BF77" s="2" t="s">
        <v>1108</v>
      </c>
    </row>
    <row r="78" spans="1:58" ht="39.75" customHeight="1" x14ac:dyDescent="0.25">
      <c r="A78" s="1"/>
      <c r="B78" s="1" t="s">
        <v>58</v>
      </c>
      <c r="C78" s="1" t="s">
        <v>59</v>
      </c>
      <c r="D78" s="1" t="s">
        <v>1109</v>
      </c>
      <c r="E78" s="1" t="s">
        <v>1110</v>
      </c>
      <c r="F78" s="1" t="s">
        <v>1111</v>
      </c>
      <c r="H78" s="2" t="s">
        <v>63</v>
      </c>
      <c r="I78" s="2" t="s">
        <v>64</v>
      </c>
      <c r="J78" s="2" t="s">
        <v>74</v>
      </c>
      <c r="K78" s="2" t="s">
        <v>63</v>
      </c>
      <c r="L78" s="2" t="s">
        <v>65</v>
      </c>
      <c r="M78" s="1" t="s">
        <v>1112</v>
      </c>
      <c r="N78" s="1" t="s">
        <v>1113</v>
      </c>
      <c r="O78" s="2" t="s">
        <v>160</v>
      </c>
      <c r="Q78" s="2" t="s">
        <v>69</v>
      </c>
      <c r="R78" s="2" t="s">
        <v>88</v>
      </c>
      <c r="S78" s="1" t="s">
        <v>847</v>
      </c>
      <c r="T78" s="2" t="s">
        <v>71</v>
      </c>
      <c r="U78" s="3">
        <v>3</v>
      </c>
      <c r="V78" s="3">
        <v>4</v>
      </c>
      <c r="W78" s="4" t="s">
        <v>1101</v>
      </c>
      <c r="X78" s="4" t="s">
        <v>1101</v>
      </c>
      <c r="Y78" s="4" t="s">
        <v>105</v>
      </c>
      <c r="Z78" s="4" t="s">
        <v>105</v>
      </c>
      <c r="AA78" s="3">
        <v>487</v>
      </c>
      <c r="AB78" s="3">
        <v>391</v>
      </c>
      <c r="AC78" s="3">
        <v>403</v>
      </c>
      <c r="AD78" s="3">
        <v>4</v>
      </c>
      <c r="AE78" s="3">
        <v>4</v>
      </c>
      <c r="AF78" s="3">
        <v>12</v>
      </c>
      <c r="AG78" s="3">
        <v>12</v>
      </c>
      <c r="AH78" s="3">
        <v>1</v>
      </c>
      <c r="AI78" s="3">
        <v>1</v>
      </c>
      <c r="AJ78" s="3">
        <v>4</v>
      </c>
      <c r="AK78" s="3">
        <v>4</v>
      </c>
      <c r="AL78" s="3">
        <v>8</v>
      </c>
      <c r="AM78" s="3">
        <v>8</v>
      </c>
      <c r="AN78" s="3">
        <v>2</v>
      </c>
      <c r="AO78" s="3">
        <v>2</v>
      </c>
      <c r="AP78" s="3">
        <v>0</v>
      </c>
      <c r="AQ78" s="3">
        <v>0</v>
      </c>
      <c r="AR78" s="2" t="s">
        <v>63</v>
      </c>
      <c r="AS78" s="2" t="s">
        <v>74</v>
      </c>
      <c r="AT78" s="5" t="str">
        <f>HYPERLINK("http://catalog.hathitrust.org/Record/001556777","HathiTrust Record")</f>
        <v>HathiTrust Record</v>
      </c>
      <c r="AU78" s="5" t="str">
        <f>HYPERLINK("https://creighton-primo.hosted.exlibrisgroup.com/primo-explore/search?tab=default_tab&amp;search_scope=EVERYTHING&amp;vid=01CRU&amp;lang=en_US&amp;offset=0&amp;query=any,contains,991001778989702656","Catalog Record")</f>
        <v>Catalog Record</v>
      </c>
      <c r="AV78" s="5" t="str">
        <f>HYPERLINK("http://www.worldcat.org/oclc/723865","WorldCat Record")</f>
        <v>WorldCat Record</v>
      </c>
      <c r="AW78" s="2" t="s">
        <v>1114</v>
      </c>
      <c r="AX78" s="2" t="s">
        <v>1115</v>
      </c>
      <c r="AY78" s="2" t="s">
        <v>1116</v>
      </c>
      <c r="AZ78" s="2" t="s">
        <v>1116</v>
      </c>
      <c r="BA78" s="2" t="s">
        <v>1117</v>
      </c>
      <c r="BB78" s="2" t="s">
        <v>79</v>
      </c>
      <c r="BD78" s="2" t="s">
        <v>1118</v>
      </c>
      <c r="BE78" s="2" t="s">
        <v>1119</v>
      </c>
      <c r="BF78" s="2" t="s">
        <v>1120</v>
      </c>
    </row>
    <row r="79" spans="1:58" ht="39.75" customHeight="1" x14ac:dyDescent="0.25">
      <c r="A79" s="1"/>
      <c r="B79" s="1" t="s">
        <v>58</v>
      </c>
      <c r="C79" s="1" t="s">
        <v>59</v>
      </c>
      <c r="D79" s="1" t="s">
        <v>1121</v>
      </c>
      <c r="E79" s="1" t="s">
        <v>1122</v>
      </c>
      <c r="F79" s="1" t="s">
        <v>1123</v>
      </c>
      <c r="G79" s="2" t="s">
        <v>1124</v>
      </c>
      <c r="H79" s="2" t="s">
        <v>74</v>
      </c>
      <c r="I79" s="2" t="s">
        <v>64</v>
      </c>
      <c r="J79" s="2" t="s">
        <v>63</v>
      </c>
      <c r="K79" s="2" t="s">
        <v>63</v>
      </c>
      <c r="L79" s="2" t="s">
        <v>65</v>
      </c>
      <c r="N79" s="1" t="s">
        <v>1125</v>
      </c>
      <c r="O79" s="2" t="s">
        <v>1126</v>
      </c>
      <c r="Q79" s="2" t="s">
        <v>69</v>
      </c>
      <c r="R79" s="2" t="s">
        <v>88</v>
      </c>
      <c r="S79" s="1" t="s">
        <v>1127</v>
      </c>
      <c r="T79" s="2" t="s">
        <v>71</v>
      </c>
      <c r="U79" s="3">
        <v>1</v>
      </c>
      <c r="V79" s="3">
        <v>1</v>
      </c>
      <c r="W79" s="4" t="s">
        <v>933</v>
      </c>
      <c r="X79" s="4" t="s">
        <v>933</v>
      </c>
      <c r="Y79" s="4" t="s">
        <v>250</v>
      </c>
      <c r="Z79" s="4" t="s">
        <v>250</v>
      </c>
      <c r="AA79" s="3">
        <v>260</v>
      </c>
      <c r="AB79" s="3">
        <v>201</v>
      </c>
      <c r="AC79" s="3">
        <v>208</v>
      </c>
      <c r="AD79" s="3">
        <v>1</v>
      </c>
      <c r="AE79" s="3">
        <v>1</v>
      </c>
      <c r="AF79" s="3">
        <v>6</v>
      </c>
      <c r="AG79" s="3">
        <v>6</v>
      </c>
      <c r="AH79" s="3">
        <v>1</v>
      </c>
      <c r="AI79" s="3">
        <v>1</v>
      </c>
      <c r="AJ79" s="3">
        <v>3</v>
      </c>
      <c r="AK79" s="3">
        <v>3</v>
      </c>
      <c r="AL79" s="3">
        <v>4</v>
      </c>
      <c r="AM79" s="3">
        <v>4</v>
      </c>
      <c r="AN79" s="3">
        <v>0</v>
      </c>
      <c r="AO79" s="3">
        <v>0</v>
      </c>
      <c r="AP79" s="3">
        <v>0</v>
      </c>
      <c r="AQ79" s="3">
        <v>0</v>
      </c>
      <c r="AR79" s="2" t="s">
        <v>63</v>
      </c>
      <c r="AS79" s="2" t="s">
        <v>74</v>
      </c>
      <c r="AT79" s="5" t="str">
        <f>HYPERLINK("http://catalog.hathitrust.org/Record/000368163","HathiTrust Record")</f>
        <v>HathiTrust Record</v>
      </c>
      <c r="AU79" s="5" t="str">
        <f>HYPERLINK("https://creighton-primo.hosted.exlibrisgroup.com/primo-explore/search?tab=default_tab&amp;search_scope=EVERYTHING&amp;vid=01CRU&amp;lang=en_US&amp;offset=0&amp;query=any,contains,991004993219702656","Catalog Record")</f>
        <v>Catalog Record</v>
      </c>
      <c r="AV79" s="5" t="str">
        <f>HYPERLINK("http://www.worldcat.org/oclc/6487905","WorldCat Record")</f>
        <v>WorldCat Record</v>
      </c>
      <c r="AW79" s="2" t="s">
        <v>1128</v>
      </c>
      <c r="AX79" s="2" t="s">
        <v>1129</v>
      </c>
      <c r="AY79" s="2" t="s">
        <v>1130</v>
      </c>
      <c r="AZ79" s="2" t="s">
        <v>1130</v>
      </c>
      <c r="BA79" s="2" t="s">
        <v>1131</v>
      </c>
      <c r="BB79" s="2" t="s">
        <v>79</v>
      </c>
      <c r="BD79" s="2" t="s">
        <v>1132</v>
      </c>
      <c r="BE79" s="2" t="s">
        <v>1133</v>
      </c>
      <c r="BF79" s="2" t="s">
        <v>1134</v>
      </c>
    </row>
    <row r="80" spans="1:58" ht="39.75" customHeight="1" x14ac:dyDescent="0.25">
      <c r="A80" s="1"/>
      <c r="B80" s="1" t="s">
        <v>58</v>
      </c>
      <c r="C80" s="1" t="s">
        <v>59</v>
      </c>
      <c r="D80" s="1" t="s">
        <v>1121</v>
      </c>
      <c r="E80" s="1" t="s">
        <v>1122</v>
      </c>
      <c r="F80" s="1" t="s">
        <v>1123</v>
      </c>
      <c r="G80" s="2" t="s">
        <v>798</v>
      </c>
      <c r="H80" s="2" t="s">
        <v>74</v>
      </c>
      <c r="I80" s="2" t="s">
        <v>64</v>
      </c>
      <c r="J80" s="2" t="s">
        <v>63</v>
      </c>
      <c r="K80" s="2" t="s">
        <v>63</v>
      </c>
      <c r="L80" s="2" t="s">
        <v>65</v>
      </c>
      <c r="N80" s="1" t="s">
        <v>1125</v>
      </c>
      <c r="O80" s="2" t="s">
        <v>1126</v>
      </c>
      <c r="Q80" s="2" t="s">
        <v>69</v>
      </c>
      <c r="R80" s="2" t="s">
        <v>88</v>
      </c>
      <c r="S80" s="1" t="s">
        <v>1127</v>
      </c>
      <c r="T80" s="2" t="s">
        <v>71</v>
      </c>
      <c r="U80" s="3">
        <v>0</v>
      </c>
      <c r="V80" s="3">
        <v>1</v>
      </c>
      <c r="X80" s="4" t="s">
        <v>933</v>
      </c>
      <c r="Y80" s="4" t="s">
        <v>250</v>
      </c>
      <c r="Z80" s="4" t="s">
        <v>250</v>
      </c>
      <c r="AA80" s="3">
        <v>260</v>
      </c>
      <c r="AB80" s="3">
        <v>201</v>
      </c>
      <c r="AC80" s="3">
        <v>208</v>
      </c>
      <c r="AD80" s="3">
        <v>1</v>
      </c>
      <c r="AE80" s="3">
        <v>1</v>
      </c>
      <c r="AF80" s="3">
        <v>6</v>
      </c>
      <c r="AG80" s="3">
        <v>6</v>
      </c>
      <c r="AH80" s="3">
        <v>1</v>
      </c>
      <c r="AI80" s="3">
        <v>1</v>
      </c>
      <c r="AJ80" s="3">
        <v>3</v>
      </c>
      <c r="AK80" s="3">
        <v>3</v>
      </c>
      <c r="AL80" s="3">
        <v>4</v>
      </c>
      <c r="AM80" s="3">
        <v>4</v>
      </c>
      <c r="AN80" s="3">
        <v>0</v>
      </c>
      <c r="AO80" s="3">
        <v>0</v>
      </c>
      <c r="AP80" s="3">
        <v>0</v>
      </c>
      <c r="AQ80" s="3">
        <v>0</v>
      </c>
      <c r="AR80" s="2" t="s">
        <v>63</v>
      </c>
      <c r="AS80" s="2" t="s">
        <v>74</v>
      </c>
      <c r="AT80" s="5" t="str">
        <f>HYPERLINK("http://catalog.hathitrust.org/Record/000368163","HathiTrust Record")</f>
        <v>HathiTrust Record</v>
      </c>
      <c r="AU80" s="5" t="str">
        <f>HYPERLINK("https://creighton-primo.hosted.exlibrisgroup.com/primo-explore/search?tab=default_tab&amp;search_scope=EVERYTHING&amp;vid=01CRU&amp;lang=en_US&amp;offset=0&amp;query=any,contains,991004993219702656","Catalog Record")</f>
        <v>Catalog Record</v>
      </c>
      <c r="AV80" s="5" t="str">
        <f>HYPERLINK("http://www.worldcat.org/oclc/6487905","WorldCat Record")</f>
        <v>WorldCat Record</v>
      </c>
      <c r="AW80" s="2" t="s">
        <v>1128</v>
      </c>
      <c r="AX80" s="2" t="s">
        <v>1129</v>
      </c>
      <c r="AY80" s="2" t="s">
        <v>1130</v>
      </c>
      <c r="AZ80" s="2" t="s">
        <v>1130</v>
      </c>
      <c r="BA80" s="2" t="s">
        <v>1131</v>
      </c>
      <c r="BB80" s="2" t="s">
        <v>79</v>
      </c>
      <c r="BD80" s="2" t="s">
        <v>1132</v>
      </c>
      <c r="BE80" s="2" t="s">
        <v>1135</v>
      </c>
      <c r="BF80" s="2" t="s">
        <v>1136</v>
      </c>
    </row>
    <row r="81" spans="1:58" ht="39.75" customHeight="1" x14ac:dyDescent="0.25">
      <c r="A81" s="1"/>
      <c r="B81" s="1" t="s">
        <v>58</v>
      </c>
      <c r="C81" s="1" t="s">
        <v>59</v>
      </c>
      <c r="D81" s="1" t="s">
        <v>1137</v>
      </c>
      <c r="E81" s="1" t="s">
        <v>1138</v>
      </c>
      <c r="F81" s="1" t="s">
        <v>1139</v>
      </c>
      <c r="H81" s="2" t="s">
        <v>63</v>
      </c>
      <c r="I81" s="2" t="s">
        <v>64</v>
      </c>
      <c r="J81" s="2" t="s">
        <v>63</v>
      </c>
      <c r="K81" s="2" t="s">
        <v>63</v>
      </c>
      <c r="L81" s="2" t="s">
        <v>65</v>
      </c>
      <c r="N81" s="1" t="s">
        <v>1140</v>
      </c>
      <c r="O81" s="2" t="s">
        <v>248</v>
      </c>
      <c r="Q81" s="2" t="s">
        <v>69</v>
      </c>
      <c r="R81" s="2" t="s">
        <v>207</v>
      </c>
      <c r="T81" s="2" t="s">
        <v>71</v>
      </c>
      <c r="U81" s="3">
        <v>4</v>
      </c>
      <c r="V81" s="3">
        <v>4</v>
      </c>
      <c r="W81" s="4" t="s">
        <v>967</v>
      </c>
      <c r="X81" s="4" t="s">
        <v>967</v>
      </c>
      <c r="Y81" s="4" t="s">
        <v>1033</v>
      </c>
      <c r="Z81" s="4" t="s">
        <v>1033</v>
      </c>
      <c r="AA81" s="3">
        <v>97</v>
      </c>
      <c r="AB81" s="3">
        <v>62</v>
      </c>
      <c r="AC81" s="3">
        <v>70</v>
      </c>
      <c r="AD81" s="3">
        <v>1</v>
      </c>
      <c r="AE81" s="3">
        <v>1</v>
      </c>
      <c r="AF81" s="3">
        <v>1</v>
      </c>
      <c r="AG81" s="3">
        <v>1</v>
      </c>
      <c r="AH81" s="3">
        <v>0</v>
      </c>
      <c r="AI81" s="3">
        <v>0</v>
      </c>
      <c r="AJ81" s="3">
        <v>1</v>
      </c>
      <c r="AK81" s="3">
        <v>1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2" t="s">
        <v>63</v>
      </c>
      <c r="AS81" s="2" t="s">
        <v>74</v>
      </c>
      <c r="AT81" s="5" t="str">
        <f>HYPERLINK("http://catalog.hathitrust.org/Record/000868399","HathiTrust Record")</f>
        <v>HathiTrust Record</v>
      </c>
      <c r="AU81" s="5" t="str">
        <f>HYPERLINK("https://creighton-primo.hosted.exlibrisgroup.com/primo-explore/search?tab=default_tab&amp;search_scope=EVERYTHING&amp;vid=01CRU&amp;lang=en_US&amp;offset=0&amp;query=any,contains,991001000139702656","Catalog Record")</f>
        <v>Catalog Record</v>
      </c>
      <c r="AV81" s="5" t="str">
        <f>HYPERLINK("http://www.worldcat.org/oclc/15197002","WorldCat Record")</f>
        <v>WorldCat Record</v>
      </c>
      <c r="AW81" s="2" t="s">
        <v>1141</v>
      </c>
      <c r="AX81" s="2" t="s">
        <v>1142</v>
      </c>
      <c r="AY81" s="2" t="s">
        <v>1143</v>
      </c>
      <c r="AZ81" s="2" t="s">
        <v>1143</v>
      </c>
      <c r="BA81" s="2" t="s">
        <v>1144</v>
      </c>
      <c r="BB81" s="2" t="s">
        <v>79</v>
      </c>
      <c r="BD81" s="2" t="s">
        <v>1145</v>
      </c>
      <c r="BE81" s="2" t="s">
        <v>1146</v>
      </c>
      <c r="BF81" s="2" t="s">
        <v>1147</v>
      </c>
    </row>
    <row r="82" spans="1:58" ht="39.75" customHeight="1" x14ac:dyDescent="0.25">
      <c r="A82" s="1"/>
      <c r="B82" s="1" t="s">
        <v>58</v>
      </c>
      <c r="C82" s="1" t="s">
        <v>59</v>
      </c>
      <c r="D82" s="1" t="s">
        <v>1148</v>
      </c>
      <c r="E82" s="1" t="s">
        <v>1149</v>
      </c>
      <c r="F82" s="1" t="s">
        <v>1150</v>
      </c>
      <c r="H82" s="2" t="s">
        <v>63</v>
      </c>
      <c r="I82" s="2" t="s">
        <v>64</v>
      </c>
      <c r="J82" s="2" t="s">
        <v>63</v>
      </c>
      <c r="K82" s="2" t="s">
        <v>63</v>
      </c>
      <c r="L82" s="2" t="s">
        <v>65</v>
      </c>
      <c r="N82" s="1" t="s">
        <v>1151</v>
      </c>
      <c r="O82" s="2" t="s">
        <v>530</v>
      </c>
      <c r="Q82" s="2" t="s">
        <v>69</v>
      </c>
      <c r="R82" s="2" t="s">
        <v>612</v>
      </c>
      <c r="T82" s="2" t="s">
        <v>71</v>
      </c>
      <c r="U82" s="3">
        <v>4</v>
      </c>
      <c r="V82" s="3">
        <v>4</v>
      </c>
      <c r="W82" s="4" t="s">
        <v>1152</v>
      </c>
      <c r="X82" s="4" t="s">
        <v>1152</v>
      </c>
      <c r="Y82" s="4" t="s">
        <v>614</v>
      </c>
      <c r="Z82" s="4" t="s">
        <v>614</v>
      </c>
      <c r="AA82" s="3">
        <v>109</v>
      </c>
      <c r="AB82" s="3">
        <v>81</v>
      </c>
      <c r="AC82" s="3">
        <v>84</v>
      </c>
      <c r="AD82" s="3">
        <v>2</v>
      </c>
      <c r="AE82" s="3">
        <v>2</v>
      </c>
      <c r="AF82" s="3">
        <v>1</v>
      </c>
      <c r="AG82" s="3">
        <v>1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1</v>
      </c>
      <c r="AO82" s="3">
        <v>1</v>
      </c>
      <c r="AP82" s="3">
        <v>0</v>
      </c>
      <c r="AQ82" s="3">
        <v>0</v>
      </c>
      <c r="AR82" s="2" t="s">
        <v>63</v>
      </c>
      <c r="AS82" s="2" t="s">
        <v>74</v>
      </c>
      <c r="AT82" s="5" t="str">
        <f>HYPERLINK("http://catalog.hathitrust.org/Record/002444832","HathiTrust Record")</f>
        <v>HathiTrust Record</v>
      </c>
      <c r="AU82" s="5" t="str">
        <f>HYPERLINK("https://creighton-primo.hosted.exlibrisgroup.com/primo-explore/search?tab=default_tab&amp;search_scope=EVERYTHING&amp;vid=01CRU&amp;lang=en_US&amp;offset=0&amp;query=any,contains,991001767319702656","Catalog Record")</f>
        <v>Catalog Record</v>
      </c>
      <c r="AV82" s="5" t="str">
        <f>HYPERLINK("http://www.worldcat.org/oclc/22314261","WorldCat Record")</f>
        <v>WorldCat Record</v>
      </c>
      <c r="AW82" s="2" t="s">
        <v>1153</v>
      </c>
      <c r="AX82" s="2" t="s">
        <v>1154</v>
      </c>
      <c r="AY82" s="2" t="s">
        <v>1155</v>
      </c>
      <c r="AZ82" s="2" t="s">
        <v>1155</v>
      </c>
      <c r="BA82" s="2" t="s">
        <v>1156</v>
      </c>
      <c r="BB82" s="2" t="s">
        <v>79</v>
      </c>
      <c r="BD82" s="2" t="s">
        <v>1157</v>
      </c>
      <c r="BE82" s="2" t="s">
        <v>1158</v>
      </c>
      <c r="BF82" s="2" t="s">
        <v>1159</v>
      </c>
    </row>
    <row r="83" spans="1:58" ht="39.75" customHeight="1" x14ac:dyDescent="0.25">
      <c r="A83" s="1"/>
      <c r="B83" s="1" t="s">
        <v>58</v>
      </c>
      <c r="C83" s="1" t="s">
        <v>59</v>
      </c>
      <c r="D83" s="1" t="s">
        <v>1160</v>
      </c>
      <c r="E83" s="1" t="s">
        <v>1161</v>
      </c>
      <c r="F83" s="1" t="s">
        <v>1162</v>
      </c>
      <c r="H83" s="2" t="s">
        <v>63</v>
      </c>
      <c r="I83" s="2" t="s">
        <v>64</v>
      </c>
      <c r="J83" s="2" t="s">
        <v>63</v>
      </c>
      <c r="K83" s="2" t="s">
        <v>63</v>
      </c>
      <c r="L83" s="2" t="s">
        <v>65</v>
      </c>
      <c r="M83" s="1" t="s">
        <v>1163</v>
      </c>
      <c r="N83" s="1" t="s">
        <v>1164</v>
      </c>
      <c r="O83" s="2" t="s">
        <v>1165</v>
      </c>
      <c r="P83" s="1" t="s">
        <v>161</v>
      </c>
      <c r="Q83" s="2" t="s">
        <v>69</v>
      </c>
      <c r="R83" s="2" t="s">
        <v>88</v>
      </c>
      <c r="T83" s="2" t="s">
        <v>71</v>
      </c>
      <c r="U83" s="3">
        <v>1</v>
      </c>
      <c r="V83" s="3">
        <v>1</v>
      </c>
      <c r="W83" s="4" t="s">
        <v>956</v>
      </c>
      <c r="X83" s="4" t="s">
        <v>956</v>
      </c>
      <c r="Y83" s="4" t="s">
        <v>105</v>
      </c>
      <c r="Z83" s="4" t="s">
        <v>105</v>
      </c>
      <c r="AA83" s="3">
        <v>226</v>
      </c>
      <c r="AB83" s="3">
        <v>148</v>
      </c>
      <c r="AC83" s="3">
        <v>252</v>
      </c>
      <c r="AD83" s="3">
        <v>3</v>
      </c>
      <c r="AE83" s="3">
        <v>3</v>
      </c>
      <c r="AF83" s="3">
        <v>7</v>
      </c>
      <c r="AG83" s="3">
        <v>13</v>
      </c>
      <c r="AH83" s="3">
        <v>4</v>
      </c>
      <c r="AI83" s="3">
        <v>6</v>
      </c>
      <c r="AJ83" s="3">
        <v>0</v>
      </c>
      <c r="AK83" s="3">
        <v>2</v>
      </c>
      <c r="AL83" s="3">
        <v>2</v>
      </c>
      <c r="AM83" s="3">
        <v>7</v>
      </c>
      <c r="AN83" s="3">
        <v>2</v>
      </c>
      <c r="AO83" s="3">
        <v>2</v>
      </c>
      <c r="AP83" s="3">
        <v>0</v>
      </c>
      <c r="AQ83" s="3">
        <v>0</v>
      </c>
      <c r="AR83" s="2" t="s">
        <v>74</v>
      </c>
      <c r="AS83" s="2" t="s">
        <v>63</v>
      </c>
      <c r="AT83" s="5" t="str">
        <f>HYPERLINK("http://catalog.hathitrust.org/Record/001556065","HathiTrust Record")</f>
        <v>HathiTrust Record</v>
      </c>
      <c r="AU83" s="5" t="str">
        <f>HYPERLINK("https://creighton-primo.hosted.exlibrisgroup.com/primo-explore/search?tab=default_tab&amp;search_scope=EVERYTHING&amp;vid=01CRU&amp;lang=en_US&amp;offset=0&amp;query=any,contains,991003755889702656","Catalog Record")</f>
        <v>Catalog Record</v>
      </c>
      <c r="AV83" s="5" t="str">
        <f>HYPERLINK("http://www.worldcat.org/oclc/1436556","WorldCat Record")</f>
        <v>WorldCat Record</v>
      </c>
      <c r="AW83" s="2" t="s">
        <v>1166</v>
      </c>
      <c r="AX83" s="2" t="s">
        <v>1167</v>
      </c>
      <c r="AY83" s="2" t="s">
        <v>1168</v>
      </c>
      <c r="AZ83" s="2" t="s">
        <v>1168</v>
      </c>
      <c r="BA83" s="2" t="s">
        <v>1169</v>
      </c>
      <c r="BB83" s="2" t="s">
        <v>79</v>
      </c>
      <c r="BE83" s="2" t="s">
        <v>1170</v>
      </c>
      <c r="BF83" s="2" t="s">
        <v>1171</v>
      </c>
    </row>
    <row r="84" spans="1:58" ht="39.75" customHeight="1" x14ac:dyDescent="0.25">
      <c r="A84" s="1"/>
      <c r="B84" s="1" t="s">
        <v>58</v>
      </c>
      <c r="C84" s="1" t="s">
        <v>59</v>
      </c>
      <c r="D84" s="1" t="s">
        <v>1172</v>
      </c>
      <c r="E84" s="1" t="s">
        <v>1173</v>
      </c>
      <c r="F84" s="1" t="s">
        <v>1174</v>
      </c>
      <c r="H84" s="2" t="s">
        <v>63</v>
      </c>
      <c r="I84" s="2" t="s">
        <v>64</v>
      </c>
      <c r="J84" s="2" t="s">
        <v>63</v>
      </c>
      <c r="K84" s="2" t="s">
        <v>63</v>
      </c>
      <c r="L84" s="2" t="s">
        <v>65</v>
      </c>
      <c r="M84" s="1" t="s">
        <v>1175</v>
      </c>
      <c r="N84" s="1" t="s">
        <v>1176</v>
      </c>
      <c r="O84" s="2" t="s">
        <v>1177</v>
      </c>
      <c r="P84" s="1" t="s">
        <v>306</v>
      </c>
      <c r="Q84" s="2" t="s">
        <v>69</v>
      </c>
      <c r="R84" s="2" t="s">
        <v>944</v>
      </c>
      <c r="T84" s="2" t="s">
        <v>71</v>
      </c>
      <c r="U84" s="3">
        <v>6</v>
      </c>
      <c r="V84" s="3">
        <v>6</v>
      </c>
      <c r="W84" s="4" t="s">
        <v>1178</v>
      </c>
      <c r="X84" s="4" t="s">
        <v>1178</v>
      </c>
      <c r="Y84" s="4" t="s">
        <v>105</v>
      </c>
      <c r="Z84" s="4" t="s">
        <v>105</v>
      </c>
      <c r="AA84" s="3">
        <v>100</v>
      </c>
      <c r="AB84" s="3">
        <v>82</v>
      </c>
      <c r="AC84" s="3">
        <v>336</v>
      </c>
      <c r="AD84" s="3">
        <v>1</v>
      </c>
      <c r="AE84" s="3">
        <v>3</v>
      </c>
      <c r="AF84" s="3">
        <v>3</v>
      </c>
      <c r="AG84" s="3">
        <v>8</v>
      </c>
      <c r="AH84" s="3">
        <v>1</v>
      </c>
      <c r="AI84" s="3">
        <v>2</v>
      </c>
      <c r="AJ84" s="3">
        <v>0</v>
      </c>
      <c r="AK84" s="3">
        <v>1</v>
      </c>
      <c r="AL84" s="3">
        <v>2</v>
      </c>
      <c r="AM84" s="3">
        <v>5</v>
      </c>
      <c r="AN84" s="3">
        <v>0</v>
      </c>
      <c r="AO84" s="3">
        <v>2</v>
      </c>
      <c r="AP84" s="3">
        <v>0</v>
      </c>
      <c r="AQ84" s="3">
        <v>0</v>
      </c>
      <c r="AR84" s="2" t="s">
        <v>63</v>
      </c>
      <c r="AS84" s="2" t="s">
        <v>74</v>
      </c>
      <c r="AT84" s="5" t="str">
        <f>HYPERLINK("http://catalog.hathitrust.org/Record/001556068","HathiTrust Record")</f>
        <v>HathiTrust Record</v>
      </c>
      <c r="AU84" s="5" t="str">
        <f>HYPERLINK("https://creighton-primo.hosted.exlibrisgroup.com/primo-explore/search?tab=default_tab&amp;search_scope=EVERYTHING&amp;vid=01CRU&amp;lang=en_US&amp;offset=0&amp;query=any,contains,991004088629702656","Catalog Record")</f>
        <v>Catalog Record</v>
      </c>
      <c r="AV84" s="5" t="str">
        <f>HYPERLINK("http://www.worldcat.org/oclc/2338204","WorldCat Record")</f>
        <v>WorldCat Record</v>
      </c>
      <c r="AW84" s="2" t="s">
        <v>1179</v>
      </c>
      <c r="AX84" s="2" t="s">
        <v>1180</v>
      </c>
      <c r="AY84" s="2" t="s">
        <v>1181</v>
      </c>
      <c r="AZ84" s="2" t="s">
        <v>1181</v>
      </c>
      <c r="BA84" s="2" t="s">
        <v>1182</v>
      </c>
      <c r="BB84" s="2" t="s">
        <v>79</v>
      </c>
      <c r="BE84" s="2" t="s">
        <v>1183</v>
      </c>
      <c r="BF84" s="2" t="s">
        <v>1184</v>
      </c>
    </row>
    <row r="85" spans="1:58" ht="39.75" customHeight="1" x14ac:dyDescent="0.25">
      <c r="A85" s="1"/>
      <c r="B85" s="1" t="s">
        <v>58</v>
      </c>
      <c r="C85" s="1" t="s">
        <v>59</v>
      </c>
      <c r="D85" s="1" t="s">
        <v>1185</v>
      </c>
      <c r="E85" s="1" t="s">
        <v>1186</v>
      </c>
      <c r="F85" s="1" t="s">
        <v>1187</v>
      </c>
      <c r="H85" s="2" t="s">
        <v>63</v>
      </c>
      <c r="I85" s="2" t="s">
        <v>64</v>
      </c>
      <c r="J85" s="2" t="s">
        <v>63</v>
      </c>
      <c r="K85" s="2" t="s">
        <v>63</v>
      </c>
      <c r="L85" s="2" t="s">
        <v>65</v>
      </c>
      <c r="M85" s="1" t="s">
        <v>1188</v>
      </c>
      <c r="N85" s="1" t="s">
        <v>1189</v>
      </c>
      <c r="O85" s="2" t="s">
        <v>1177</v>
      </c>
      <c r="P85" s="1" t="s">
        <v>306</v>
      </c>
      <c r="Q85" s="2" t="s">
        <v>69</v>
      </c>
      <c r="R85" s="2" t="s">
        <v>405</v>
      </c>
      <c r="T85" s="2" t="s">
        <v>71</v>
      </c>
      <c r="U85" s="3">
        <v>2</v>
      </c>
      <c r="V85" s="3">
        <v>2</v>
      </c>
      <c r="W85" s="4" t="s">
        <v>1190</v>
      </c>
      <c r="X85" s="4" t="s">
        <v>1190</v>
      </c>
      <c r="Y85" s="4" t="s">
        <v>105</v>
      </c>
      <c r="Z85" s="4" t="s">
        <v>105</v>
      </c>
      <c r="AA85" s="3">
        <v>334</v>
      </c>
      <c r="AB85" s="3">
        <v>260</v>
      </c>
      <c r="AC85" s="3">
        <v>521</v>
      </c>
      <c r="AD85" s="3">
        <v>3</v>
      </c>
      <c r="AE85" s="3">
        <v>5</v>
      </c>
      <c r="AF85" s="3">
        <v>7</v>
      </c>
      <c r="AG85" s="3">
        <v>20</v>
      </c>
      <c r="AH85" s="3">
        <v>3</v>
      </c>
      <c r="AI85" s="3">
        <v>6</v>
      </c>
      <c r="AJ85" s="3">
        <v>1</v>
      </c>
      <c r="AK85" s="3">
        <v>4</v>
      </c>
      <c r="AL85" s="3">
        <v>2</v>
      </c>
      <c r="AM85" s="3">
        <v>10</v>
      </c>
      <c r="AN85" s="3">
        <v>2</v>
      </c>
      <c r="AO85" s="3">
        <v>4</v>
      </c>
      <c r="AP85" s="3">
        <v>0</v>
      </c>
      <c r="AQ85" s="3">
        <v>0</v>
      </c>
      <c r="AR85" s="2" t="s">
        <v>63</v>
      </c>
      <c r="AS85" s="2" t="s">
        <v>74</v>
      </c>
      <c r="AT85" s="5" t="str">
        <f>HYPERLINK("http://catalog.hathitrust.org/Record/001556080","HathiTrust Record")</f>
        <v>HathiTrust Record</v>
      </c>
      <c r="AU85" s="5" t="str">
        <f>HYPERLINK("https://creighton-primo.hosted.exlibrisgroup.com/primo-explore/search?tab=default_tab&amp;search_scope=EVERYTHING&amp;vid=01CRU&amp;lang=en_US&amp;offset=0&amp;query=any,contains,991000823179702656","Catalog Record")</f>
        <v>Catalog Record</v>
      </c>
      <c r="AV85" s="5" t="str">
        <f>HYPERLINK("http://www.worldcat.org/oclc/13396843","WorldCat Record")</f>
        <v>WorldCat Record</v>
      </c>
      <c r="AW85" s="2" t="s">
        <v>1191</v>
      </c>
      <c r="AX85" s="2" t="s">
        <v>1192</v>
      </c>
      <c r="AY85" s="2" t="s">
        <v>1193</v>
      </c>
      <c r="AZ85" s="2" t="s">
        <v>1193</v>
      </c>
      <c r="BA85" s="2" t="s">
        <v>1194</v>
      </c>
      <c r="BB85" s="2" t="s">
        <v>79</v>
      </c>
      <c r="BE85" s="2" t="s">
        <v>1195</v>
      </c>
      <c r="BF85" s="2" t="s">
        <v>1196</v>
      </c>
    </row>
    <row r="86" spans="1:58" ht="39.75" customHeight="1" x14ac:dyDescent="0.25">
      <c r="A86" s="1"/>
      <c r="B86" s="1" t="s">
        <v>58</v>
      </c>
      <c r="C86" s="1" t="s">
        <v>59</v>
      </c>
      <c r="D86" s="1" t="s">
        <v>1197</v>
      </c>
      <c r="E86" s="1" t="s">
        <v>1198</v>
      </c>
      <c r="F86" s="1" t="s">
        <v>1199</v>
      </c>
      <c r="H86" s="2" t="s">
        <v>63</v>
      </c>
      <c r="I86" s="2" t="s">
        <v>64</v>
      </c>
      <c r="J86" s="2" t="s">
        <v>63</v>
      </c>
      <c r="K86" s="2" t="s">
        <v>63</v>
      </c>
      <c r="L86" s="2" t="s">
        <v>65</v>
      </c>
      <c r="M86" s="1" t="s">
        <v>1200</v>
      </c>
      <c r="N86" s="1" t="s">
        <v>1201</v>
      </c>
      <c r="O86" s="2" t="s">
        <v>931</v>
      </c>
      <c r="Q86" s="2" t="s">
        <v>69</v>
      </c>
      <c r="R86" s="2" t="s">
        <v>944</v>
      </c>
      <c r="T86" s="2" t="s">
        <v>71</v>
      </c>
      <c r="U86" s="3">
        <v>2</v>
      </c>
      <c r="V86" s="3">
        <v>2</v>
      </c>
      <c r="W86" s="4" t="s">
        <v>1202</v>
      </c>
      <c r="X86" s="4" t="s">
        <v>1202</v>
      </c>
      <c r="Y86" s="4" t="s">
        <v>105</v>
      </c>
      <c r="Z86" s="4" t="s">
        <v>105</v>
      </c>
      <c r="AA86" s="3">
        <v>192</v>
      </c>
      <c r="AB86" s="3">
        <v>169</v>
      </c>
      <c r="AC86" s="3">
        <v>438</v>
      </c>
      <c r="AD86" s="3">
        <v>2</v>
      </c>
      <c r="AE86" s="3">
        <v>3</v>
      </c>
      <c r="AF86" s="3">
        <v>4</v>
      </c>
      <c r="AG86" s="3">
        <v>15</v>
      </c>
      <c r="AH86" s="3">
        <v>2</v>
      </c>
      <c r="AI86" s="3">
        <v>6</v>
      </c>
      <c r="AJ86" s="3">
        <v>0</v>
      </c>
      <c r="AK86" s="3">
        <v>2</v>
      </c>
      <c r="AL86" s="3">
        <v>1</v>
      </c>
      <c r="AM86" s="3">
        <v>7</v>
      </c>
      <c r="AN86" s="3">
        <v>1</v>
      </c>
      <c r="AO86" s="3">
        <v>2</v>
      </c>
      <c r="AP86" s="3">
        <v>0</v>
      </c>
      <c r="AQ86" s="3">
        <v>0</v>
      </c>
      <c r="AR86" s="2" t="s">
        <v>63</v>
      </c>
      <c r="AS86" s="2" t="s">
        <v>63</v>
      </c>
      <c r="AU86" s="5" t="str">
        <f>HYPERLINK("https://creighton-primo.hosted.exlibrisgroup.com/primo-explore/search?tab=default_tab&amp;search_scope=EVERYTHING&amp;vid=01CRU&amp;lang=en_US&amp;offset=0&amp;query=any,contains,991002421059702656","Catalog Record")</f>
        <v>Catalog Record</v>
      </c>
      <c r="AV86" s="5" t="str">
        <f>HYPERLINK("http://www.worldcat.org/oclc/342790","WorldCat Record")</f>
        <v>WorldCat Record</v>
      </c>
      <c r="AW86" s="2" t="s">
        <v>1203</v>
      </c>
      <c r="AX86" s="2" t="s">
        <v>1204</v>
      </c>
      <c r="AY86" s="2" t="s">
        <v>1205</v>
      </c>
      <c r="AZ86" s="2" t="s">
        <v>1205</v>
      </c>
      <c r="BA86" s="2" t="s">
        <v>1206</v>
      </c>
      <c r="BB86" s="2" t="s">
        <v>79</v>
      </c>
      <c r="BE86" s="2" t="s">
        <v>1207</v>
      </c>
      <c r="BF86" s="2" t="s">
        <v>1208</v>
      </c>
    </row>
    <row r="87" spans="1:58" ht="39.75" customHeight="1" x14ac:dyDescent="0.25">
      <c r="A87" s="1"/>
      <c r="B87" s="1" t="s">
        <v>58</v>
      </c>
      <c r="C87" s="1" t="s">
        <v>59</v>
      </c>
      <c r="D87" s="1" t="s">
        <v>1209</v>
      </c>
      <c r="E87" s="1" t="s">
        <v>1210</v>
      </c>
      <c r="F87" s="1" t="s">
        <v>1211</v>
      </c>
      <c r="H87" s="2" t="s">
        <v>63</v>
      </c>
      <c r="I87" s="2" t="s">
        <v>64</v>
      </c>
      <c r="J87" s="2" t="s">
        <v>63</v>
      </c>
      <c r="K87" s="2" t="s">
        <v>74</v>
      </c>
      <c r="L87" s="2" t="s">
        <v>65</v>
      </c>
      <c r="M87" s="1" t="s">
        <v>1212</v>
      </c>
      <c r="N87" s="1" t="s">
        <v>1213</v>
      </c>
      <c r="O87" s="2" t="s">
        <v>160</v>
      </c>
      <c r="P87" s="1" t="s">
        <v>1214</v>
      </c>
      <c r="Q87" s="2" t="s">
        <v>69</v>
      </c>
      <c r="R87" s="2" t="s">
        <v>102</v>
      </c>
      <c r="T87" s="2" t="s">
        <v>71</v>
      </c>
      <c r="U87" s="3">
        <v>4</v>
      </c>
      <c r="V87" s="3">
        <v>4</v>
      </c>
      <c r="W87" s="4" t="s">
        <v>1178</v>
      </c>
      <c r="X87" s="4" t="s">
        <v>1178</v>
      </c>
      <c r="Y87" s="4" t="s">
        <v>105</v>
      </c>
      <c r="Z87" s="4" t="s">
        <v>105</v>
      </c>
      <c r="AA87" s="3">
        <v>324</v>
      </c>
      <c r="AB87" s="3">
        <v>242</v>
      </c>
      <c r="AC87" s="3">
        <v>846</v>
      </c>
      <c r="AD87" s="3">
        <v>3</v>
      </c>
      <c r="AE87" s="3">
        <v>8</v>
      </c>
      <c r="AF87" s="3">
        <v>12</v>
      </c>
      <c r="AG87" s="3">
        <v>34</v>
      </c>
      <c r="AH87" s="3">
        <v>2</v>
      </c>
      <c r="AI87" s="3">
        <v>13</v>
      </c>
      <c r="AJ87" s="3">
        <v>3</v>
      </c>
      <c r="AK87" s="3">
        <v>8</v>
      </c>
      <c r="AL87" s="3">
        <v>9</v>
      </c>
      <c r="AM87" s="3">
        <v>16</v>
      </c>
      <c r="AN87" s="3">
        <v>2</v>
      </c>
      <c r="AO87" s="3">
        <v>5</v>
      </c>
      <c r="AP87" s="3">
        <v>0</v>
      </c>
      <c r="AQ87" s="3">
        <v>0</v>
      </c>
      <c r="AR87" s="2" t="s">
        <v>63</v>
      </c>
      <c r="AS87" s="2" t="s">
        <v>74</v>
      </c>
      <c r="AT87" s="5" t="str">
        <f>HYPERLINK("http://catalog.hathitrust.org/Record/000010928","HathiTrust Record")</f>
        <v>HathiTrust Record</v>
      </c>
      <c r="AU87" s="5" t="str">
        <f>HYPERLINK("https://creighton-primo.hosted.exlibrisgroup.com/primo-explore/search?tab=default_tab&amp;search_scope=EVERYTHING&amp;vid=01CRU&amp;lang=en_US&amp;offset=0&amp;query=any,contains,991003170819702656","Catalog Record")</f>
        <v>Catalog Record</v>
      </c>
      <c r="AV87" s="5" t="str">
        <f>HYPERLINK("http://www.worldcat.org/oclc/706980","WorldCat Record")</f>
        <v>WorldCat Record</v>
      </c>
      <c r="AW87" s="2" t="s">
        <v>1215</v>
      </c>
      <c r="AX87" s="2" t="s">
        <v>1216</v>
      </c>
      <c r="AY87" s="2" t="s">
        <v>1217</v>
      </c>
      <c r="AZ87" s="2" t="s">
        <v>1217</v>
      </c>
      <c r="BA87" s="2" t="s">
        <v>1218</v>
      </c>
      <c r="BB87" s="2" t="s">
        <v>79</v>
      </c>
      <c r="BD87" s="2" t="s">
        <v>1219</v>
      </c>
      <c r="BE87" s="2" t="s">
        <v>1220</v>
      </c>
      <c r="BF87" s="2" t="s">
        <v>1221</v>
      </c>
    </row>
    <row r="88" spans="1:58" ht="39.75" customHeight="1" x14ac:dyDescent="0.25">
      <c r="A88" s="1"/>
      <c r="B88" s="1" t="s">
        <v>58</v>
      </c>
      <c r="C88" s="1" t="s">
        <v>59</v>
      </c>
      <c r="D88" s="1" t="s">
        <v>1222</v>
      </c>
      <c r="E88" s="1" t="s">
        <v>1223</v>
      </c>
      <c r="F88" s="1" t="s">
        <v>1224</v>
      </c>
      <c r="H88" s="2" t="s">
        <v>63</v>
      </c>
      <c r="I88" s="2" t="s">
        <v>64</v>
      </c>
      <c r="J88" s="2" t="s">
        <v>63</v>
      </c>
      <c r="K88" s="2" t="s">
        <v>63</v>
      </c>
      <c r="L88" s="2" t="s">
        <v>65</v>
      </c>
      <c r="M88" s="1" t="s">
        <v>1225</v>
      </c>
      <c r="N88" s="1" t="s">
        <v>1226</v>
      </c>
      <c r="O88" s="2" t="s">
        <v>160</v>
      </c>
      <c r="Q88" s="2" t="s">
        <v>69</v>
      </c>
      <c r="R88" s="2" t="s">
        <v>88</v>
      </c>
      <c r="T88" s="2" t="s">
        <v>71</v>
      </c>
      <c r="U88" s="3">
        <v>7</v>
      </c>
      <c r="V88" s="3">
        <v>7</v>
      </c>
      <c r="W88" s="4" t="s">
        <v>1227</v>
      </c>
      <c r="X88" s="4" t="s">
        <v>1227</v>
      </c>
      <c r="Y88" s="4" t="s">
        <v>73</v>
      </c>
      <c r="Z88" s="4" t="s">
        <v>73</v>
      </c>
      <c r="AA88" s="3">
        <v>267</v>
      </c>
      <c r="AB88" s="3">
        <v>138</v>
      </c>
      <c r="AC88" s="3">
        <v>146</v>
      </c>
      <c r="AD88" s="3">
        <v>1</v>
      </c>
      <c r="AE88" s="3">
        <v>1</v>
      </c>
      <c r="AF88" s="3">
        <v>3</v>
      </c>
      <c r="AG88" s="3">
        <v>3</v>
      </c>
      <c r="AH88" s="3">
        <v>2</v>
      </c>
      <c r="AI88" s="3">
        <v>2</v>
      </c>
      <c r="AJ88" s="3">
        <v>1</v>
      </c>
      <c r="AK88" s="3">
        <v>1</v>
      </c>
      <c r="AL88" s="3">
        <v>3</v>
      </c>
      <c r="AM88" s="3">
        <v>3</v>
      </c>
      <c r="AN88" s="3">
        <v>0</v>
      </c>
      <c r="AO88" s="3">
        <v>0</v>
      </c>
      <c r="AP88" s="3">
        <v>0</v>
      </c>
      <c r="AQ88" s="3">
        <v>0</v>
      </c>
      <c r="AR88" s="2" t="s">
        <v>63</v>
      </c>
      <c r="AS88" s="2" t="s">
        <v>74</v>
      </c>
      <c r="AT88" s="5" t="str">
        <f>HYPERLINK("http://catalog.hathitrust.org/Record/000849324","HathiTrust Record")</f>
        <v>HathiTrust Record</v>
      </c>
      <c r="AU88" s="5" t="str">
        <f>HYPERLINK("https://creighton-primo.hosted.exlibrisgroup.com/primo-explore/search?tab=default_tab&amp;search_scope=EVERYTHING&amp;vid=01CRU&amp;lang=en_US&amp;offset=0&amp;query=any,contains,991002799189702656","Catalog Record")</f>
        <v>Catalog Record</v>
      </c>
      <c r="AV88" s="5" t="str">
        <f>HYPERLINK("http://www.worldcat.org/oclc/446154","WorldCat Record")</f>
        <v>WorldCat Record</v>
      </c>
      <c r="AW88" s="2" t="s">
        <v>1228</v>
      </c>
      <c r="AX88" s="2" t="s">
        <v>1229</v>
      </c>
      <c r="AY88" s="2" t="s">
        <v>1230</v>
      </c>
      <c r="AZ88" s="2" t="s">
        <v>1230</v>
      </c>
      <c r="BA88" s="2" t="s">
        <v>1231</v>
      </c>
      <c r="BB88" s="2" t="s">
        <v>79</v>
      </c>
      <c r="BD88" s="2" t="s">
        <v>1232</v>
      </c>
      <c r="BE88" s="2" t="s">
        <v>1233</v>
      </c>
      <c r="BF88" s="2" t="s">
        <v>1234</v>
      </c>
    </row>
    <row r="89" spans="1:58" ht="39.75" customHeight="1" x14ac:dyDescent="0.25">
      <c r="A89" s="1"/>
      <c r="B89" s="1" t="s">
        <v>58</v>
      </c>
      <c r="C89" s="1" t="s">
        <v>59</v>
      </c>
      <c r="D89" s="1" t="s">
        <v>1235</v>
      </c>
      <c r="E89" s="1" t="s">
        <v>1236</v>
      </c>
      <c r="F89" s="1" t="s">
        <v>1237</v>
      </c>
      <c r="H89" s="2" t="s">
        <v>63</v>
      </c>
      <c r="I89" s="2" t="s">
        <v>64</v>
      </c>
      <c r="J89" s="2" t="s">
        <v>63</v>
      </c>
      <c r="K89" s="2" t="s">
        <v>63</v>
      </c>
      <c r="L89" s="2" t="s">
        <v>65</v>
      </c>
      <c r="N89" s="1" t="s">
        <v>1238</v>
      </c>
      <c r="O89" s="2" t="s">
        <v>485</v>
      </c>
      <c r="Q89" s="2" t="s">
        <v>69</v>
      </c>
      <c r="R89" s="2" t="s">
        <v>1239</v>
      </c>
      <c r="S89" s="1" t="s">
        <v>1240</v>
      </c>
      <c r="T89" s="2" t="s">
        <v>71</v>
      </c>
      <c r="U89" s="3">
        <v>1</v>
      </c>
      <c r="V89" s="3">
        <v>1</v>
      </c>
      <c r="W89" s="4" t="s">
        <v>1241</v>
      </c>
      <c r="X89" s="4" t="s">
        <v>1241</v>
      </c>
      <c r="Y89" s="4" t="s">
        <v>1242</v>
      </c>
      <c r="Z89" s="4" t="s">
        <v>1242</v>
      </c>
      <c r="AA89" s="3">
        <v>193</v>
      </c>
      <c r="AB89" s="3">
        <v>134</v>
      </c>
      <c r="AC89" s="3">
        <v>136</v>
      </c>
      <c r="AD89" s="3">
        <v>2</v>
      </c>
      <c r="AE89" s="3">
        <v>2</v>
      </c>
      <c r="AF89" s="3">
        <v>7</v>
      </c>
      <c r="AG89" s="3">
        <v>7</v>
      </c>
      <c r="AH89" s="3">
        <v>1</v>
      </c>
      <c r="AI89" s="3">
        <v>1</v>
      </c>
      <c r="AJ89" s="3">
        <v>3</v>
      </c>
      <c r="AK89" s="3">
        <v>3</v>
      </c>
      <c r="AL89" s="3">
        <v>5</v>
      </c>
      <c r="AM89" s="3">
        <v>5</v>
      </c>
      <c r="AN89" s="3">
        <v>0</v>
      </c>
      <c r="AO89" s="3">
        <v>0</v>
      </c>
      <c r="AP89" s="3">
        <v>0</v>
      </c>
      <c r="AQ89" s="3">
        <v>0</v>
      </c>
      <c r="AR89" s="2" t="s">
        <v>63</v>
      </c>
      <c r="AS89" s="2" t="s">
        <v>63</v>
      </c>
      <c r="AU89" s="5" t="str">
        <f>HYPERLINK("https://creighton-primo.hosted.exlibrisgroup.com/primo-explore/search?tab=default_tab&amp;search_scope=EVERYTHING&amp;vid=01CRU&amp;lang=en_US&amp;offset=0&amp;query=any,contains,991001767479702656","Catalog Record")</f>
        <v>Catalog Record</v>
      </c>
      <c r="AV89" s="5" t="str">
        <f>HYPERLINK("http://www.worldcat.org/oclc/22957656","WorldCat Record")</f>
        <v>WorldCat Record</v>
      </c>
      <c r="AW89" s="2" t="s">
        <v>1243</v>
      </c>
      <c r="AX89" s="2" t="s">
        <v>1244</v>
      </c>
      <c r="AY89" s="2" t="s">
        <v>1245</v>
      </c>
      <c r="AZ89" s="2" t="s">
        <v>1245</v>
      </c>
      <c r="BA89" s="2" t="s">
        <v>1246</v>
      </c>
      <c r="BB89" s="2" t="s">
        <v>79</v>
      </c>
      <c r="BD89" s="2" t="s">
        <v>1247</v>
      </c>
      <c r="BE89" s="2" t="s">
        <v>1248</v>
      </c>
      <c r="BF89" s="2" t="s">
        <v>1249</v>
      </c>
    </row>
    <row r="90" spans="1:58" ht="39.75" customHeight="1" x14ac:dyDescent="0.25">
      <c r="A90" s="1"/>
      <c r="B90" s="1" t="s">
        <v>58</v>
      </c>
      <c r="C90" s="1" t="s">
        <v>59</v>
      </c>
      <c r="D90" s="1" t="s">
        <v>1250</v>
      </c>
      <c r="E90" s="1" t="s">
        <v>1251</v>
      </c>
      <c r="F90" s="1" t="s">
        <v>1252</v>
      </c>
      <c r="G90" s="2" t="s">
        <v>798</v>
      </c>
      <c r="H90" s="2" t="s">
        <v>74</v>
      </c>
      <c r="I90" s="2" t="s">
        <v>64</v>
      </c>
      <c r="J90" s="2" t="s">
        <v>63</v>
      </c>
      <c r="K90" s="2" t="s">
        <v>63</v>
      </c>
      <c r="L90" s="2" t="s">
        <v>65</v>
      </c>
      <c r="N90" s="1" t="s">
        <v>1253</v>
      </c>
      <c r="O90" s="2" t="s">
        <v>545</v>
      </c>
      <c r="Q90" s="2" t="s">
        <v>69</v>
      </c>
      <c r="R90" s="2" t="s">
        <v>88</v>
      </c>
      <c r="S90" s="1" t="s">
        <v>1254</v>
      </c>
      <c r="T90" s="2" t="s">
        <v>71</v>
      </c>
      <c r="U90" s="3">
        <v>6</v>
      </c>
      <c r="V90" s="3">
        <v>12</v>
      </c>
      <c r="W90" s="4" t="s">
        <v>1255</v>
      </c>
      <c r="X90" s="4" t="s">
        <v>1255</v>
      </c>
      <c r="Y90" s="4" t="s">
        <v>710</v>
      </c>
      <c r="Z90" s="4" t="s">
        <v>710</v>
      </c>
      <c r="AA90" s="3">
        <v>257</v>
      </c>
      <c r="AB90" s="3">
        <v>201</v>
      </c>
      <c r="AC90" s="3">
        <v>210</v>
      </c>
      <c r="AD90" s="3">
        <v>1</v>
      </c>
      <c r="AE90" s="3">
        <v>1</v>
      </c>
      <c r="AF90" s="3">
        <v>4</v>
      </c>
      <c r="AG90" s="3">
        <v>5</v>
      </c>
      <c r="AH90" s="3">
        <v>1</v>
      </c>
      <c r="AI90" s="3">
        <v>1</v>
      </c>
      <c r="AJ90" s="3">
        <v>2</v>
      </c>
      <c r="AK90" s="3">
        <v>3</v>
      </c>
      <c r="AL90" s="3">
        <v>3</v>
      </c>
      <c r="AM90" s="3">
        <v>4</v>
      </c>
      <c r="AN90" s="3">
        <v>0</v>
      </c>
      <c r="AO90" s="3">
        <v>0</v>
      </c>
      <c r="AP90" s="3">
        <v>0</v>
      </c>
      <c r="AQ90" s="3">
        <v>0</v>
      </c>
      <c r="AR90" s="2" t="s">
        <v>63</v>
      </c>
      <c r="AS90" s="2" t="s">
        <v>74</v>
      </c>
      <c r="AT90" s="5" t="str">
        <f>HYPERLINK("http://catalog.hathitrust.org/Record/002613928","HathiTrust Record")</f>
        <v>HathiTrust Record</v>
      </c>
      <c r="AU90" s="5" t="str">
        <f>HYPERLINK("https://creighton-primo.hosted.exlibrisgroup.com/primo-explore/search?tab=default_tab&amp;search_scope=EVERYTHING&amp;vid=01CRU&amp;lang=en_US&amp;offset=0&amp;query=any,contains,991002060469702656","Catalog Record")</f>
        <v>Catalog Record</v>
      </c>
      <c r="AV90" s="5" t="str">
        <f>HYPERLINK("http://www.worldcat.org/oclc/26363792","WorldCat Record")</f>
        <v>WorldCat Record</v>
      </c>
      <c r="AW90" s="2" t="s">
        <v>1256</v>
      </c>
      <c r="AX90" s="2" t="s">
        <v>1257</v>
      </c>
      <c r="AY90" s="2" t="s">
        <v>1258</v>
      </c>
      <c r="AZ90" s="2" t="s">
        <v>1258</v>
      </c>
      <c r="BA90" s="2" t="s">
        <v>1259</v>
      </c>
      <c r="BB90" s="2" t="s">
        <v>79</v>
      </c>
      <c r="BD90" s="2" t="s">
        <v>1260</v>
      </c>
      <c r="BE90" s="2" t="s">
        <v>1261</v>
      </c>
      <c r="BF90" s="2" t="s">
        <v>1262</v>
      </c>
    </row>
    <row r="91" spans="1:58" ht="39.75" customHeight="1" x14ac:dyDescent="0.25">
      <c r="A91" s="1"/>
      <c r="B91" s="1" t="s">
        <v>58</v>
      </c>
      <c r="C91" s="1" t="s">
        <v>59</v>
      </c>
      <c r="D91" s="1" t="s">
        <v>1250</v>
      </c>
      <c r="E91" s="1" t="s">
        <v>1251</v>
      </c>
      <c r="F91" s="1" t="s">
        <v>1252</v>
      </c>
      <c r="G91" s="2" t="s">
        <v>1124</v>
      </c>
      <c r="H91" s="2" t="s">
        <v>74</v>
      </c>
      <c r="I91" s="2" t="s">
        <v>64</v>
      </c>
      <c r="J91" s="2" t="s">
        <v>63</v>
      </c>
      <c r="K91" s="2" t="s">
        <v>63</v>
      </c>
      <c r="L91" s="2" t="s">
        <v>65</v>
      </c>
      <c r="N91" s="1" t="s">
        <v>1253</v>
      </c>
      <c r="O91" s="2" t="s">
        <v>545</v>
      </c>
      <c r="Q91" s="2" t="s">
        <v>69</v>
      </c>
      <c r="R91" s="2" t="s">
        <v>88</v>
      </c>
      <c r="S91" s="1" t="s">
        <v>1254</v>
      </c>
      <c r="T91" s="2" t="s">
        <v>71</v>
      </c>
      <c r="U91" s="3">
        <v>6</v>
      </c>
      <c r="V91" s="3">
        <v>12</v>
      </c>
      <c r="W91" s="4" t="s">
        <v>1255</v>
      </c>
      <c r="X91" s="4" t="s">
        <v>1255</v>
      </c>
      <c r="Y91" s="4" t="s">
        <v>710</v>
      </c>
      <c r="Z91" s="4" t="s">
        <v>710</v>
      </c>
      <c r="AA91" s="3">
        <v>257</v>
      </c>
      <c r="AB91" s="3">
        <v>201</v>
      </c>
      <c r="AC91" s="3">
        <v>210</v>
      </c>
      <c r="AD91" s="3">
        <v>1</v>
      </c>
      <c r="AE91" s="3">
        <v>1</v>
      </c>
      <c r="AF91" s="3">
        <v>4</v>
      </c>
      <c r="AG91" s="3">
        <v>5</v>
      </c>
      <c r="AH91" s="3">
        <v>1</v>
      </c>
      <c r="AI91" s="3">
        <v>1</v>
      </c>
      <c r="AJ91" s="3">
        <v>2</v>
      </c>
      <c r="AK91" s="3">
        <v>3</v>
      </c>
      <c r="AL91" s="3">
        <v>3</v>
      </c>
      <c r="AM91" s="3">
        <v>4</v>
      </c>
      <c r="AN91" s="3">
        <v>0</v>
      </c>
      <c r="AO91" s="3">
        <v>0</v>
      </c>
      <c r="AP91" s="3">
        <v>0</v>
      </c>
      <c r="AQ91" s="3">
        <v>0</v>
      </c>
      <c r="AR91" s="2" t="s">
        <v>63</v>
      </c>
      <c r="AS91" s="2" t="s">
        <v>74</v>
      </c>
      <c r="AT91" s="5" t="str">
        <f>HYPERLINK("http://catalog.hathitrust.org/Record/002613928","HathiTrust Record")</f>
        <v>HathiTrust Record</v>
      </c>
      <c r="AU91" s="5" t="str">
        <f>HYPERLINK("https://creighton-primo.hosted.exlibrisgroup.com/primo-explore/search?tab=default_tab&amp;search_scope=EVERYTHING&amp;vid=01CRU&amp;lang=en_US&amp;offset=0&amp;query=any,contains,991002060469702656","Catalog Record")</f>
        <v>Catalog Record</v>
      </c>
      <c r="AV91" s="5" t="str">
        <f>HYPERLINK("http://www.worldcat.org/oclc/26363792","WorldCat Record")</f>
        <v>WorldCat Record</v>
      </c>
      <c r="AW91" s="2" t="s">
        <v>1256</v>
      </c>
      <c r="AX91" s="2" t="s">
        <v>1257</v>
      </c>
      <c r="AY91" s="2" t="s">
        <v>1258</v>
      </c>
      <c r="AZ91" s="2" t="s">
        <v>1258</v>
      </c>
      <c r="BA91" s="2" t="s">
        <v>1259</v>
      </c>
      <c r="BB91" s="2" t="s">
        <v>79</v>
      </c>
      <c r="BD91" s="2" t="s">
        <v>1260</v>
      </c>
      <c r="BE91" s="2" t="s">
        <v>1263</v>
      </c>
      <c r="BF91" s="2" t="s">
        <v>1264</v>
      </c>
    </row>
    <row r="92" spans="1:58" ht="39.75" customHeight="1" x14ac:dyDescent="0.25">
      <c r="A92" s="1"/>
      <c r="B92" s="1" t="s">
        <v>58</v>
      </c>
      <c r="C92" s="1" t="s">
        <v>59</v>
      </c>
      <c r="D92" s="1" t="s">
        <v>1265</v>
      </c>
      <c r="E92" s="1" t="s">
        <v>1266</v>
      </c>
      <c r="F92" s="1" t="s">
        <v>1267</v>
      </c>
      <c r="H92" s="2" t="s">
        <v>63</v>
      </c>
      <c r="I92" s="2" t="s">
        <v>64</v>
      </c>
      <c r="J92" s="2" t="s">
        <v>63</v>
      </c>
      <c r="K92" s="2" t="s">
        <v>63</v>
      </c>
      <c r="L92" s="2" t="s">
        <v>65</v>
      </c>
      <c r="N92" s="1" t="s">
        <v>1268</v>
      </c>
      <c r="O92" s="2" t="s">
        <v>248</v>
      </c>
      <c r="Q92" s="2" t="s">
        <v>69</v>
      </c>
      <c r="R92" s="2" t="s">
        <v>207</v>
      </c>
      <c r="S92" s="1" t="s">
        <v>1269</v>
      </c>
      <c r="T92" s="2" t="s">
        <v>71</v>
      </c>
      <c r="U92" s="3">
        <v>2</v>
      </c>
      <c r="V92" s="3">
        <v>2</v>
      </c>
      <c r="W92" s="4" t="s">
        <v>1270</v>
      </c>
      <c r="X92" s="4" t="s">
        <v>1270</v>
      </c>
      <c r="Y92" s="4" t="s">
        <v>250</v>
      </c>
      <c r="Z92" s="4" t="s">
        <v>250</v>
      </c>
      <c r="AA92" s="3">
        <v>128</v>
      </c>
      <c r="AB92" s="3">
        <v>72</v>
      </c>
      <c r="AC92" s="3">
        <v>100</v>
      </c>
      <c r="AD92" s="3">
        <v>2</v>
      </c>
      <c r="AE92" s="3">
        <v>3</v>
      </c>
      <c r="AF92" s="3">
        <v>1</v>
      </c>
      <c r="AG92" s="3">
        <v>3</v>
      </c>
      <c r="AH92" s="3">
        <v>0</v>
      </c>
      <c r="AI92" s="3">
        <v>1</v>
      </c>
      <c r="AJ92" s="3">
        <v>0</v>
      </c>
      <c r="AK92" s="3">
        <v>1</v>
      </c>
      <c r="AL92" s="3">
        <v>0</v>
      </c>
      <c r="AM92" s="3">
        <v>0</v>
      </c>
      <c r="AN92" s="3">
        <v>1</v>
      </c>
      <c r="AO92" s="3">
        <v>2</v>
      </c>
      <c r="AP92" s="3">
        <v>0</v>
      </c>
      <c r="AQ92" s="3">
        <v>0</v>
      </c>
      <c r="AR92" s="2" t="s">
        <v>63</v>
      </c>
      <c r="AS92" s="2" t="s">
        <v>74</v>
      </c>
      <c r="AT92" s="5" t="str">
        <f>HYPERLINK("http://catalog.hathitrust.org/Record/000903229","HathiTrust Record")</f>
        <v>HathiTrust Record</v>
      </c>
      <c r="AU92" s="5" t="str">
        <f>HYPERLINK("https://creighton-primo.hosted.exlibrisgroup.com/primo-explore/search?tab=default_tab&amp;search_scope=EVERYTHING&amp;vid=01CRU&amp;lang=en_US&amp;offset=0&amp;query=any,contains,991001078459702656","Catalog Record")</f>
        <v>Catalog Record</v>
      </c>
      <c r="AV92" s="5" t="str">
        <f>HYPERLINK("http://www.worldcat.org/oclc/16081875","WorldCat Record")</f>
        <v>WorldCat Record</v>
      </c>
      <c r="AW92" s="2" t="s">
        <v>1271</v>
      </c>
      <c r="AX92" s="2" t="s">
        <v>1272</v>
      </c>
      <c r="AY92" s="2" t="s">
        <v>1273</v>
      </c>
      <c r="AZ92" s="2" t="s">
        <v>1273</v>
      </c>
      <c r="BA92" s="2" t="s">
        <v>1274</v>
      </c>
      <c r="BB92" s="2" t="s">
        <v>79</v>
      </c>
      <c r="BD92" s="2" t="s">
        <v>1275</v>
      </c>
      <c r="BE92" s="2" t="s">
        <v>1276</v>
      </c>
      <c r="BF92" s="2" t="s">
        <v>1277</v>
      </c>
    </row>
    <row r="93" spans="1:58" ht="39.75" customHeight="1" x14ac:dyDescent="0.25">
      <c r="A93" s="1"/>
      <c r="B93" s="1" t="s">
        <v>58</v>
      </c>
      <c r="C93" s="1" t="s">
        <v>59</v>
      </c>
      <c r="D93" s="1" t="s">
        <v>1278</v>
      </c>
      <c r="E93" s="1" t="s">
        <v>1279</v>
      </c>
      <c r="F93" s="1" t="s">
        <v>1280</v>
      </c>
      <c r="H93" s="2" t="s">
        <v>63</v>
      </c>
      <c r="I93" s="2" t="s">
        <v>64</v>
      </c>
      <c r="J93" s="2" t="s">
        <v>63</v>
      </c>
      <c r="K93" s="2" t="s">
        <v>63</v>
      </c>
      <c r="L93" s="2" t="s">
        <v>65</v>
      </c>
      <c r="N93" s="1" t="s">
        <v>1281</v>
      </c>
      <c r="O93" s="2" t="s">
        <v>68</v>
      </c>
      <c r="Q93" s="2" t="s">
        <v>69</v>
      </c>
      <c r="R93" s="2" t="s">
        <v>1239</v>
      </c>
      <c r="S93" s="1" t="s">
        <v>1282</v>
      </c>
      <c r="T93" s="2" t="s">
        <v>71</v>
      </c>
      <c r="U93" s="3">
        <v>2</v>
      </c>
      <c r="V93" s="3">
        <v>2</v>
      </c>
      <c r="W93" s="4" t="s">
        <v>1283</v>
      </c>
      <c r="X93" s="4" t="s">
        <v>1283</v>
      </c>
      <c r="Y93" s="4" t="s">
        <v>250</v>
      </c>
      <c r="Z93" s="4" t="s">
        <v>250</v>
      </c>
      <c r="AA93" s="3">
        <v>176</v>
      </c>
      <c r="AB93" s="3">
        <v>127</v>
      </c>
      <c r="AC93" s="3">
        <v>128</v>
      </c>
      <c r="AD93" s="3">
        <v>2</v>
      </c>
      <c r="AE93" s="3">
        <v>2</v>
      </c>
      <c r="AF93" s="3">
        <v>8</v>
      </c>
      <c r="AG93" s="3">
        <v>8</v>
      </c>
      <c r="AH93" s="3">
        <v>1</v>
      </c>
      <c r="AI93" s="3">
        <v>1</v>
      </c>
      <c r="AJ93" s="3">
        <v>3</v>
      </c>
      <c r="AK93" s="3">
        <v>3</v>
      </c>
      <c r="AL93" s="3">
        <v>6</v>
      </c>
      <c r="AM93" s="3">
        <v>6</v>
      </c>
      <c r="AN93" s="3">
        <v>0</v>
      </c>
      <c r="AO93" s="3">
        <v>0</v>
      </c>
      <c r="AP93" s="3">
        <v>0</v>
      </c>
      <c r="AQ93" s="3">
        <v>0</v>
      </c>
      <c r="AR93" s="2" t="s">
        <v>63</v>
      </c>
      <c r="AS93" s="2" t="s">
        <v>63</v>
      </c>
      <c r="AU93" s="5" t="str">
        <f>HYPERLINK("https://creighton-primo.hosted.exlibrisgroup.com/primo-explore/search?tab=default_tab&amp;search_scope=EVERYTHING&amp;vid=01CRU&amp;lang=en_US&amp;offset=0&amp;query=any,contains,991000410339702656","Catalog Record")</f>
        <v>Catalog Record</v>
      </c>
      <c r="AV93" s="5" t="str">
        <f>HYPERLINK("http://www.worldcat.org/oclc/10708649","WorldCat Record")</f>
        <v>WorldCat Record</v>
      </c>
      <c r="AW93" s="2" t="s">
        <v>1284</v>
      </c>
      <c r="AX93" s="2" t="s">
        <v>1285</v>
      </c>
      <c r="AY93" s="2" t="s">
        <v>1286</v>
      </c>
      <c r="AZ93" s="2" t="s">
        <v>1286</v>
      </c>
      <c r="BA93" s="2" t="s">
        <v>1287</v>
      </c>
      <c r="BB93" s="2" t="s">
        <v>79</v>
      </c>
      <c r="BD93" s="2" t="s">
        <v>1288</v>
      </c>
      <c r="BE93" s="2" t="s">
        <v>1289</v>
      </c>
      <c r="BF93" s="2" t="s">
        <v>1290</v>
      </c>
    </row>
    <row r="94" spans="1:58" ht="39.75" customHeight="1" x14ac:dyDescent="0.25">
      <c r="A94" s="1"/>
      <c r="B94" s="1" t="s">
        <v>58</v>
      </c>
      <c r="C94" s="1" t="s">
        <v>59</v>
      </c>
      <c r="D94" s="1" t="s">
        <v>1291</v>
      </c>
      <c r="E94" s="1" t="s">
        <v>1292</v>
      </c>
      <c r="F94" s="1" t="s">
        <v>1293</v>
      </c>
      <c r="H94" s="2" t="s">
        <v>63</v>
      </c>
      <c r="I94" s="2" t="s">
        <v>64</v>
      </c>
      <c r="J94" s="2" t="s">
        <v>63</v>
      </c>
      <c r="K94" s="2" t="s">
        <v>63</v>
      </c>
      <c r="L94" s="2" t="s">
        <v>65</v>
      </c>
      <c r="M94" s="1" t="s">
        <v>1294</v>
      </c>
      <c r="N94" s="1" t="s">
        <v>1295</v>
      </c>
      <c r="O94" s="2" t="s">
        <v>1177</v>
      </c>
      <c r="Q94" s="2" t="s">
        <v>69</v>
      </c>
      <c r="R94" s="2" t="s">
        <v>118</v>
      </c>
      <c r="T94" s="2" t="s">
        <v>71</v>
      </c>
      <c r="U94" s="3">
        <v>2</v>
      </c>
      <c r="V94" s="3">
        <v>2</v>
      </c>
      <c r="W94" s="4" t="s">
        <v>335</v>
      </c>
      <c r="X94" s="4" t="s">
        <v>335</v>
      </c>
      <c r="Y94" s="4" t="s">
        <v>105</v>
      </c>
      <c r="Z94" s="4" t="s">
        <v>105</v>
      </c>
      <c r="AA94" s="3">
        <v>570</v>
      </c>
      <c r="AB94" s="3">
        <v>506</v>
      </c>
      <c r="AC94" s="3">
        <v>534</v>
      </c>
      <c r="AD94" s="3">
        <v>4</v>
      </c>
      <c r="AE94" s="3">
        <v>4</v>
      </c>
      <c r="AF94" s="3">
        <v>13</v>
      </c>
      <c r="AG94" s="3">
        <v>14</v>
      </c>
      <c r="AH94" s="3">
        <v>3</v>
      </c>
      <c r="AI94" s="3">
        <v>3</v>
      </c>
      <c r="AJ94" s="3">
        <v>2</v>
      </c>
      <c r="AK94" s="3">
        <v>3</v>
      </c>
      <c r="AL94" s="3">
        <v>6</v>
      </c>
      <c r="AM94" s="3">
        <v>7</v>
      </c>
      <c r="AN94" s="3">
        <v>3</v>
      </c>
      <c r="AO94" s="3">
        <v>3</v>
      </c>
      <c r="AP94" s="3">
        <v>0</v>
      </c>
      <c r="AQ94" s="3">
        <v>0</v>
      </c>
      <c r="AR94" s="2" t="s">
        <v>63</v>
      </c>
      <c r="AS94" s="2" t="s">
        <v>74</v>
      </c>
      <c r="AT94" s="5" t="str">
        <f>HYPERLINK("http://catalog.hathitrust.org/Record/001556124","HathiTrust Record")</f>
        <v>HathiTrust Record</v>
      </c>
      <c r="AU94" s="5" t="str">
        <f>HYPERLINK("https://creighton-primo.hosted.exlibrisgroup.com/primo-explore/search?tab=default_tab&amp;search_scope=EVERYTHING&amp;vid=01CRU&amp;lang=en_US&amp;offset=0&amp;query=any,contains,991003430119702656","Catalog Record")</f>
        <v>Catalog Record</v>
      </c>
      <c r="AV94" s="5" t="str">
        <f>HYPERLINK("http://www.worldcat.org/oclc/965381","WorldCat Record")</f>
        <v>WorldCat Record</v>
      </c>
      <c r="AW94" s="2" t="s">
        <v>1296</v>
      </c>
      <c r="AX94" s="2" t="s">
        <v>1297</v>
      </c>
      <c r="AY94" s="2" t="s">
        <v>1298</v>
      </c>
      <c r="AZ94" s="2" t="s">
        <v>1298</v>
      </c>
      <c r="BA94" s="2" t="s">
        <v>1299</v>
      </c>
      <c r="BB94" s="2" t="s">
        <v>79</v>
      </c>
      <c r="BE94" s="2" t="s">
        <v>1300</v>
      </c>
      <c r="BF94" s="2" t="s">
        <v>1301</v>
      </c>
    </row>
    <row r="95" spans="1:58" ht="39.75" customHeight="1" x14ac:dyDescent="0.25">
      <c r="A95" s="1"/>
      <c r="B95" s="1" t="s">
        <v>58</v>
      </c>
      <c r="C95" s="1" t="s">
        <v>59</v>
      </c>
      <c r="D95" s="1" t="s">
        <v>1302</v>
      </c>
      <c r="E95" s="1" t="s">
        <v>1303</v>
      </c>
      <c r="F95" s="1" t="s">
        <v>1304</v>
      </c>
      <c r="H95" s="2" t="s">
        <v>63</v>
      </c>
      <c r="I95" s="2" t="s">
        <v>64</v>
      </c>
      <c r="J95" s="2" t="s">
        <v>63</v>
      </c>
      <c r="K95" s="2" t="s">
        <v>63</v>
      </c>
      <c r="L95" s="2" t="s">
        <v>65</v>
      </c>
      <c r="M95" s="1" t="s">
        <v>1305</v>
      </c>
      <c r="N95" s="1" t="s">
        <v>1306</v>
      </c>
      <c r="O95" s="2" t="s">
        <v>319</v>
      </c>
      <c r="P95" s="1" t="s">
        <v>1307</v>
      </c>
      <c r="Q95" s="2" t="s">
        <v>69</v>
      </c>
      <c r="R95" s="2" t="s">
        <v>102</v>
      </c>
      <c r="T95" s="2" t="s">
        <v>71</v>
      </c>
      <c r="U95" s="3">
        <v>6</v>
      </c>
      <c r="V95" s="3">
        <v>6</v>
      </c>
      <c r="W95" s="4" t="s">
        <v>1308</v>
      </c>
      <c r="X95" s="4" t="s">
        <v>1308</v>
      </c>
      <c r="Y95" s="4" t="s">
        <v>105</v>
      </c>
      <c r="Z95" s="4" t="s">
        <v>105</v>
      </c>
      <c r="AA95" s="3">
        <v>211</v>
      </c>
      <c r="AB95" s="3">
        <v>172</v>
      </c>
      <c r="AC95" s="3">
        <v>287</v>
      </c>
      <c r="AD95" s="3">
        <v>2</v>
      </c>
      <c r="AE95" s="3">
        <v>3</v>
      </c>
      <c r="AF95" s="3">
        <v>3</v>
      </c>
      <c r="AG95" s="3">
        <v>8</v>
      </c>
      <c r="AH95" s="3">
        <v>2</v>
      </c>
      <c r="AI95" s="3">
        <v>3</v>
      </c>
      <c r="AJ95" s="3">
        <v>0</v>
      </c>
      <c r="AK95" s="3">
        <v>2</v>
      </c>
      <c r="AL95" s="3">
        <v>0</v>
      </c>
      <c r="AM95" s="3">
        <v>3</v>
      </c>
      <c r="AN95" s="3">
        <v>1</v>
      </c>
      <c r="AO95" s="3">
        <v>2</v>
      </c>
      <c r="AP95" s="3">
        <v>0</v>
      </c>
      <c r="AQ95" s="3">
        <v>0</v>
      </c>
      <c r="AR95" s="2" t="s">
        <v>63</v>
      </c>
      <c r="AS95" s="2" t="s">
        <v>74</v>
      </c>
      <c r="AT95" s="5" t="str">
        <f>HYPERLINK("http://catalog.hathitrust.org/Record/001556146","HathiTrust Record")</f>
        <v>HathiTrust Record</v>
      </c>
      <c r="AU95" s="5" t="str">
        <f>HYPERLINK("https://creighton-primo.hosted.exlibrisgroup.com/primo-explore/search?tab=default_tab&amp;search_scope=EVERYTHING&amp;vid=01CRU&amp;lang=en_US&amp;offset=0&amp;query=any,contains,991000001379702656","Catalog Record")</f>
        <v>Catalog Record</v>
      </c>
      <c r="AV95" s="5" t="str">
        <f>HYPERLINK("http://www.worldcat.org/oclc/10351","WorldCat Record")</f>
        <v>WorldCat Record</v>
      </c>
      <c r="AW95" s="2" t="s">
        <v>1309</v>
      </c>
      <c r="AX95" s="2" t="s">
        <v>1310</v>
      </c>
      <c r="AY95" s="2" t="s">
        <v>1311</v>
      </c>
      <c r="AZ95" s="2" t="s">
        <v>1311</v>
      </c>
      <c r="BA95" s="2" t="s">
        <v>1312</v>
      </c>
      <c r="BB95" s="2" t="s">
        <v>79</v>
      </c>
      <c r="BE95" s="2" t="s">
        <v>1313</v>
      </c>
      <c r="BF95" s="2" t="s">
        <v>1314</v>
      </c>
    </row>
    <row r="96" spans="1:58" ht="39.75" customHeight="1" x14ac:dyDescent="0.25">
      <c r="A96" s="1"/>
      <c r="B96" s="1" t="s">
        <v>58</v>
      </c>
      <c r="C96" s="1" t="s">
        <v>59</v>
      </c>
      <c r="D96" s="1" t="s">
        <v>1315</v>
      </c>
      <c r="E96" s="1" t="s">
        <v>1316</v>
      </c>
      <c r="F96" s="1" t="s">
        <v>1317</v>
      </c>
      <c r="H96" s="2" t="s">
        <v>63</v>
      </c>
      <c r="I96" s="2" t="s">
        <v>64</v>
      </c>
      <c r="J96" s="2" t="s">
        <v>63</v>
      </c>
      <c r="K96" s="2" t="s">
        <v>63</v>
      </c>
      <c r="L96" s="2" t="s">
        <v>65</v>
      </c>
      <c r="M96" s="1" t="s">
        <v>1305</v>
      </c>
      <c r="N96" s="1" t="s">
        <v>1318</v>
      </c>
      <c r="O96" s="2" t="s">
        <v>1319</v>
      </c>
      <c r="P96" s="1" t="s">
        <v>1320</v>
      </c>
      <c r="Q96" s="2" t="s">
        <v>69</v>
      </c>
      <c r="R96" s="2" t="s">
        <v>102</v>
      </c>
      <c r="T96" s="2" t="s">
        <v>71</v>
      </c>
      <c r="U96" s="3">
        <v>2</v>
      </c>
      <c r="V96" s="3">
        <v>2</v>
      </c>
      <c r="W96" s="4" t="s">
        <v>1321</v>
      </c>
      <c r="X96" s="4" t="s">
        <v>1321</v>
      </c>
      <c r="Y96" s="4" t="s">
        <v>1322</v>
      </c>
      <c r="Z96" s="4" t="s">
        <v>1322</v>
      </c>
      <c r="AA96" s="3">
        <v>60</v>
      </c>
      <c r="AB96" s="3">
        <v>45</v>
      </c>
      <c r="AC96" s="3">
        <v>224</v>
      </c>
      <c r="AD96" s="3">
        <v>1</v>
      </c>
      <c r="AE96" s="3">
        <v>2</v>
      </c>
      <c r="AF96" s="3">
        <v>2</v>
      </c>
      <c r="AG96" s="3">
        <v>8</v>
      </c>
      <c r="AH96" s="3">
        <v>0</v>
      </c>
      <c r="AI96" s="3">
        <v>3</v>
      </c>
      <c r="AJ96" s="3">
        <v>1</v>
      </c>
      <c r="AK96" s="3">
        <v>3</v>
      </c>
      <c r="AL96" s="3">
        <v>2</v>
      </c>
      <c r="AM96" s="3">
        <v>3</v>
      </c>
      <c r="AN96" s="3">
        <v>0</v>
      </c>
      <c r="AO96" s="3">
        <v>1</v>
      </c>
      <c r="AP96" s="3">
        <v>0</v>
      </c>
      <c r="AQ96" s="3">
        <v>0</v>
      </c>
      <c r="AR96" s="2" t="s">
        <v>63</v>
      </c>
      <c r="AS96" s="2" t="s">
        <v>74</v>
      </c>
      <c r="AT96" s="5" t="str">
        <f>HYPERLINK("http://catalog.hathitrust.org/Record/001556142","HathiTrust Record")</f>
        <v>HathiTrust Record</v>
      </c>
      <c r="AU96" s="5" t="str">
        <f>HYPERLINK("https://creighton-primo.hosted.exlibrisgroup.com/primo-explore/search?tab=default_tab&amp;search_scope=EVERYTHING&amp;vid=01CRU&amp;lang=en_US&amp;offset=0&amp;query=any,contains,991002989909702656","Catalog Record")</f>
        <v>Catalog Record</v>
      </c>
      <c r="AV96" s="5" t="str">
        <f>HYPERLINK("http://www.worldcat.org/oclc/560052","WorldCat Record")</f>
        <v>WorldCat Record</v>
      </c>
      <c r="AW96" s="2" t="s">
        <v>1323</v>
      </c>
      <c r="AX96" s="2" t="s">
        <v>1324</v>
      </c>
      <c r="AY96" s="2" t="s">
        <v>1325</v>
      </c>
      <c r="AZ96" s="2" t="s">
        <v>1325</v>
      </c>
      <c r="BA96" s="2" t="s">
        <v>1326</v>
      </c>
      <c r="BB96" s="2" t="s">
        <v>79</v>
      </c>
      <c r="BE96" s="2" t="s">
        <v>1327</v>
      </c>
      <c r="BF96" s="2" t="s">
        <v>1328</v>
      </c>
    </row>
    <row r="97" spans="1:58" ht="39.75" customHeight="1" x14ac:dyDescent="0.25">
      <c r="A97" s="1"/>
      <c r="B97" s="1" t="s">
        <v>58</v>
      </c>
      <c r="C97" s="1" t="s">
        <v>59</v>
      </c>
      <c r="D97" s="1" t="s">
        <v>1329</v>
      </c>
      <c r="E97" s="1" t="s">
        <v>1330</v>
      </c>
      <c r="F97" s="1" t="s">
        <v>1331</v>
      </c>
      <c r="H97" s="2" t="s">
        <v>63</v>
      </c>
      <c r="I97" s="2" t="s">
        <v>64</v>
      </c>
      <c r="J97" s="2" t="s">
        <v>63</v>
      </c>
      <c r="K97" s="2" t="s">
        <v>63</v>
      </c>
      <c r="L97" s="2" t="s">
        <v>65</v>
      </c>
      <c r="N97" s="1" t="s">
        <v>1332</v>
      </c>
      <c r="O97" s="2" t="s">
        <v>206</v>
      </c>
      <c r="Q97" s="2" t="s">
        <v>69</v>
      </c>
      <c r="R97" s="2" t="s">
        <v>70</v>
      </c>
      <c r="T97" s="2" t="s">
        <v>71</v>
      </c>
      <c r="U97" s="3">
        <v>6</v>
      </c>
      <c r="V97" s="3">
        <v>6</v>
      </c>
      <c r="W97" s="4" t="s">
        <v>736</v>
      </c>
      <c r="X97" s="4" t="s">
        <v>736</v>
      </c>
      <c r="Y97" s="4" t="s">
        <v>1333</v>
      </c>
      <c r="Z97" s="4" t="s">
        <v>1333</v>
      </c>
      <c r="AA97" s="3">
        <v>224</v>
      </c>
      <c r="AB97" s="3">
        <v>183</v>
      </c>
      <c r="AC97" s="3">
        <v>185</v>
      </c>
      <c r="AD97" s="3">
        <v>1</v>
      </c>
      <c r="AE97" s="3">
        <v>1</v>
      </c>
      <c r="AF97" s="3">
        <v>6</v>
      </c>
      <c r="AG97" s="3">
        <v>6</v>
      </c>
      <c r="AH97" s="3">
        <v>3</v>
      </c>
      <c r="AI97" s="3">
        <v>3</v>
      </c>
      <c r="AJ97" s="3">
        <v>1</v>
      </c>
      <c r="AK97" s="3">
        <v>1</v>
      </c>
      <c r="AL97" s="3">
        <v>5</v>
      </c>
      <c r="AM97" s="3">
        <v>5</v>
      </c>
      <c r="AN97" s="3">
        <v>0</v>
      </c>
      <c r="AO97" s="3">
        <v>0</v>
      </c>
      <c r="AP97" s="3">
        <v>0</v>
      </c>
      <c r="AQ97" s="3">
        <v>0</v>
      </c>
      <c r="AR97" s="2" t="s">
        <v>63</v>
      </c>
      <c r="AS97" s="2" t="s">
        <v>74</v>
      </c>
      <c r="AT97" s="5" t="str">
        <f>HYPERLINK("http://catalog.hathitrust.org/Record/003508357","HathiTrust Record")</f>
        <v>HathiTrust Record</v>
      </c>
      <c r="AU97" s="5" t="str">
        <f>HYPERLINK("https://creighton-primo.hosted.exlibrisgroup.com/primo-explore/search?tab=default_tab&amp;search_scope=EVERYTHING&amp;vid=01CRU&amp;lang=en_US&amp;offset=0&amp;query=any,contains,991003930439702656","Catalog Record")</f>
        <v>Catalog Record</v>
      </c>
      <c r="AV97" s="5" t="str">
        <f>HYPERLINK("http://www.worldcat.org/oclc/39700782","WorldCat Record")</f>
        <v>WorldCat Record</v>
      </c>
      <c r="AW97" s="2" t="s">
        <v>1334</v>
      </c>
      <c r="AX97" s="2" t="s">
        <v>1335</v>
      </c>
      <c r="AY97" s="2" t="s">
        <v>1336</v>
      </c>
      <c r="AZ97" s="2" t="s">
        <v>1336</v>
      </c>
      <c r="BA97" s="2" t="s">
        <v>1337</v>
      </c>
      <c r="BB97" s="2" t="s">
        <v>79</v>
      </c>
      <c r="BD97" s="2" t="s">
        <v>1338</v>
      </c>
      <c r="BE97" s="2" t="s">
        <v>1339</v>
      </c>
      <c r="BF97" s="2" t="s">
        <v>1340</v>
      </c>
    </row>
    <row r="98" spans="1:58" ht="39.75" customHeight="1" x14ac:dyDescent="0.25">
      <c r="A98" s="1"/>
      <c r="B98" s="1" t="s">
        <v>58</v>
      </c>
      <c r="C98" s="1" t="s">
        <v>59</v>
      </c>
      <c r="D98" s="1" t="s">
        <v>1341</v>
      </c>
      <c r="E98" s="1" t="s">
        <v>1342</v>
      </c>
      <c r="F98" s="1" t="s">
        <v>1343</v>
      </c>
      <c r="H98" s="2" t="s">
        <v>63</v>
      </c>
      <c r="I98" s="2" t="s">
        <v>64</v>
      </c>
      <c r="J98" s="2" t="s">
        <v>63</v>
      </c>
      <c r="K98" s="2" t="s">
        <v>63</v>
      </c>
      <c r="L98" s="2" t="s">
        <v>65</v>
      </c>
      <c r="M98" s="1" t="s">
        <v>1344</v>
      </c>
      <c r="N98" s="1" t="s">
        <v>1345</v>
      </c>
      <c r="O98" s="2" t="s">
        <v>1346</v>
      </c>
      <c r="P98" s="1" t="s">
        <v>1347</v>
      </c>
      <c r="Q98" s="2" t="s">
        <v>69</v>
      </c>
      <c r="R98" s="2" t="s">
        <v>944</v>
      </c>
      <c r="T98" s="2" t="s">
        <v>71</v>
      </c>
      <c r="U98" s="3">
        <v>19</v>
      </c>
      <c r="V98" s="3">
        <v>19</v>
      </c>
      <c r="W98" s="4" t="s">
        <v>1348</v>
      </c>
      <c r="X98" s="4" t="s">
        <v>1348</v>
      </c>
      <c r="Y98" s="4" t="s">
        <v>1349</v>
      </c>
      <c r="Z98" s="4" t="s">
        <v>1349</v>
      </c>
      <c r="AA98" s="3">
        <v>28</v>
      </c>
      <c r="AB98" s="3">
        <v>26</v>
      </c>
      <c r="AC98" s="3">
        <v>127</v>
      </c>
      <c r="AD98" s="3">
        <v>2</v>
      </c>
      <c r="AE98" s="3">
        <v>4</v>
      </c>
      <c r="AF98" s="3">
        <v>3</v>
      </c>
      <c r="AG98" s="3">
        <v>8</v>
      </c>
      <c r="AH98" s="3">
        <v>1</v>
      </c>
      <c r="AI98" s="3">
        <v>1</v>
      </c>
      <c r="AJ98" s="3">
        <v>1</v>
      </c>
      <c r="AK98" s="3">
        <v>3</v>
      </c>
      <c r="AL98" s="3">
        <v>0</v>
      </c>
      <c r="AM98" s="3">
        <v>1</v>
      </c>
      <c r="AN98" s="3">
        <v>1</v>
      </c>
      <c r="AO98" s="3">
        <v>3</v>
      </c>
      <c r="AP98" s="3">
        <v>0</v>
      </c>
      <c r="AQ98" s="3">
        <v>0</v>
      </c>
      <c r="AR98" s="2" t="s">
        <v>63</v>
      </c>
      <c r="AS98" s="2" t="s">
        <v>74</v>
      </c>
      <c r="AT98" s="5" t="str">
        <f>HYPERLINK("http://catalog.hathitrust.org/Record/006598915","HathiTrust Record")</f>
        <v>HathiTrust Record</v>
      </c>
      <c r="AU98" s="5" t="str">
        <f>HYPERLINK("https://creighton-primo.hosted.exlibrisgroup.com/primo-explore/search?tab=default_tab&amp;search_scope=EVERYTHING&amp;vid=01CRU&amp;lang=en_US&amp;offset=0&amp;query=any,contains,991003143709702656","Catalog Record")</f>
        <v>Catalog Record</v>
      </c>
      <c r="AV98" s="5" t="str">
        <f>HYPERLINK("http://www.worldcat.org/oclc/684946","WorldCat Record")</f>
        <v>WorldCat Record</v>
      </c>
      <c r="AW98" s="2" t="s">
        <v>1350</v>
      </c>
      <c r="AX98" s="2" t="s">
        <v>1351</v>
      </c>
      <c r="AY98" s="2" t="s">
        <v>1352</v>
      </c>
      <c r="AZ98" s="2" t="s">
        <v>1352</v>
      </c>
      <c r="BA98" s="2" t="s">
        <v>1353</v>
      </c>
      <c r="BB98" s="2" t="s">
        <v>79</v>
      </c>
      <c r="BE98" s="2" t="s">
        <v>1354</v>
      </c>
      <c r="BF98" s="2" t="s">
        <v>1355</v>
      </c>
    </row>
    <row r="99" spans="1:58" ht="39.75" customHeight="1" x14ac:dyDescent="0.25">
      <c r="A99" s="1"/>
      <c r="B99" s="1" t="s">
        <v>58</v>
      </c>
      <c r="C99" s="1" t="s">
        <v>59</v>
      </c>
      <c r="D99" s="1" t="s">
        <v>1356</v>
      </c>
      <c r="E99" s="1" t="s">
        <v>1357</v>
      </c>
      <c r="F99" s="1" t="s">
        <v>1358</v>
      </c>
      <c r="H99" s="2" t="s">
        <v>63</v>
      </c>
      <c r="I99" s="2" t="s">
        <v>64</v>
      </c>
      <c r="J99" s="2" t="s">
        <v>63</v>
      </c>
      <c r="K99" s="2" t="s">
        <v>74</v>
      </c>
      <c r="L99" s="2" t="s">
        <v>65</v>
      </c>
      <c r="M99" s="1" t="s">
        <v>1359</v>
      </c>
      <c r="N99" s="1" t="s">
        <v>1360</v>
      </c>
      <c r="O99" s="2" t="s">
        <v>1361</v>
      </c>
      <c r="P99" s="1" t="s">
        <v>1362</v>
      </c>
      <c r="Q99" s="2" t="s">
        <v>69</v>
      </c>
      <c r="R99" s="2" t="s">
        <v>1363</v>
      </c>
      <c r="T99" s="2" t="s">
        <v>71</v>
      </c>
      <c r="U99" s="3">
        <v>4</v>
      </c>
      <c r="V99" s="3">
        <v>4</v>
      </c>
      <c r="W99" s="4" t="s">
        <v>1364</v>
      </c>
      <c r="X99" s="4" t="s">
        <v>1364</v>
      </c>
      <c r="Y99" s="4" t="s">
        <v>1365</v>
      </c>
      <c r="Z99" s="4" t="s">
        <v>1365</v>
      </c>
      <c r="AA99" s="3">
        <v>118</v>
      </c>
      <c r="AB99" s="3">
        <v>98</v>
      </c>
      <c r="AC99" s="3">
        <v>584</v>
      </c>
      <c r="AD99" s="3">
        <v>1</v>
      </c>
      <c r="AE99" s="3">
        <v>3</v>
      </c>
      <c r="AF99" s="3">
        <v>0</v>
      </c>
      <c r="AG99" s="3">
        <v>22</v>
      </c>
      <c r="AH99" s="3">
        <v>0</v>
      </c>
      <c r="AI99" s="3">
        <v>10</v>
      </c>
      <c r="AJ99" s="3">
        <v>0</v>
      </c>
      <c r="AK99" s="3">
        <v>5</v>
      </c>
      <c r="AL99" s="3">
        <v>0</v>
      </c>
      <c r="AM99" s="3">
        <v>13</v>
      </c>
      <c r="AN99" s="3">
        <v>0</v>
      </c>
      <c r="AO99" s="3">
        <v>1</v>
      </c>
      <c r="AP99" s="3">
        <v>0</v>
      </c>
      <c r="AQ99" s="3">
        <v>0</v>
      </c>
      <c r="AR99" s="2" t="s">
        <v>63</v>
      </c>
      <c r="AS99" s="2" t="s">
        <v>74</v>
      </c>
      <c r="AT99" s="5" t="str">
        <f>HYPERLINK("http://catalog.hathitrust.org/Record/001556174","HathiTrust Record")</f>
        <v>HathiTrust Record</v>
      </c>
      <c r="AU99" s="5" t="str">
        <f>HYPERLINK("https://creighton-primo.hosted.exlibrisgroup.com/primo-explore/search?tab=default_tab&amp;search_scope=EVERYTHING&amp;vid=01CRU&amp;lang=en_US&amp;offset=0&amp;query=any,contains,991002810479702656","Catalog Record")</f>
        <v>Catalog Record</v>
      </c>
      <c r="AV99" s="5" t="str">
        <f>HYPERLINK("http://www.worldcat.org/oclc/452163","WorldCat Record")</f>
        <v>WorldCat Record</v>
      </c>
      <c r="AW99" s="2" t="s">
        <v>1366</v>
      </c>
      <c r="AX99" s="2" t="s">
        <v>1367</v>
      </c>
      <c r="AY99" s="2" t="s">
        <v>1368</v>
      </c>
      <c r="AZ99" s="2" t="s">
        <v>1368</v>
      </c>
      <c r="BA99" s="2" t="s">
        <v>1369</v>
      </c>
      <c r="BB99" s="2" t="s">
        <v>79</v>
      </c>
      <c r="BE99" s="2" t="s">
        <v>1370</v>
      </c>
      <c r="BF99" s="2" t="s">
        <v>1371</v>
      </c>
    </row>
    <row r="100" spans="1:58" ht="39.75" customHeight="1" x14ac:dyDescent="0.25">
      <c r="A100" s="1"/>
      <c r="B100" s="1" t="s">
        <v>58</v>
      </c>
      <c r="C100" s="1" t="s">
        <v>59</v>
      </c>
      <c r="D100" s="1" t="s">
        <v>1372</v>
      </c>
      <c r="E100" s="1" t="s">
        <v>1373</v>
      </c>
      <c r="F100" s="1" t="s">
        <v>1374</v>
      </c>
      <c r="H100" s="2" t="s">
        <v>63</v>
      </c>
      <c r="I100" s="2" t="s">
        <v>64</v>
      </c>
      <c r="J100" s="2" t="s">
        <v>63</v>
      </c>
      <c r="K100" s="2" t="s">
        <v>63</v>
      </c>
      <c r="L100" s="2" t="s">
        <v>65</v>
      </c>
      <c r="M100" s="1" t="s">
        <v>1375</v>
      </c>
      <c r="N100" s="1" t="s">
        <v>1376</v>
      </c>
      <c r="O100" s="2" t="s">
        <v>1377</v>
      </c>
      <c r="Q100" s="2" t="s">
        <v>69</v>
      </c>
      <c r="R100" s="2" t="s">
        <v>88</v>
      </c>
      <c r="T100" s="2" t="s">
        <v>71</v>
      </c>
      <c r="U100" s="3">
        <v>17</v>
      </c>
      <c r="V100" s="3">
        <v>17</v>
      </c>
      <c r="W100" s="4" t="s">
        <v>1348</v>
      </c>
      <c r="X100" s="4" t="s">
        <v>1348</v>
      </c>
      <c r="Y100" s="4" t="s">
        <v>1378</v>
      </c>
      <c r="Z100" s="4" t="s">
        <v>1378</v>
      </c>
      <c r="AA100" s="3">
        <v>18</v>
      </c>
      <c r="AB100" s="3">
        <v>16</v>
      </c>
      <c r="AC100" s="3">
        <v>27</v>
      </c>
      <c r="AD100" s="3">
        <v>1</v>
      </c>
      <c r="AE100" s="3">
        <v>1</v>
      </c>
      <c r="AF100" s="3">
        <v>1</v>
      </c>
      <c r="AG100" s="3">
        <v>1</v>
      </c>
      <c r="AH100" s="3">
        <v>1</v>
      </c>
      <c r="AI100" s="3">
        <v>1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2" t="s">
        <v>74</v>
      </c>
      <c r="AS100" s="2" t="s">
        <v>63</v>
      </c>
      <c r="AT100" s="5" t="str">
        <f>HYPERLINK("http://catalog.hathitrust.org/Record/006598919","HathiTrust Record")</f>
        <v>HathiTrust Record</v>
      </c>
      <c r="AU100" s="5" t="str">
        <f>HYPERLINK("https://creighton-primo.hosted.exlibrisgroup.com/primo-explore/search?tab=default_tab&amp;search_scope=EVERYTHING&amp;vid=01CRU&amp;lang=en_US&amp;offset=0&amp;query=any,contains,991004993959702656","Catalog Record")</f>
        <v>Catalog Record</v>
      </c>
      <c r="AV100" s="5" t="str">
        <f>HYPERLINK("http://www.worldcat.org/oclc/6496010","WorldCat Record")</f>
        <v>WorldCat Record</v>
      </c>
      <c r="AW100" s="2" t="s">
        <v>1379</v>
      </c>
      <c r="AX100" s="2" t="s">
        <v>1380</v>
      </c>
      <c r="AY100" s="2" t="s">
        <v>1381</v>
      </c>
      <c r="AZ100" s="2" t="s">
        <v>1381</v>
      </c>
      <c r="BA100" s="2" t="s">
        <v>1382</v>
      </c>
      <c r="BB100" s="2" t="s">
        <v>79</v>
      </c>
      <c r="BE100" s="2" t="s">
        <v>1383</v>
      </c>
      <c r="BF100" s="2" t="s">
        <v>1384</v>
      </c>
    </row>
    <row r="101" spans="1:58" ht="39.75" customHeight="1" x14ac:dyDescent="0.25">
      <c r="A101" s="1"/>
      <c r="B101" s="1" t="s">
        <v>58</v>
      </c>
      <c r="C101" s="1" t="s">
        <v>59</v>
      </c>
      <c r="D101" s="1" t="s">
        <v>1385</v>
      </c>
      <c r="E101" s="1" t="s">
        <v>1386</v>
      </c>
      <c r="F101" s="1" t="s">
        <v>1387</v>
      </c>
      <c r="H101" s="2" t="s">
        <v>63</v>
      </c>
      <c r="I101" s="2" t="s">
        <v>64</v>
      </c>
      <c r="J101" s="2" t="s">
        <v>63</v>
      </c>
      <c r="K101" s="2" t="s">
        <v>63</v>
      </c>
      <c r="L101" s="2" t="s">
        <v>65</v>
      </c>
      <c r="M101" s="1" t="s">
        <v>1388</v>
      </c>
      <c r="N101" s="1" t="s">
        <v>1389</v>
      </c>
      <c r="O101" s="2" t="s">
        <v>248</v>
      </c>
      <c r="Q101" s="2" t="s">
        <v>69</v>
      </c>
      <c r="R101" s="2" t="s">
        <v>88</v>
      </c>
      <c r="S101" s="1" t="s">
        <v>1390</v>
      </c>
      <c r="T101" s="2" t="s">
        <v>71</v>
      </c>
      <c r="U101" s="3">
        <v>5</v>
      </c>
      <c r="V101" s="3">
        <v>5</v>
      </c>
      <c r="W101" s="4" t="s">
        <v>1270</v>
      </c>
      <c r="X101" s="4" t="s">
        <v>1270</v>
      </c>
      <c r="Y101" s="4" t="s">
        <v>250</v>
      </c>
      <c r="Z101" s="4" t="s">
        <v>250</v>
      </c>
      <c r="AA101" s="3">
        <v>165</v>
      </c>
      <c r="AB101" s="3">
        <v>119</v>
      </c>
      <c r="AC101" s="3">
        <v>136</v>
      </c>
      <c r="AD101" s="3">
        <v>1</v>
      </c>
      <c r="AE101" s="3">
        <v>1</v>
      </c>
      <c r="AF101" s="3">
        <v>3</v>
      </c>
      <c r="AG101" s="3">
        <v>4</v>
      </c>
      <c r="AH101" s="3">
        <v>0</v>
      </c>
      <c r="AI101" s="3">
        <v>1</v>
      </c>
      <c r="AJ101" s="3">
        <v>1</v>
      </c>
      <c r="AK101" s="3">
        <v>1</v>
      </c>
      <c r="AL101" s="3">
        <v>2</v>
      </c>
      <c r="AM101" s="3">
        <v>3</v>
      </c>
      <c r="AN101" s="3">
        <v>0</v>
      </c>
      <c r="AO101" s="3">
        <v>0</v>
      </c>
      <c r="AP101" s="3">
        <v>0</v>
      </c>
      <c r="AQ101" s="3">
        <v>0</v>
      </c>
      <c r="AR101" s="2" t="s">
        <v>63</v>
      </c>
      <c r="AS101" s="2" t="s">
        <v>74</v>
      </c>
      <c r="AT101" s="5" t="str">
        <f>HYPERLINK("http://catalog.hathitrust.org/Record/000884932","HathiTrust Record")</f>
        <v>HathiTrust Record</v>
      </c>
      <c r="AU101" s="5" t="str">
        <f>HYPERLINK("https://creighton-primo.hosted.exlibrisgroup.com/primo-explore/search?tab=default_tab&amp;search_scope=EVERYTHING&amp;vid=01CRU&amp;lang=en_US&amp;offset=0&amp;query=any,contains,991001073219702656","Catalog Record")</f>
        <v>Catalog Record</v>
      </c>
      <c r="AV101" s="5" t="str">
        <f>HYPERLINK("http://www.worldcat.org/oclc/16003566","WorldCat Record")</f>
        <v>WorldCat Record</v>
      </c>
      <c r="AW101" s="2" t="s">
        <v>1391</v>
      </c>
      <c r="AX101" s="2" t="s">
        <v>1392</v>
      </c>
      <c r="AY101" s="2" t="s">
        <v>1393</v>
      </c>
      <c r="AZ101" s="2" t="s">
        <v>1393</v>
      </c>
      <c r="BA101" s="2" t="s">
        <v>1394</v>
      </c>
      <c r="BB101" s="2" t="s">
        <v>79</v>
      </c>
      <c r="BD101" s="2" t="s">
        <v>1395</v>
      </c>
      <c r="BE101" s="2" t="s">
        <v>1396</v>
      </c>
      <c r="BF101" s="2" t="s">
        <v>1397</v>
      </c>
    </row>
    <row r="102" spans="1:58" ht="39.75" customHeight="1" x14ac:dyDescent="0.25">
      <c r="A102" s="1"/>
      <c r="B102" s="1" t="s">
        <v>58</v>
      </c>
      <c r="C102" s="1" t="s">
        <v>59</v>
      </c>
      <c r="D102" s="1" t="s">
        <v>1398</v>
      </c>
      <c r="E102" s="1" t="s">
        <v>1399</v>
      </c>
      <c r="F102" s="1" t="s">
        <v>1400</v>
      </c>
      <c r="H102" s="2" t="s">
        <v>63</v>
      </c>
      <c r="I102" s="2" t="s">
        <v>64</v>
      </c>
      <c r="J102" s="2" t="s">
        <v>63</v>
      </c>
      <c r="K102" s="2" t="s">
        <v>63</v>
      </c>
      <c r="L102" s="2" t="s">
        <v>65</v>
      </c>
      <c r="M102" s="1" t="s">
        <v>1401</v>
      </c>
      <c r="N102" s="1" t="s">
        <v>1402</v>
      </c>
      <c r="O102" s="2" t="s">
        <v>206</v>
      </c>
      <c r="P102" s="1" t="s">
        <v>276</v>
      </c>
      <c r="Q102" s="2" t="s">
        <v>69</v>
      </c>
      <c r="R102" s="2" t="s">
        <v>88</v>
      </c>
      <c r="T102" s="2" t="s">
        <v>71</v>
      </c>
      <c r="U102" s="3">
        <v>12</v>
      </c>
      <c r="V102" s="3">
        <v>12</v>
      </c>
      <c r="W102" s="4" t="s">
        <v>1403</v>
      </c>
      <c r="X102" s="4" t="s">
        <v>1403</v>
      </c>
      <c r="Y102" s="4" t="s">
        <v>1404</v>
      </c>
      <c r="Z102" s="4" t="s">
        <v>1404</v>
      </c>
      <c r="AA102" s="3">
        <v>300</v>
      </c>
      <c r="AB102" s="3">
        <v>200</v>
      </c>
      <c r="AC102" s="3">
        <v>836</v>
      </c>
      <c r="AD102" s="3">
        <v>2</v>
      </c>
      <c r="AE102" s="3">
        <v>27</v>
      </c>
      <c r="AF102" s="3">
        <v>14</v>
      </c>
      <c r="AG102" s="3">
        <v>31</v>
      </c>
      <c r="AH102" s="3">
        <v>7</v>
      </c>
      <c r="AI102" s="3">
        <v>11</v>
      </c>
      <c r="AJ102" s="3">
        <v>2</v>
      </c>
      <c r="AK102" s="3">
        <v>3</v>
      </c>
      <c r="AL102" s="3">
        <v>8</v>
      </c>
      <c r="AM102" s="3">
        <v>12</v>
      </c>
      <c r="AN102" s="3">
        <v>1</v>
      </c>
      <c r="AO102" s="3">
        <v>12</v>
      </c>
      <c r="AP102" s="3">
        <v>0</v>
      </c>
      <c r="AQ102" s="3">
        <v>0</v>
      </c>
      <c r="AR102" s="2" t="s">
        <v>63</v>
      </c>
      <c r="AS102" s="2" t="s">
        <v>63</v>
      </c>
      <c r="AU102" s="5" t="str">
        <f>HYPERLINK("https://creighton-primo.hosted.exlibrisgroup.com/primo-explore/search?tab=default_tab&amp;search_scope=EVERYTHING&amp;vid=01CRU&amp;lang=en_US&amp;offset=0&amp;query=any,contains,991003469209702656","Catalog Record")</f>
        <v>Catalog Record</v>
      </c>
      <c r="AV102" s="5" t="str">
        <f>HYPERLINK("http://www.worldcat.org/oclc/40555785","WorldCat Record")</f>
        <v>WorldCat Record</v>
      </c>
      <c r="AW102" s="2" t="s">
        <v>1405</v>
      </c>
      <c r="AX102" s="2" t="s">
        <v>1406</v>
      </c>
      <c r="AY102" s="2" t="s">
        <v>1407</v>
      </c>
      <c r="AZ102" s="2" t="s">
        <v>1407</v>
      </c>
      <c r="BA102" s="2" t="s">
        <v>1408</v>
      </c>
      <c r="BB102" s="2" t="s">
        <v>79</v>
      </c>
      <c r="BD102" s="2" t="s">
        <v>1409</v>
      </c>
      <c r="BE102" s="2" t="s">
        <v>1410</v>
      </c>
      <c r="BF102" s="2" t="s">
        <v>1411</v>
      </c>
    </row>
    <row r="103" spans="1:58" ht="39.75" customHeight="1" x14ac:dyDescent="0.25">
      <c r="A103" s="1"/>
      <c r="B103" s="1" t="s">
        <v>58</v>
      </c>
      <c r="C103" s="1" t="s">
        <v>59</v>
      </c>
      <c r="D103" s="1" t="s">
        <v>1412</v>
      </c>
      <c r="E103" s="1" t="s">
        <v>1413</v>
      </c>
      <c r="F103" s="1" t="s">
        <v>1414</v>
      </c>
      <c r="H103" s="2" t="s">
        <v>74</v>
      </c>
      <c r="I103" s="2" t="s">
        <v>64</v>
      </c>
      <c r="J103" s="2" t="s">
        <v>63</v>
      </c>
      <c r="K103" s="2" t="s">
        <v>63</v>
      </c>
      <c r="L103" s="2" t="s">
        <v>65</v>
      </c>
      <c r="M103" s="1" t="s">
        <v>1415</v>
      </c>
      <c r="N103" s="1" t="s">
        <v>1416</v>
      </c>
      <c r="O103" s="2" t="s">
        <v>955</v>
      </c>
      <c r="Q103" s="2" t="s">
        <v>69</v>
      </c>
      <c r="R103" s="2" t="s">
        <v>88</v>
      </c>
      <c r="T103" s="2" t="s">
        <v>71</v>
      </c>
      <c r="U103" s="3">
        <v>3</v>
      </c>
      <c r="V103" s="3">
        <v>3</v>
      </c>
      <c r="W103" s="4" t="s">
        <v>1403</v>
      </c>
      <c r="X103" s="4" t="s">
        <v>1403</v>
      </c>
      <c r="Y103" s="4" t="s">
        <v>105</v>
      </c>
      <c r="Z103" s="4" t="s">
        <v>105</v>
      </c>
      <c r="AA103" s="3">
        <v>792</v>
      </c>
      <c r="AB103" s="3">
        <v>685</v>
      </c>
      <c r="AC103" s="3">
        <v>841</v>
      </c>
      <c r="AD103" s="3">
        <v>6</v>
      </c>
      <c r="AE103" s="3">
        <v>8</v>
      </c>
      <c r="AF103" s="3">
        <v>31</v>
      </c>
      <c r="AG103" s="3">
        <v>37</v>
      </c>
      <c r="AH103" s="3">
        <v>14</v>
      </c>
      <c r="AI103" s="3">
        <v>15</v>
      </c>
      <c r="AJ103" s="3">
        <v>5</v>
      </c>
      <c r="AK103" s="3">
        <v>6</v>
      </c>
      <c r="AL103" s="3">
        <v>14</v>
      </c>
      <c r="AM103" s="3">
        <v>16</v>
      </c>
      <c r="AN103" s="3">
        <v>5</v>
      </c>
      <c r="AO103" s="3">
        <v>7</v>
      </c>
      <c r="AP103" s="3">
        <v>0</v>
      </c>
      <c r="AQ103" s="3">
        <v>0</v>
      </c>
      <c r="AR103" s="2" t="s">
        <v>63</v>
      </c>
      <c r="AS103" s="2" t="s">
        <v>74</v>
      </c>
      <c r="AT103" s="5" t="str">
        <f>HYPERLINK("http://catalog.hathitrust.org/Record/000414153","HathiTrust Record")</f>
        <v>HathiTrust Record</v>
      </c>
      <c r="AU103" s="5" t="str">
        <f>HYPERLINK("https://creighton-primo.hosted.exlibrisgroup.com/primo-explore/search?tab=default_tab&amp;search_scope=EVERYTHING&amp;vid=01CRU&amp;lang=en_US&amp;offset=0&amp;query=any,contains,991001899889702656","Catalog Record")</f>
        <v>Catalog Record</v>
      </c>
      <c r="AV103" s="5" t="str">
        <f>HYPERLINK("http://www.worldcat.org/oclc/239157","WorldCat Record")</f>
        <v>WorldCat Record</v>
      </c>
      <c r="AW103" s="2" t="s">
        <v>1417</v>
      </c>
      <c r="AX103" s="2" t="s">
        <v>1418</v>
      </c>
      <c r="AY103" s="2" t="s">
        <v>1419</v>
      </c>
      <c r="AZ103" s="2" t="s">
        <v>1419</v>
      </c>
      <c r="BA103" s="2" t="s">
        <v>1420</v>
      </c>
      <c r="BB103" s="2" t="s">
        <v>79</v>
      </c>
      <c r="BD103" s="2" t="s">
        <v>1421</v>
      </c>
      <c r="BE103" s="2" t="s">
        <v>1422</v>
      </c>
      <c r="BF103" s="2" t="s">
        <v>1423</v>
      </c>
    </row>
    <row r="104" spans="1:58" ht="39.75" customHeight="1" x14ac:dyDescent="0.25">
      <c r="A104" s="1"/>
      <c r="B104" s="1" t="s">
        <v>58</v>
      </c>
      <c r="C104" s="1" t="s">
        <v>59</v>
      </c>
      <c r="D104" s="1" t="s">
        <v>1424</v>
      </c>
      <c r="E104" s="1" t="s">
        <v>1425</v>
      </c>
      <c r="F104" s="1" t="s">
        <v>1426</v>
      </c>
      <c r="H104" s="2" t="s">
        <v>63</v>
      </c>
      <c r="I104" s="2" t="s">
        <v>64</v>
      </c>
      <c r="J104" s="2" t="s">
        <v>63</v>
      </c>
      <c r="K104" s="2" t="s">
        <v>63</v>
      </c>
      <c r="L104" s="2" t="s">
        <v>65</v>
      </c>
      <c r="N104" s="1" t="s">
        <v>611</v>
      </c>
      <c r="O104" s="2" t="s">
        <v>530</v>
      </c>
      <c r="Q104" s="2" t="s">
        <v>69</v>
      </c>
      <c r="R104" s="2" t="s">
        <v>612</v>
      </c>
      <c r="T104" s="2" t="s">
        <v>71</v>
      </c>
      <c r="U104" s="3">
        <v>2</v>
      </c>
      <c r="V104" s="3">
        <v>2</v>
      </c>
      <c r="W104" s="4" t="s">
        <v>1427</v>
      </c>
      <c r="X104" s="4" t="s">
        <v>1427</v>
      </c>
      <c r="Y104" s="4" t="s">
        <v>1428</v>
      </c>
      <c r="Z104" s="4" t="s">
        <v>1428</v>
      </c>
      <c r="AA104" s="3">
        <v>118</v>
      </c>
      <c r="AB104" s="3">
        <v>91</v>
      </c>
      <c r="AC104" s="3">
        <v>91</v>
      </c>
      <c r="AD104" s="3">
        <v>1</v>
      </c>
      <c r="AE104" s="3">
        <v>1</v>
      </c>
      <c r="AF104" s="3">
        <v>3</v>
      </c>
      <c r="AG104" s="3">
        <v>3</v>
      </c>
      <c r="AH104" s="3">
        <v>1</v>
      </c>
      <c r="AI104" s="3">
        <v>1</v>
      </c>
      <c r="AJ104" s="3">
        <v>2</v>
      </c>
      <c r="AK104" s="3">
        <v>2</v>
      </c>
      <c r="AL104" s="3">
        <v>3</v>
      </c>
      <c r="AM104" s="3">
        <v>3</v>
      </c>
      <c r="AN104" s="3">
        <v>0</v>
      </c>
      <c r="AO104" s="3">
        <v>0</v>
      </c>
      <c r="AP104" s="3">
        <v>0</v>
      </c>
      <c r="AQ104" s="3">
        <v>0</v>
      </c>
      <c r="AR104" s="2" t="s">
        <v>63</v>
      </c>
      <c r="AS104" s="2" t="s">
        <v>63</v>
      </c>
      <c r="AU104" s="5" t="str">
        <f>HYPERLINK("https://creighton-primo.hosted.exlibrisgroup.com/primo-explore/search?tab=default_tab&amp;search_scope=EVERYTHING&amp;vid=01CRU&amp;lang=en_US&amp;offset=0&amp;query=any,contains,991001843859702656","Catalog Record")</f>
        <v>Catalog Record</v>
      </c>
      <c r="AV104" s="5" t="str">
        <f>HYPERLINK("http://www.worldcat.org/oclc/23144957","WorldCat Record")</f>
        <v>WorldCat Record</v>
      </c>
      <c r="AW104" s="2" t="s">
        <v>1429</v>
      </c>
      <c r="AX104" s="2" t="s">
        <v>1430</v>
      </c>
      <c r="AY104" s="2" t="s">
        <v>1431</v>
      </c>
      <c r="AZ104" s="2" t="s">
        <v>1431</v>
      </c>
      <c r="BA104" s="2" t="s">
        <v>1432</v>
      </c>
      <c r="BB104" s="2" t="s">
        <v>79</v>
      </c>
      <c r="BD104" s="2" t="s">
        <v>1433</v>
      </c>
      <c r="BE104" s="2" t="s">
        <v>1434</v>
      </c>
      <c r="BF104" s="2" t="s">
        <v>1435</v>
      </c>
    </row>
    <row r="105" spans="1:58" ht="39.75" customHeight="1" x14ac:dyDescent="0.25">
      <c r="A105" s="1"/>
      <c r="B105" s="1" t="s">
        <v>58</v>
      </c>
      <c r="C105" s="1" t="s">
        <v>59</v>
      </c>
      <c r="D105" s="1" t="s">
        <v>1436</v>
      </c>
      <c r="E105" s="1" t="s">
        <v>1437</v>
      </c>
      <c r="F105" s="1" t="s">
        <v>1438</v>
      </c>
      <c r="H105" s="2" t="s">
        <v>63</v>
      </c>
      <c r="I105" s="2" t="s">
        <v>64</v>
      </c>
      <c r="J105" s="2" t="s">
        <v>63</v>
      </c>
      <c r="K105" s="2" t="s">
        <v>63</v>
      </c>
      <c r="L105" s="2" t="s">
        <v>65</v>
      </c>
      <c r="N105" s="1" t="s">
        <v>1439</v>
      </c>
      <c r="O105" s="2" t="s">
        <v>206</v>
      </c>
      <c r="Q105" s="2" t="s">
        <v>69</v>
      </c>
      <c r="R105" s="2" t="s">
        <v>118</v>
      </c>
      <c r="T105" s="2" t="s">
        <v>71</v>
      </c>
      <c r="U105" s="3">
        <v>13</v>
      </c>
      <c r="V105" s="3">
        <v>13</v>
      </c>
      <c r="W105" s="4" t="s">
        <v>1440</v>
      </c>
      <c r="X105" s="4" t="s">
        <v>1440</v>
      </c>
      <c r="Y105" s="4" t="s">
        <v>1441</v>
      </c>
      <c r="Z105" s="4" t="s">
        <v>1441</v>
      </c>
      <c r="AA105" s="3">
        <v>171</v>
      </c>
      <c r="AB105" s="3">
        <v>103</v>
      </c>
      <c r="AC105" s="3">
        <v>107</v>
      </c>
      <c r="AD105" s="3">
        <v>1</v>
      </c>
      <c r="AE105" s="3">
        <v>1</v>
      </c>
      <c r="AF105" s="3">
        <v>6</v>
      </c>
      <c r="AG105" s="3">
        <v>6</v>
      </c>
      <c r="AH105" s="3">
        <v>1</v>
      </c>
      <c r="AI105" s="3">
        <v>1</v>
      </c>
      <c r="AJ105" s="3">
        <v>3</v>
      </c>
      <c r="AK105" s="3">
        <v>3</v>
      </c>
      <c r="AL105" s="3">
        <v>4</v>
      </c>
      <c r="AM105" s="3">
        <v>4</v>
      </c>
      <c r="AN105" s="3">
        <v>0</v>
      </c>
      <c r="AO105" s="3">
        <v>0</v>
      </c>
      <c r="AP105" s="3">
        <v>0</v>
      </c>
      <c r="AQ105" s="3">
        <v>0</v>
      </c>
      <c r="AR105" s="2" t="s">
        <v>63</v>
      </c>
      <c r="AS105" s="2" t="s">
        <v>63</v>
      </c>
      <c r="AU105" s="5" t="str">
        <f>HYPERLINK("https://creighton-primo.hosted.exlibrisgroup.com/primo-explore/search?tab=default_tab&amp;search_scope=EVERYTHING&amp;vid=01CRU&amp;lang=en_US&amp;offset=0&amp;query=any,contains,991003001029702656","Catalog Record")</f>
        <v>Catalog Record</v>
      </c>
      <c r="AV105" s="5" t="str">
        <f>HYPERLINK("http://www.worldcat.org/oclc/40659800","WorldCat Record")</f>
        <v>WorldCat Record</v>
      </c>
      <c r="AW105" s="2" t="s">
        <v>1442</v>
      </c>
      <c r="AX105" s="2" t="s">
        <v>1443</v>
      </c>
      <c r="AY105" s="2" t="s">
        <v>1444</v>
      </c>
      <c r="AZ105" s="2" t="s">
        <v>1444</v>
      </c>
      <c r="BA105" s="2" t="s">
        <v>1445</v>
      </c>
      <c r="BB105" s="2" t="s">
        <v>79</v>
      </c>
      <c r="BD105" s="2" t="s">
        <v>1446</v>
      </c>
      <c r="BE105" s="2" t="s">
        <v>1447</v>
      </c>
      <c r="BF105" s="2" t="s">
        <v>1448</v>
      </c>
    </row>
    <row r="106" spans="1:58" ht="39.75" customHeight="1" x14ac:dyDescent="0.25">
      <c r="A106" s="1"/>
      <c r="B106" s="1" t="s">
        <v>58</v>
      </c>
      <c r="C106" s="1" t="s">
        <v>59</v>
      </c>
      <c r="D106" s="1" t="s">
        <v>1449</v>
      </c>
      <c r="E106" s="1" t="s">
        <v>1450</v>
      </c>
      <c r="F106" s="1" t="s">
        <v>1451</v>
      </c>
      <c r="H106" s="2" t="s">
        <v>63</v>
      </c>
      <c r="I106" s="2" t="s">
        <v>64</v>
      </c>
      <c r="J106" s="2" t="s">
        <v>63</v>
      </c>
      <c r="K106" s="2" t="s">
        <v>63</v>
      </c>
      <c r="L106" s="2" t="s">
        <v>65</v>
      </c>
      <c r="N106" s="1" t="s">
        <v>1452</v>
      </c>
      <c r="O106" s="2" t="s">
        <v>68</v>
      </c>
      <c r="Q106" s="2" t="s">
        <v>69</v>
      </c>
      <c r="R106" s="2" t="s">
        <v>612</v>
      </c>
      <c r="T106" s="2" t="s">
        <v>71</v>
      </c>
      <c r="U106" s="3">
        <v>1</v>
      </c>
      <c r="V106" s="3">
        <v>1</v>
      </c>
      <c r="W106" s="4" t="s">
        <v>933</v>
      </c>
      <c r="X106" s="4" t="s">
        <v>933</v>
      </c>
      <c r="Y106" s="4" t="s">
        <v>73</v>
      </c>
      <c r="Z106" s="4" t="s">
        <v>73</v>
      </c>
      <c r="AA106" s="3">
        <v>279</v>
      </c>
      <c r="AB106" s="3">
        <v>193</v>
      </c>
      <c r="AC106" s="3">
        <v>218</v>
      </c>
      <c r="AD106" s="3">
        <v>1</v>
      </c>
      <c r="AE106" s="3">
        <v>1</v>
      </c>
      <c r="AF106" s="3">
        <v>3</v>
      </c>
      <c r="AG106" s="3">
        <v>3</v>
      </c>
      <c r="AH106" s="3">
        <v>2</v>
      </c>
      <c r="AI106" s="3">
        <v>2</v>
      </c>
      <c r="AJ106" s="3">
        <v>1</v>
      </c>
      <c r="AK106" s="3">
        <v>1</v>
      </c>
      <c r="AL106" s="3">
        <v>1</v>
      </c>
      <c r="AM106" s="3">
        <v>1</v>
      </c>
      <c r="AN106" s="3">
        <v>0</v>
      </c>
      <c r="AO106" s="3">
        <v>0</v>
      </c>
      <c r="AP106" s="3">
        <v>0</v>
      </c>
      <c r="AQ106" s="3">
        <v>0</v>
      </c>
      <c r="AR106" s="2" t="s">
        <v>63</v>
      </c>
      <c r="AS106" s="2" t="s">
        <v>74</v>
      </c>
      <c r="AT106" s="5" t="str">
        <f>HYPERLINK("http://catalog.hathitrust.org/Record/000246970","HathiTrust Record")</f>
        <v>HathiTrust Record</v>
      </c>
      <c r="AU106" s="5" t="str">
        <f>HYPERLINK("https://creighton-primo.hosted.exlibrisgroup.com/primo-explore/search?tab=default_tab&amp;search_scope=EVERYTHING&amp;vid=01CRU&amp;lang=en_US&amp;offset=0&amp;query=any,contains,991000259569702656","Catalog Record")</f>
        <v>Catalog Record</v>
      </c>
      <c r="AV106" s="5" t="str">
        <f>HYPERLINK("http://www.worldcat.org/oclc/9785917","WorldCat Record")</f>
        <v>WorldCat Record</v>
      </c>
      <c r="AW106" s="2" t="s">
        <v>1453</v>
      </c>
      <c r="AX106" s="2" t="s">
        <v>1454</v>
      </c>
      <c r="AY106" s="2" t="s">
        <v>1455</v>
      </c>
      <c r="AZ106" s="2" t="s">
        <v>1455</v>
      </c>
      <c r="BA106" s="2" t="s">
        <v>1456</v>
      </c>
      <c r="BB106" s="2" t="s">
        <v>79</v>
      </c>
      <c r="BD106" s="2" t="s">
        <v>1457</v>
      </c>
      <c r="BE106" s="2" t="s">
        <v>1458</v>
      </c>
      <c r="BF106" s="2" t="s">
        <v>1459</v>
      </c>
    </row>
    <row r="107" spans="1:58" ht="39.75" customHeight="1" x14ac:dyDescent="0.25">
      <c r="A107" s="1"/>
      <c r="B107" s="1" t="s">
        <v>58</v>
      </c>
      <c r="C107" s="1" t="s">
        <v>59</v>
      </c>
      <c r="D107" s="1" t="s">
        <v>1460</v>
      </c>
      <c r="E107" s="1" t="s">
        <v>1461</v>
      </c>
      <c r="F107" s="1" t="s">
        <v>1462</v>
      </c>
      <c r="H107" s="2" t="s">
        <v>63</v>
      </c>
      <c r="I107" s="2" t="s">
        <v>64</v>
      </c>
      <c r="J107" s="2" t="s">
        <v>63</v>
      </c>
      <c r="K107" s="2" t="s">
        <v>63</v>
      </c>
      <c r="L107" s="2" t="s">
        <v>65</v>
      </c>
      <c r="N107" s="1" t="s">
        <v>1463</v>
      </c>
      <c r="O107" s="2" t="s">
        <v>875</v>
      </c>
      <c r="Q107" s="2" t="s">
        <v>69</v>
      </c>
      <c r="R107" s="2" t="s">
        <v>177</v>
      </c>
      <c r="T107" s="2" t="s">
        <v>71</v>
      </c>
      <c r="U107" s="3">
        <v>7</v>
      </c>
      <c r="V107" s="3">
        <v>7</v>
      </c>
      <c r="W107" s="4" t="s">
        <v>1464</v>
      </c>
      <c r="X107" s="4" t="s">
        <v>1464</v>
      </c>
      <c r="Y107" s="4" t="s">
        <v>73</v>
      </c>
      <c r="Z107" s="4" t="s">
        <v>73</v>
      </c>
      <c r="AA107" s="3">
        <v>305</v>
      </c>
      <c r="AB107" s="3">
        <v>218</v>
      </c>
      <c r="AC107" s="3">
        <v>218</v>
      </c>
      <c r="AD107" s="3">
        <v>1</v>
      </c>
      <c r="AE107" s="3">
        <v>1</v>
      </c>
      <c r="AF107" s="3">
        <v>6</v>
      </c>
      <c r="AG107" s="3">
        <v>6</v>
      </c>
      <c r="AH107" s="3">
        <v>2</v>
      </c>
      <c r="AI107" s="3">
        <v>2</v>
      </c>
      <c r="AJ107" s="3">
        <v>0</v>
      </c>
      <c r="AK107" s="3">
        <v>0</v>
      </c>
      <c r="AL107" s="3">
        <v>5</v>
      </c>
      <c r="AM107" s="3">
        <v>5</v>
      </c>
      <c r="AN107" s="3">
        <v>0</v>
      </c>
      <c r="AO107" s="3">
        <v>0</v>
      </c>
      <c r="AP107" s="3">
        <v>0</v>
      </c>
      <c r="AQ107" s="3">
        <v>0</v>
      </c>
      <c r="AR107" s="2" t="s">
        <v>63</v>
      </c>
      <c r="AS107" s="2" t="s">
        <v>63</v>
      </c>
      <c r="AU107" s="5" t="str">
        <f>HYPERLINK("https://creighton-primo.hosted.exlibrisgroup.com/primo-explore/search?tab=default_tab&amp;search_scope=EVERYTHING&amp;vid=01CRU&amp;lang=en_US&amp;offset=0&amp;query=any,contains,991005168849702656","Catalog Record")</f>
        <v>Catalog Record</v>
      </c>
      <c r="AV107" s="5" t="str">
        <f>HYPERLINK("http://www.worldcat.org/oclc/7837678","WorldCat Record")</f>
        <v>WorldCat Record</v>
      </c>
      <c r="AW107" s="2" t="s">
        <v>1465</v>
      </c>
      <c r="AX107" s="2" t="s">
        <v>1466</v>
      </c>
      <c r="AY107" s="2" t="s">
        <v>1467</v>
      </c>
      <c r="AZ107" s="2" t="s">
        <v>1467</v>
      </c>
      <c r="BA107" s="2" t="s">
        <v>1468</v>
      </c>
      <c r="BB107" s="2" t="s">
        <v>79</v>
      </c>
      <c r="BD107" s="2" t="s">
        <v>1469</v>
      </c>
      <c r="BE107" s="2" t="s">
        <v>1470</v>
      </c>
      <c r="BF107" s="2" t="s">
        <v>1471</v>
      </c>
    </row>
    <row r="108" spans="1:58" ht="39.75" customHeight="1" x14ac:dyDescent="0.25">
      <c r="A108" s="1"/>
      <c r="B108" s="1" t="s">
        <v>58</v>
      </c>
      <c r="C108" s="1" t="s">
        <v>59</v>
      </c>
      <c r="D108" s="1" t="s">
        <v>1472</v>
      </c>
      <c r="E108" s="1" t="s">
        <v>1473</v>
      </c>
      <c r="F108" s="1" t="s">
        <v>1474</v>
      </c>
      <c r="H108" s="2" t="s">
        <v>63</v>
      </c>
      <c r="I108" s="2" t="s">
        <v>64</v>
      </c>
      <c r="J108" s="2" t="s">
        <v>63</v>
      </c>
      <c r="K108" s="2" t="s">
        <v>63</v>
      </c>
      <c r="L108" s="2" t="s">
        <v>65</v>
      </c>
      <c r="M108" s="1" t="s">
        <v>1475</v>
      </c>
      <c r="N108" s="1" t="s">
        <v>1476</v>
      </c>
      <c r="O108" s="2" t="s">
        <v>1477</v>
      </c>
      <c r="Q108" s="2" t="s">
        <v>69</v>
      </c>
      <c r="R108" s="2" t="s">
        <v>88</v>
      </c>
      <c r="T108" s="2" t="s">
        <v>71</v>
      </c>
      <c r="U108" s="3">
        <v>2</v>
      </c>
      <c r="V108" s="3">
        <v>2</v>
      </c>
      <c r="W108" s="4" t="s">
        <v>1478</v>
      </c>
      <c r="X108" s="4" t="s">
        <v>1478</v>
      </c>
      <c r="Y108" s="4" t="s">
        <v>1479</v>
      </c>
      <c r="Z108" s="4" t="s">
        <v>1479</v>
      </c>
      <c r="AA108" s="3">
        <v>37</v>
      </c>
      <c r="AB108" s="3">
        <v>32</v>
      </c>
      <c r="AC108" s="3">
        <v>34</v>
      </c>
      <c r="AD108" s="3">
        <v>1</v>
      </c>
      <c r="AE108" s="3">
        <v>1</v>
      </c>
      <c r="AF108" s="3">
        <v>1</v>
      </c>
      <c r="AG108" s="3">
        <v>1</v>
      </c>
      <c r="AH108" s="3">
        <v>0</v>
      </c>
      <c r="AI108" s="3">
        <v>0</v>
      </c>
      <c r="AJ108" s="3">
        <v>0</v>
      </c>
      <c r="AK108" s="3">
        <v>0</v>
      </c>
      <c r="AL108" s="3">
        <v>1</v>
      </c>
      <c r="AM108" s="3">
        <v>1</v>
      </c>
      <c r="AN108" s="3">
        <v>0</v>
      </c>
      <c r="AO108" s="3">
        <v>0</v>
      </c>
      <c r="AP108" s="3">
        <v>0</v>
      </c>
      <c r="AQ108" s="3">
        <v>0</v>
      </c>
      <c r="AR108" s="2" t="s">
        <v>63</v>
      </c>
      <c r="AS108" s="2" t="s">
        <v>74</v>
      </c>
      <c r="AT108" s="5" t="str">
        <f>HYPERLINK("http://catalog.hathitrust.org/Record/002083040","HathiTrust Record")</f>
        <v>HathiTrust Record</v>
      </c>
      <c r="AU108" s="5" t="str">
        <f>HYPERLINK("https://creighton-primo.hosted.exlibrisgroup.com/primo-explore/search?tab=default_tab&amp;search_scope=EVERYTHING&amp;vid=01CRU&amp;lang=en_US&amp;offset=0&amp;query=any,contains,991004378739702656","Catalog Record")</f>
        <v>Catalog Record</v>
      </c>
      <c r="AV108" s="5" t="str">
        <f>HYPERLINK("http://www.worldcat.org/oclc/3208106","WorldCat Record")</f>
        <v>WorldCat Record</v>
      </c>
      <c r="AW108" s="2" t="s">
        <v>1480</v>
      </c>
      <c r="AX108" s="2" t="s">
        <v>1481</v>
      </c>
      <c r="AY108" s="2" t="s">
        <v>1482</v>
      </c>
      <c r="AZ108" s="2" t="s">
        <v>1482</v>
      </c>
      <c r="BA108" s="2" t="s">
        <v>1483</v>
      </c>
      <c r="BB108" s="2" t="s">
        <v>79</v>
      </c>
      <c r="BE108" s="2" t="s">
        <v>1484</v>
      </c>
      <c r="BF108" s="2" t="s">
        <v>1485</v>
      </c>
    </row>
    <row r="109" spans="1:58" ht="39.75" customHeight="1" x14ac:dyDescent="0.25">
      <c r="A109" s="1"/>
      <c r="B109" s="1" t="s">
        <v>58</v>
      </c>
      <c r="C109" s="1" t="s">
        <v>59</v>
      </c>
      <c r="D109" s="1" t="s">
        <v>1486</v>
      </c>
      <c r="E109" s="1" t="s">
        <v>1487</v>
      </c>
      <c r="F109" s="1" t="s">
        <v>1488</v>
      </c>
      <c r="H109" s="2" t="s">
        <v>63</v>
      </c>
      <c r="I109" s="2" t="s">
        <v>64</v>
      </c>
      <c r="J109" s="2" t="s">
        <v>63</v>
      </c>
      <c r="K109" s="2" t="s">
        <v>63</v>
      </c>
      <c r="L109" s="2" t="s">
        <v>65</v>
      </c>
      <c r="M109" s="1" t="s">
        <v>1489</v>
      </c>
      <c r="N109" s="1" t="s">
        <v>1490</v>
      </c>
      <c r="O109" s="2" t="s">
        <v>1491</v>
      </c>
      <c r="P109" s="1" t="s">
        <v>1492</v>
      </c>
      <c r="Q109" s="2" t="s">
        <v>69</v>
      </c>
      <c r="R109" s="2" t="s">
        <v>191</v>
      </c>
      <c r="T109" s="2" t="s">
        <v>71</v>
      </c>
      <c r="U109" s="3">
        <v>2</v>
      </c>
      <c r="V109" s="3">
        <v>2</v>
      </c>
      <c r="W109" s="4" t="s">
        <v>1493</v>
      </c>
      <c r="X109" s="4" t="s">
        <v>1493</v>
      </c>
      <c r="Y109" s="4" t="s">
        <v>105</v>
      </c>
      <c r="Z109" s="4" t="s">
        <v>105</v>
      </c>
      <c r="AA109" s="3">
        <v>78</v>
      </c>
      <c r="AB109" s="3">
        <v>71</v>
      </c>
      <c r="AC109" s="3">
        <v>270</v>
      </c>
      <c r="AD109" s="3">
        <v>3</v>
      </c>
      <c r="AE109" s="3">
        <v>4</v>
      </c>
      <c r="AF109" s="3">
        <v>3</v>
      </c>
      <c r="AG109" s="3">
        <v>5</v>
      </c>
      <c r="AH109" s="3">
        <v>0</v>
      </c>
      <c r="AI109" s="3">
        <v>1</v>
      </c>
      <c r="AJ109" s="3">
        <v>1</v>
      </c>
      <c r="AK109" s="3">
        <v>1</v>
      </c>
      <c r="AL109" s="3">
        <v>0</v>
      </c>
      <c r="AM109" s="3">
        <v>0</v>
      </c>
      <c r="AN109" s="3">
        <v>2</v>
      </c>
      <c r="AO109" s="3">
        <v>3</v>
      </c>
      <c r="AP109" s="3">
        <v>0</v>
      </c>
      <c r="AQ109" s="3">
        <v>0</v>
      </c>
      <c r="AR109" s="2" t="s">
        <v>74</v>
      </c>
      <c r="AS109" s="2" t="s">
        <v>63</v>
      </c>
      <c r="AT109" s="5" t="str">
        <f>HYPERLINK("http://catalog.hathitrust.org/Record/100414014","HathiTrust Record")</f>
        <v>HathiTrust Record</v>
      </c>
      <c r="AU109" s="5" t="str">
        <f>HYPERLINK("https://creighton-primo.hosted.exlibrisgroup.com/primo-explore/search?tab=default_tab&amp;search_scope=EVERYTHING&amp;vid=01CRU&amp;lang=en_US&amp;offset=0&amp;query=any,contains,991003859979702656","Catalog Record")</f>
        <v>Catalog Record</v>
      </c>
      <c r="AV109" s="5" t="str">
        <f>HYPERLINK("http://www.worldcat.org/oclc/1663901","WorldCat Record")</f>
        <v>WorldCat Record</v>
      </c>
      <c r="AW109" s="2" t="s">
        <v>1494</v>
      </c>
      <c r="AX109" s="2" t="s">
        <v>1495</v>
      </c>
      <c r="AY109" s="2" t="s">
        <v>1496</v>
      </c>
      <c r="AZ109" s="2" t="s">
        <v>1496</v>
      </c>
      <c r="BA109" s="2" t="s">
        <v>1497</v>
      </c>
      <c r="BB109" s="2" t="s">
        <v>79</v>
      </c>
      <c r="BE109" s="2" t="s">
        <v>1498</v>
      </c>
      <c r="BF109" s="2" t="s">
        <v>1499</v>
      </c>
    </row>
    <row r="110" spans="1:58" ht="39.75" customHeight="1" x14ac:dyDescent="0.25">
      <c r="A110" s="1"/>
      <c r="B110" s="1" t="s">
        <v>58</v>
      </c>
      <c r="C110" s="1" t="s">
        <v>59</v>
      </c>
      <c r="D110" s="1" t="s">
        <v>1500</v>
      </c>
      <c r="E110" s="1" t="s">
        <v>1501</v>
      </c>
      <c r="F110" s="1" t="s">
        <v>1502</v>
      </c>
      <c r="H110" s="2" t="s">
        <v>63</v>
      </c>
      <c r="I110" s="2" t="s">
        <v>64</v>
      </c>
      <c r="J110" s="2" t="s">
        <v>63</v>
      </c>
      <c r="K110" s="2" t="s">
        <v>63</v>
      </c>
      <c r="L110" s="2" t="s">
        <v>65</v>
      </c>
      <c r="M110" s="1" t="s">
        <v>1503</v>
      </c>
      <c r="N110" s="1" t="s">
        <v>1504</v>
      </c>
      <c r="O110" s="2" t="s">
        <v>1505</v>
      </c>
      <c r="Q110" s="2" t="s">
        <v>69</v>
      </c>
      <c r="R110" s="2" t="s">
        <v>1506</v>
      </c>
      <c r="T110" s="2" t="s">
        <v>71</v>
      </c>
      <c r="U110" s="3">
        <v>1</v>
      </c>
      <c r="V110" s="3">
        <v>1</v>
      </c>
      <c r="W110" s="4" t="s">
        <v>1190</v>
      </c>
      <c r="X110" s="4" t="s">
        <v>1190</v>
      </c>
      <c r="Y110" s="4" t="s">
        <v>105</v>
      </c>
      <c r="Z110" s="4" t="s">
        <v>105</v>
      </c>
      <c r="AA110" s="3">
        <v>875</v>
      </c>
      <c r="AB110" s="3">
        <v>766</v>
      </c>
      <c r="AC110" s="3">
        <v>859</v>
      </c>
      <c r="AD110" s="3">
        <v>8</v>
      </c>
      <c r="AE110" s="3">
        <v>9</v>
      </c>
      <c r="AF110" s="3">
        <v>35</v>
      </c>
      <c r="AG110" s="3">
        <v>38</v>
      </c>
      <c r="AH110" s="3">
        <v>14</v>
      </c>
      <c r="AI110" s="3">
        <v>14</v>
      </c>
      <c r="AJ110" s="3">
        <v>6</v>
      </c>
      <c r="AK110" s="3">
        <v>6</v>
      </c>
      <c r="AL110" s="3">
        <v>17</v>
      </c>
      <c r="AM110" s="3">
        <v>19</v>
      </c>
      <c r="AN110" s="3">
        <v>7</v>
      </c>
      <c r="AO110" s="3">
        <v>8</v>
      </c>
      <c r="AP110" s="3">
        <v>0</v>
      </c>
      <c r="AQ110" s="3">
        <v>0</v>
      </c>
      <c r="AR110" s="2" t="s">
        <v>63</v>
      </c>
      <c r="AS110" s="2" t="s">
        <v>74</v>
      </c>
      <c r="AT110" s="5" t="str">
        <f>HYPERLINK("http://catalog.hathitrust.org/Record/001556256","HathiTrust Record")</f>
        <v>HathiTrust Record</v>
      </c>
      <c r="AU110" s="5" t="str">
        <f>HYPERLINK("https://creighton-primo.hosted.exlibrisgroup.com/primo-explore/search?tab=default_tab&amp;search_scope=EVERYTHING&amp;vid=01CRU&amp;lang=en_US&amp;offset=0&amp;query=any,contains,991001005019702656","Catalog Record")</f>
        <v>Catalog Record</v>
      </c>
      <c r="AV110" s="5" t="str">
        <f>HYPERLINK("http://www.worldcat.org/oclc/172447","WorldCat Record")</f>
        <v>WorldCat Record</v>
      </c>
      <c r="AW110" s="2" t="s">
        <v>1507</v>
      </c>
      <c r="AX110" s="2" t="s">
        <v>1508</v>
      </c>
      <c r="AY110" s="2" t="s">
        <v>1509</v>
      </c>
      <c r="AZ110" s="2" t="s">
        <v>1509</v>
      </c>
      <c r="BA110" s="2" t="s">
        <v>1510</v>
      </c>
      <c r="BB110" s="2" t="s">
        <v>79</v>
      </c>
      <c r="BE110" s="2" t="s">
        <v>1511</v>
      </c>
      <c r="BF110" s="2" t="s">
        <v>1512</v>
      </c>
    </row>
    <row r="111" spans="1:58" ht="39.75" customHeight="1" x14ac:dyDescent="0.25">
      <c r="A111" s="1"/>
      <c r="B111" s="1" t="s">
        <v>58</v>
      </c>
      <c r="C111" s="1" t="s">
        <v>59</v>
      </c>
      <c r="D111" s="1" t="s">
        <v>1513</v>
      </c>
      <c r="E111" s="1" t="s">
        <v>1514</v>
      </c>
      <c r="F111" s="1" t="s">
        <v>1515</v>
      </c>
      <c r="H111" s="2" t="s">
        <v>63</v>
      </c>
      <c r="I111" s="2" t="s">
        <v>64</v>
      </c>
      <c r="J111" s="2" t="s">
        <v>63</v>
      </c>
      <c r="K111" s="2" t="s">
        <v>63</v>
      </c>
      <c r="L111" s="2" t="s">
        <v>65</v>
      </c>
      <c r="N111" s="1" t="s">
        <v>1516</v>
      </c>
      <c r="O111" s="2" t="s">
        <v>206</v>
      </c>
      <c r="Q111" s="2" t="s">
        <v>69</v>
      </c>
      <c r="R111" s="2" t="s">
        <v>118</v>
      </c>
      <c r="S111" s="1" t="s">
        <v>1517</v>
      </c>
      <c r="T111" s="2" t="s">
        <v>71</v>
      </c>
      <c r="U111" s="3">
        <v>19</v>
      </c>
      <c r="V111" s="3">
        <v>19</v>
      </c>
      <c r="W111" s="4" t="s">
        <v>1518</v>
      </c>
      <c r="X111" s="4" t="s">
        <v>1518</v>
      </c>
      <c r="Y111" s="4" t="s">
        <v>1519</v>
      </c>
      <c r="Z111" s="4" t="s">
        <v>1519</v>
      </c>
      <c r="AA111" s="3">
        <v>171</v>
      </c>
      <c r="AB111" s="3">
        <v>82</v>
      </c>
      <c r="AC111" s="3">
        <v>135</v>
      </c>
      <c r="AD111" s="3">
        <v>1</v>
      </c>
      <c r="AE111" s="3">
        <v>1</v>
      </c>
      <c r="AF111" s="3">
        <v>0</v>
      </c>
      <c r="AG111" s="3">
        <v>1</v>
      </c>
      <c r="AH111" s="3">
        <v>0</v>
      </c>
      <c r="AI111" s="3">
        <v>1</v>
      </c>
      <c r="AJ111" s="3">
        <v>0</v>
      </c>
      <c r="AK111" s="3">
        <v>0</v>
      </c>
      <c r="AL111" s="3">
        <v>0</v>
      </c>
      <c r="AM111" s="3">
        <v>1</v>
      </c>
      <c r="AN111" s="3">
        <v>0</v>
      </c>
      <c r="AO111" s="3">
        <v>0</v>
      </c>
      <c r="AP111" s="3">
        <v>0</v>
      </c>
      <c r="AQ111" s="3">
        <v>0</v>
      </c>
      <c r="AR111" s="2" t="s">
        <v>63</v>
      </c>
      <c r="AS111" s="2" t="s">
        <v>63</v>
      </c>
      <c r="AU111" s="5" t="str">
        <f>HYPERLINK("https://creighton-primo.hosted.exlibrisgroup.com/primo-explore/search?tab=default_tab&amp;search_scope=EVERYTHING&amp;vid=01CRU&amp;lang=en_US&amp;offset=0&amp;query=any,contains,991002976309702656","Catalog Record")</f>
        <v>Catalog Record</v>
      </c>
      <c r="AV111" s="5" t="str">
        <f>HYPERLINK("http://www.worldcat.org/oclc/39912704","WorldCat Record")</f>
        <v>WorldCat Record</v>
      </c>
      <c r="AW111" s="2" t="s">
        <v>1520</v>
      </c>
      <c r="AX111" s="2" t="s">
        <v>1521</v>
      </c>
      <c r="AY111" s="2" t="s">
        <v>1522</v>
      </c>
      <c r="AZ111" s="2" t="s">
        <v>1522</v>
      </c>
      <c r="BA111" s="2" t="s">
        <v>1523</v>
      </c>
      <c r="BB111" s="2" t="s">
        <v>79</v>
      </c>
      <c r="BD111" s="2" t="s">
        <v>1524</v>
      </c>
      <c r="BE111" s="2" t="s">
        <v>1525</v>
      </c>
      <c r="BF111" s="2" t="s">
        <v>1526</v>
      </c>
    </row>
    <row r="112" spans="1:58" ht="39.75" customHeight="1" x14ac:dyDescent="0.25">
      <c r="A112" s="1"/>
      <c r="B112" s="1" t="s">
        <v>58</v>
      </c>
      <c r="C112" s="1" t="s">
        <v>59</v>
      </c>
      <c r="D112" s="1" t="s">
        <v>1527</v>
      </c>
      <c r="E112" s="1" t="s">
        <v>1528</v>
      </c>
      <c r="F112" s="1" t="s">
        <v>1529</v>
      </c>
      <c r="H112" s="2" t="s">
        <v>63</v>
      </c>
      <c r="I112" s="2" t="s">
        <v>64</v>
      </c>
      <c r="J112" s="2" t="s">
        <v>63</v>
      </c>
      <c r="K112" s="2" t="s">
        <v>63</v>
      </c>
      <c r="L112" s="2" t="s">
        <v>65</v>
      </c>
      <c r="M112" s="1" t="s">
        <v>1530</v>
      </c>
      <c r="N112" s="1" t="s">
        <v>1531</v>
      </c>
      <c r="O112" s="2" t="s">
        <v>290</v>
      </c>
      <c r="Q112" s="2" t="s">
        <v>69</v>
      </c>
      <c r="R112" s="2" t="s">
        <v>118</v>
      </c>
      <c r="S112" s="1" t="s">
        <v>1532</v>
      </c>
      <c r="T112" s="2" t="s">
        <v>71</v>
      </c>
      <c r="U112" s="3">
        <v>8</v>
      </c>
      <c r="V112" s="3">
        <v>8</v>
      </c>
      <c r="W112" s="4" t="s">
        <v>1533</v>
      </c>
      <c r="X112" s="4" t="s">
        <v>1533</v>
      </c>
      <c r="Y112" s="4" t="s">
        <v>1534</v>
      </c>
      <c r="Z112" s="4" t="s">
        <v>1534</v>
      </c>
      <c r="AA112" s="3">
        <v>160</v>
      </c>
      <c r="AB112" s="3">
        <v>83</v>
      </c>
      <c r="AC112" s="3">
        <v>107</v>
      </c>
      <c r="AD112" s="3">
        <v>1</v>
      </c>
      <c r="AE112" s="3">
        <v>1</v>
      </c>
      <c r="AF112" s="3">
        <v>2</v>
      </c>
      <c r="AG112" s="3">
        <v>2</v>
      </c>
      <c r="AH112" s="3">
        <v>0</v>
      </c>
      <c r="AI112" s="3">
        <v>0</v>
      </c>
      <c r="AJ112" s="3">
        <v>0</v>
      </c>
      <c r="AK112" s="3">
        <v>0</v>
      </c>
      <c r="AL112" s="3">
        <v>2</v>
      </c>
      <c r="AM112" s="3">
        <v>2</v>
      </c>
      <c r="AN112" s="3">
        <v>0</v>
      </c>
      <c r="AO112" s="3">
        <v>0</v>
      </c>
      <c r="AP112" s="3">
        <v>0</v>
      </c>
      <c r="AQ112" s="3">
        <v>0</v>
      </c>
      <c r="AR112" s="2" t="s">
        <v>63</v>
      </c>
      <c r="AS112" s="2" t="s">
        <v>74</v>
      </c>
      <c r="AT112" s="5" t="str">
        <f>HYPERLINK("http://catalog.hathitrust.org/Record/009923302","HathiTrust Record")</f>
        <v>HathiTrust Record</v>
      </c>
      <c r="AU112" s="5" t="str">
        <f>HYPERLINK("https://creighton-primo.hosted.exlibrisgroup.com/primo-explore/search?tab=default_tab&amp;search_scope=EVERYTHING&amp;vid=01CRU&amp;lang=en_US&amp;offset=0&amp;query=any,contains,991002552479702656","Catalog Record")</f>
        <v>Catalog Record</v>
      </c>
      <c r="AV112" s="5" t="str">
        <f>HYPERLINK("http://www.worldcat.org/oclc/33163383","WorldCat Record")</f>
        <v>WorldCat Record</v>
      </c>
      <c r="AW112" s="2" t="s">
        <v>1535</v>
      </c>
      <c r="AX112" s="2" t="s">
        <v>1536</v>
      </c>
      <c r="AY112" s="2" t="s">
        <v>1537</v>
      </c>
      <c r="AZ112" s="2" t="s">
        <v>1537</v>
      </c>
      <c r="BA112" s="2" t="s">
        <v>1538</v>
      </c>
      <c r="BB112" s="2" t="s">
        <v>79</v>
      </c>
      <c r="BD112" s="2" t="s">
        <v>1539</v>
      </c>
      <c r="BE112" s="2" t="s">
        <v>1540</v>
      </c>
      <c r="BF112" s="2" t="s">
        <v>1541</v>
      </c>
    </row>
    <row r="113" spans="1:58" ht="39.75" customHeight="1" x14ac:dyDescent="0.25">
      <c r="A113" s="1"/>
      <c r="B113" s="1" t="s">
        <v>58</v>
      </c>
      <c r="C113" s="1" t="s">
        <v>59</v>
      </c>
      <c r="D113" s="1" t="s">
        <v>1542</v>
      </c>
      <c r="E113" s="1" t="s">
        <v>1543</v>
      </c>
      <c r="F113" s="1" t="s">
        <v>1544</v>
      </c>
      <c r="H113" s="2" t="s">
        <v>63</v>
      </c>
      <c r="I113" s="2" t="s">
        <v>64</v>
      </c>
      <c r="J113" s="2" t="s">
        <v>63</v>
      </c>
      <c r="K113" s="2" t="s">
        <v>74</v>
      </c>
      <c r="L113" s="2" t="s">
        <v>65</v>
      </c>
      <c r="M113" s="1" t="s">
        <v>1545</v>
      </c>
      <c r="N113" s="1" t="s">
        <v>1546</v>
      </c>
      <c r="O113" s="2" t="s">
        <v>1361</v>
      </c>
      <c r="P113" s="1" t="s">
        <v>161</v>
      </c>
      <c r="Q113" s="2" t="s">
        <v>69</v>
      </c>
      <c r="R113" s="2" t="s">
        <v>88</v>
      </c>
      <c r="T113" s="2" t="s">
        <v>71</v>
      </c>
      <c r="U113" s="3">
        <v>2</v>
      </c>
      <c r="V113" s="3">
        <v>2</v>
      </c>
      <c r="W113" s="4" t="s">
        <v>956</v>
      </c>
      <c r="X113" s="4" t="s">
        <v>956</v>
      </c>
      <c r="Y113" s="4" t="s">
        <v>105</v>
      </c>
      <c r="Z113" s="4" t="s">
        <v>105</v>
      </c>
      <c r="AA113" s="3">
        <v>613</v>
      </c>
      <c r="AB113" s="3">
        <v>559</v>
      </c>
      <c r="AC113" s="3">
        <v>814</v>
      </c>
      <c r="AD113" s="3">
        <v>5</v>
      </c>
      <c r="AE113" s="3">
        <v>9</v>
      </c>
      <c r="AF113" s="3">
        <v>23</v>
      </c>
      <c r="AG113" s="3">
        <v>38</v>
      </c>
      <c r="AH113" s="3">
        <v>11</v>
      </c>
      <c r="AI113" s="3">
        <v>20</v>
      </c>
      <c r="AJ113" s="3">
        <v>5</v>
      </c>
      <c r="AK113" s="3">
        <v>6</v>
      </c>
      <c r="AL113" s="3">
        <v>9</v>
      </c>
      <c r="AM113" s="3">
        <v>15</v>
      </c>
      <c r="AN113" s="3">
        <v>4</v>
      </c>
      <c r="AO113" s="3">
        <v>7</v>
      </c>
      <c r="AP113" s="3">
        <v>0</v>
      </c>
      <c r="AQ113" s="3">
        <v>0</v>
      </c>
      <c r="AR113" s="2" t="s">
        <v>63</v>
      </c>
      <c r="AS113" s="2" t="s">
        <v>63</v>
      </c>
      <c r="AU113" s="5" t="str">
        <f>HYPERLINK("https://creighton-primo.hosted.exlibrisgroup.com/primo-explore/search?tab=default_tab&amp;search_scope=EVERYTHING&amp;vid=01CRU&amp;lang=en_US&amp;offset=0&amp;query=any,contains,991005437929702656","Catalog Record")</f>
        <v>Catalog Record</v>
      </c>
      <c r="AV113" s="5" t="str">
        <f>HYPERLINK("http://www.worldcat.org/oclc/5628","WorldCat Record")</f>
        <v>WorldCat Record</v>
      </c>
      <c r="AW113" s="2" t="s">
        <v>1547</v>
      </c>
      <c r="AX113" s="2" t="s">
        <v>1548</v>
      </c>
      <c r="AY113" s="2" t="s">
        <v>1549</v>
      </c>
      <c r="AZ113" s="2" t="s">
        <v>1549</v>
      </c>
      <c r="BA113" s="2" t="s">
        <v>1550</v>
      </c>
      <c r="BB113" s="2" t="s">
        <v>79</v>
      </c>
      <c r="BE113" s="2" t="s">
        <v>1551</v>
      </c>
      <c r="BF113" s="2" t="s">
        <v>1552</v>
      </c>
    </row>
    <row r="114" spans="1:58" ht="39.75" customHeight="1" x14ac:dyDescent="0.25">
      <c r="A114" s="1"/>
      <c r="B114" s="1" t="s">
        <v>58</v>
      </c>
      <c r="C114" s="1" t="s">
        <v>59</v>
      </c>
      <c r="D114" s="1" t="s">
        <v>1553</v>
      </c>
      <c r="E114" s="1" t="s">
        <v>1554</v>
      </c>
      <c r="F114" s="1" t="s">
        <v>1555</v>
      </c>
      <c r="H114" s="2" t="s">
        <v>63</v>
      </c>
      <c r="I114" s="2" t="s">
        <v>64</v>
      </c>
      <c r="J114" s="2" t="s">
        <v>63</v>
      </c>
      <c r="K114" s="2" t="s">
        <v>63</v>
      </c>
      <c r="L114" s="2" t="s">
        <v>65</v>
      </c>
      <c r="M114" s="1" t="s">
        <v>1556</v>
      </c>
      <c r="N114" s="1" t="s">
        <v>1557</v>
      </c>
      <c r="O114" s="2" t="s">
        <v>1361</v>
      </c>
      <c r="Q114" s="2" t="s">
        <v>69</v>
      </c>
      <c r="R114" s="2" t="s">
        <v>1558</v>
      </c>
      <c r="T114" s="2" t="s">
        <v>71</v>
      </c>
      <c r="U114" s="3">
        <v>1</v>
      </c>
      <c r="V114" s="3">
        <v>1</v>
      </c>
      <c r="W114" s="4" t="s">
        <v>1559</v>
      </c>
      <c r="X114" s="4" t="s">
        <v>1559</v>
      </c>
      <c r="Y114" s="4" t="s">
        <v>105</v>
      </c>
      <c r="Z114" s="4" t="s">
        <v>105</v>
      </c>
      <c r="AA114" s="3">
        <v>88</v>
      </c>
      <c r="AB114" s="3">
        <v>60</v>
      </c>
      <c r="AC114" s="3">
        <v>62</v>
      </c>
      <c r="AD114" s="3">
        <v>1</v>
      </c>
      <c r="AE114" s="3">
        <v>1</v>
      </c>
      <c r="AF114" s="3">
        <v>1</v>
      </c>
      <c r="AG114" s="3">
        <v>1</v>
      </c>
      <c r="AH114" s="3">
        <v>0</v>
      </c>
      <c r="AI114" s="3">
        <v>0</v>
      </c>
      <c r="AJ114" s="3">
        <v>1</v>
      </c>
      <c r="AK114" s="3">
        <v>1</v>
      </c>
      <c r="AL114" s="3">
        <v>1</v>
      </c>
      <c r="AM114" s="3">
        <v>1</v>
      </c>
      <c r="AN114" s="3">
        <v>0</v>
      </c>
      <c r="AO114" s="3">
        <v>0</v>
      </c>
      <c r="AP114" s="3">
        <v>0</v>
      </c>
      <c r="AQ114" s="3">
        <v>0</v>
      </c>
      <c r="AR114" s="2" t="s">
        <v>63</v>
      </c>
      <c r="AS114" s="2" t="s">
        <v>74</v>
      </c>
      <c r="AT114" s="5" t="str">
        <f>HYPERLINK("http://catalog.hathitrust.org/Record/001556330","HathiTrust Record")</f>
        <v>HathiTrust Record</v>
      </c>
      <c r="AU114" s="5" t="str">
        <f>HYPERLINK("https://creighton-primo.hosted.exlibrisgroup.com/primo-explore/search?tab=default_tab&amp;search_scope=EVERYTHING&amp;vid=01CRU&amp;lang=en_US&amp;offset=0&amp;query=any,contains,991002765899702656","Catalog Record")</f>
        <v>Catalog Record</v>
      </c>
      <c r="AV114" s="5" t="str">
        <f>HYPERLINK("http://www.worldcat.org/oclc/433737","WorldCat Record")</f>
        <v>WorldCat Record</v>
      </c>
      <c r="AW114" s="2" t="s">
        <v>1560</v>
      </c>
      <c r="AX114" s="2" t="s">
        <v>1561</v>
      </c>
      <c r="AY114" s="2" t="s">
        <v>1562</v>
      </c>
      <c r="AZ114" s="2" t="s">
        <v>1562</v>
      </c>
      <c r="BA114" s="2" t="s">
        <v>1563</v>
      </c>
      <c r="BB114" s="2" t="s">
        <v>79</v>
      </c>
      <c r="BE114" s="2" t="s">
        <v>1564</v>
      </c>
      <c r="BF114" s="2" t="s">
        <v>1565</v>
      </c>
    </row>
    <row r="115" spans="1:58" ht="39.75" customHeight="1" x14ac:dyDescent="0.25">
      <c r="A115" s="1"/>
      <c r="B115" s="1" t="s">
        <v>58</v>
      </c>
      <c r="C115" s="1" t="s">
        <v>59</v>
      </c>
      <c r="D115" s="1" t="s">
        <v>1566</v>
      </c>
      <c r="E115" s="1" t="s">
        <v>1567</v>
      </c>
      <c r="F115" s="1" t="s">
        <v>1568</v>
      </c>
      <c r="H115" s="2" t="s">
        <v>63</v>
      </c>
      <c r="I115" s="2" t="s">
        <v>64</v>
      </c>
      <c r="J115" s="2" t="s">
        <v>63</v>
      </c>
      <c r="K115" s="2" t="s">
        <v>63</v>
      </c>
      <c r="L115" s="2" t="s">
        <v>65</v>
      </c>
      <c r="N115" s="1" t="s">
        <v>1569</v>
      </c>
      <c r="O115" s="2" t="s">
        <v>87</v>
      </c>
      <c r="Q115" s="2" t="s">
        <v>69</v>
      </c>
      <c r="R115" s="2" t="s">
        <v>177</v>
      </c>
      <c r="S115" s="1" t="s">
        <v>1570</v>
      </c>
      <c r="T115" s="2" t="s">
        <v>71</v>
      </c>
      <c r="U115" s="3">
        <v>3</v>
      </c>
      <c r="V115" s="3">
        <v>3</v>
      </c>
      <c r="W115" s="4" t="s">
        <v>1493</v>
      </c>
      <c r="X115" s="4" t="s">
        <v>1493</v>
      </c>
      <c r="Y115" s="4" t="s">
        <v>73</v>
      </c>
      <c r="Z115" s="4" t="s">
        <v>73</v>
      </c>
      <c r="AA115" s="3">
        <v>232</v>
      </c>
      <c r="AB115" s="3">
        <v>199</v>
      </c>
      <c r="AC115" s="3">
        <v>223</v>
      </c>
      <c r="AD115" s="3">
        <v>2</v>
      </c>
      <c r="AE115" s="3">
        <v>2</v>
      </c>
      <c r="AF115" s="3">
        <v>7</v>
      </c>
      <c r="AG115" s="3">
        <v>7</v>
      </c>
      <c r="AH115" s="3">
        <v>0</v>
      </c>
      <c r="AI115" s="3">
        <v>0</v>
      </c>
      <c r="AJ115" s="3">
        <v>4</v>
      </c>
      <c r="AK115" s="3">
        <v>4</v>
      </c>
      <c r="AL115" s="3">
        <v>5</v>
      </c>
      <c r="AM115" s="3">
        <v>5</v>
      </c>
      <c r="AN115" s="3">
        <v>1</v>
      </c>
      <c r="AO115" s="3">
        <v>1</v>
      </c>
      <c r="AP115" s="3">
        <v>0</v>
      </c>
      <c r="AQ115" s="3">
        <v>0</v>
      </c>
      <c r="AR115" s="2" t="s">
        <v>63</v>
      </c>
      <c r="AS115" s="2" t="s">
        <v>63</v>
      </c>
      <c r="AU115" s="5" t="str">
        <f>HYPERLINK("https://creighton-primo.hosted.exlibrisgroup.com/primo-explore/search?tab=default_tab&amp;search_scope=EVERYTHING&amp;vid=01CRU&amp;lang=en_US&amp;offset=0&amp;query=any,contains,991004809149702656","Catalog Record")</f>
        <v>Catalog Record</v>
      </c>
      <c r="AV115" s="5" t="str">
        <f>HYPERLINK("http://www.worldcat.org/oclc/5264764","WorldCat Record")</f>
        <v>WorldCat Record</v>
      </c>
      <c r="AW115" s="2" t="s">
        <v>1571</v>
      </c>
      <c r="AX115" s="2" t="s">
        <v>1572</v>
      </c>
      <c r="AY115" s="2" t="s">
        <v>1573</v>
      </c>
      <c r="AZ115" s="2" t="s">
        <v>1573</v>
      </c>
      <c r="BA115" s="2" t="s">
        <v>1574</v>
      </c>
      <c r="BB115" s="2" t="s">
        <v>79</v>
      </c>
      <c r="BD115" s="2" t="s">
        <v>1575</v>
      </c>
      <c r="BE115" s="2" t="s">
        <v>1576</v>
      </c>
      <c r="BF115" s="2" t="s">
        <v>1577</v>
      </c>
    </row>
    <row r="116" spans="1:58" ht="39.75" customHeight="1" x14ac:dyDescent="0.25">
      <c r="A116" s="1"/>
      <c r="B116" s="1" t="s">
        <v>58</v>
      </c>
      <c r="C116" s="1" t="s">
        <v>59</v>
      </c>
      <c r="D116" s="1" t="s">
        <v>1578</v>
      </c>
      <c r="E116" s="1" t="s">
        <v>1579</v>
      </c>
      <c r="F116" s="1" t="s">
        <v>1580</v>
      </c>
      <c r="H116" s="2" t="s">
        <v>63</v>
      </c>
      <c r="I116" s="2" t="s">
        <v>64</v>
      </c>
      <c r="J116" s="2" t="s">
        <v>63</v>
      </c>
      <c r="K116" s="2" t="s">
        <v>63</v>
      </c>
      <c r="L116" s="2" t="s">
        <v>65</v>
      </c>
      <c r="N116" s="1" t="s">
        <v>1581</v>
      </c>
      <c r="O116" s="2" t="s">
        <v>485</v>
      </c>
      <c r="Q116" s="2" t="s">
        <v>69</v>
      </c>
      <c r="R116" s="2" t="s">
        <v>191</v>
      </c>
      <c r="S116" s="1" t="s">
        <v>1582</v>
      </c>
      <c r="T116" s="2" t="s">
        <v>71</v>
      </c>
      <c r="U116" s="3">
        <v>11</v>
      </c>
      <c r="V116" s="3">
        <v>11</v>
      </c>
      <c r="W116" s="4" t="s">
        <v>1583</v>
      </c>
      <c r="X116" s="4" t="s">
        <v>1583</v>
      </c>
      <c r="Y116" s="4" t="s">
        <v>1584</v>
      </c>
      <c r="Z116" s="4" t="s">
        <v>1584</v>
      </c>
      <c r="AA116" s="3">
        <v>522</v>
      </c>
      <c r="AB116" s="3">
        <v>407</v>
      </c>
      <c r="AC116" s="3">
        <v>408</v>
      </c>
      <c r="AD116" s="3">
        <v>4</v>
      </c>
      <c r="AE116" s="3">
        <v>4</v>
      </c>
      <c r="AF116" s="3">
        <v>19</v>
      </c>
      <c r="AG116" s="3">
        <v>19</v>
      </c>
      <c r="AH116" s="3">
        <v>9</v>
      </c>
      <c r="AI116" s="3">
        <v>9</v>
      </c>
      <c r="AJ116" s="3">
        <v>6</v>
      </c>
      <c r="AK116" s="3">
        <v>6</v>
      </c>
      <c r="AL116" s="3">
        <v>8</v>
      </c>
      <c r="AM116" s="3">
        <v>8</v>
      </c>
      <c r="AN116" s="3">
        <v>3</v>
      </c>
      <c r="AO116" s="3">
        <v>3</v>
      </c>
      <c r="AP116" s="3">
        <v>0</v>
      </c>
      <c r="AQ116" s="3">
        <v>0</v>
      </c>
      <c r="AR116" s="2" t="s">
        <v>63</v>
      </c>
      <c r="AS116" s="2" t="s">
        <v>74</v>
      </c>
      <c r="AT116" s="5" t="str">
        <f>HYPERLINK("http://catalog.hathitrust.org/Record/002064512","HathiTrust Record")</f>
        <v>HathiTrust Record</v>
      </c>
      <c r="AU116" s="5" t="str">
        <f>HYPERLINK("https://creighton-primo.hosted.exlibrisgroup.com/primo-explore/search?tab=default_tab&amp;search_scope=EVERYTHING&amp;vid=01CRU&amp;lang=en_US&amp;offset=0&amp;query=any,contains,991001384939702656","Catalog Record")</f>
        <v>Catalog Record</v>
      </c>
      <c r="AV116" s="5" t="str">
        <f>HYPERLINK("http://www.worldcat.org/oclc/18715347","WorldCat Record")</f>
        <v>WorldCat Record</v>
      </c>
      <c r="AW116" s="2" t="s">
        <v>1585</v>
      </c>
      <c r="AX116" s="2" t="s">
        <v>1586</v>
      </c>
      <c r="AY116" s="2" t="s">
        <v>1587</v>
      </c>
      <c r="AZ116" s="2" t="s">
        <v>1587</v>
      </c>
      <c r="BA116" s="2" t="s">
        <v>1588</v>
      </c>
      <c r="BB116" s="2" t="s">
        <v>79</v>
      </c>
      <c r="BD116" s="2" t="s">
        <v>1589</v>
      </c>
      <c r="BE116" s="2" t="s">
        <v>1590</v>
      </c>
      <c r="BF116" s="2" t="s">
        <v>1591</v>
      </c>
    </row>
    <row r="117" spans="1:58" ht="39.75" customHeight="1" x14ac:dyDescent="0.25">
      <c r="A117" s="1"/>
      <c r="B117" s="1" t="s">
        <v>58</v>
      </c>
      <c r="C117" s="1" t="s">
        <v>59</v>
      </c>
      <c r="D117" s="1" t="s">
        <v>1592</v>
      </c>
      <c r="E117" s="1" t="s">
        <v>1593</v>
      </c>
      <c r="F117" s="1" t="s">
        <v>1594</v>
      </c>
      <c r="H117" s="2" t="s">
        <v>63</v>
      </c>
      <c r="I117" s="2" t="s">
        <v>64</v>
      </c>
      <c r="J117" s="2" t="s">
        <v>63</v>
      </c>
      <c r="K117" s="2" t="s">
        <v>63</v>
      </c>
      <c r="L117" s="2" t="s">
        <v>65</v>
      </c>
      <c r="N117" s="1" t="s">
        <v>1595</v>
      </c>
      <c r="O117" s="2" t="s">
        <v>190</v>
      </c>
      <c r="Q117" s="2" t="s">
        <v>69</v>
      </c>
      <c r="R117" s="2" t="s">
        <v>191</v>
      </c>
      <c r="T117" s="2" t="s">
        <v>71</v>
      </c>
      <c r="U117" s="3">
        <v>14</v>
      </c>
      <c r="V117" s="3">
        <v>14</v>
      </c>
      <c r="W117" s="4" t="s">
        <v>1596</v>
      </c>
      <c r="X117" s="4" t="s">
        <v>1596</v>
      </c>
      <c r="Y117" s="4" t="s">
        <v>1597</v>
      </c>
      <c r="Z117" s="4" t="s">
        <v>1597</v>
      </c>
      <c r="AA117" s="3">
        <v>358</v>
      </c>
      <c r="AB117" s="3">
        <v>287</v>
      </c>
      <c r="AC117" s="3">
        <v>288</v>
      </c>
      <c r="AD117" s="3">
        <v>3</v>
      </c>
      <c r="AE117" s="3">
        <v>3</v>
      </c>
      <c r="AF117" s="3">
        <v>15</v>
      </c>
      <c r="AG117" s="3">
        <v>15</v>
      </c>
      <c r="AH117" s="3">
        <v>8</v>
      </c>
      <c r="AI117" s="3">
        <v>8</v>
      </c>
      <c r="AJ117" s="3">
        <v>4</v>
      </c>
      <c r="AK117" s="3">
        <v>4</v>
      </c>
      <c r="AL117" s="3">
        <v>7</v>
      </c>
      <c r="AM117" s="3">
        <v>7</v>
      </c>
      <c r="AN117" s="3">
        <v>2</v>
      </c>
      <c r="AO117" s="3">
        <v>2</v>
      </c>
      <c r="AP117" s="3">
        <v>0</v>
      </c>
      <c r="AQ117" s="3">
        <v>0</v>
      </c>
      <c r="AR117" s="2" t="s">
        <v>63</v>
      </c>
      <c r="AS117" s="2" t="s">
        <v>63</v>
      </c>
      <c r="AU117" s="5" t="str">
        <f>HYPERLINK("https://creighton-primo.hosted.exlibrisgroup.com/primo-explore/search?tab=default_tab&amp;search_scope=EVERYTHING&amp;vid=01CRU&amp;lang=en_US&amp;offset=0&amp;query=any,contains,991002102379702656","Catalog Record")</f>
        <v>Catalog Record</v>
      </c>
      <c r="AV117" s="5" t="str">
        <f>HYPERLINK("http://www.worldcat.org/oclc/26974943","WorldCat Record")</f>
        <v>WorldCat Record</v>
      </c>
      <c r="AW117" s="2" t="s">
        <v>1598</v>
      </c>
      <c r="AX117" s="2" t="s">
        <v>1599</v>
      </c>
      <c r="AY117" s="2" t="s">
        <v>1600</v>
      </c>
      <c r="AZ117" s="2" t="s">
        <v>1600</v>
      </c>
      <c r="BA117" s="2" t="s">
        <v>1601</v>
      </c>
      <c r="BB117" s="2" t="s">
        <v>79</v>
      </c>
      <c r="BD117" s="2" t="s">
        <v>1602</v>
      </c>
      <c r="BE117" s="2" t="s">
        <v>1603</v>
      </c>
      <c r="BF117" s="2" t="s">
        <v>1604</v>
      </c>
    </row>
    <row r="118" spans="1:58" ht="39.75" customHeight="1" x14ac:dyDescent="0.25">
      <c r="A118" s="1"/>
      <c r="B118" s="1" t="s">
        <v>58</v>
      </c>
      <c r="C118" s="1" t="s">
        <v>59</v>
      </c>
      <c r="D118" s="1" t="s">
        <v>1605</v>
      </c>
      <c r="E118" s="1" t="s">
        <v>1606</v>
      </c>
      <c r="F118" s="1" t="s">
        <v>1607</v>
      </c>
      <c r="H118" s="2" t="s">
        <v>63</v>
      </c>
      <c r="I118" s="2" t="s">
        <v>64</v>
      </c>
      <c r="J118" s="2" t="s">
        <v>63</v>
      </c>
      <c r="K118" s="2" t="s">
        <v>63</v>
      </c>
      <c r="L118" s="2" t="s">
        <v>65</v>
      </c>
      <c r="M118" s="1" t="s">
        <v>1608</v>
      </c>
      <c r="N118" s="1" t="s">
        <v>1609</v>
      </c>
      <c r="O118" s="2" t="s">
        <v>1610</v>
      </c>
      <c r="P118" s="1" t="s">
        <v>1611</v>
      </c>
      <c r="Q118" s="2" t="s">
        <v>69</v>
      </c>
      <c r="R118" s="2" t="s">
        <v>1612</v>
      </c>
      <c r="T118" s="2" t="s">
        <v>71</v>
      </c>
      <c r="U118" s="3">
        <v>3</v>
      </c>
      <c r="V118" s="3">
        <v>3</v>
      </c>
      <c r="W118" s="4" t="s">
        <v>1493</v>
      </c>
      <c r="X118" s="4" t="s">
        <v>1493</v>
      </c>
      <c r="Y118" s="4" t="s">
        <v>1613</v>
      </c>
      <c r="Z118" s="4" t="s">
        <v>1613</v>
      </c>
      <c r="AA118" s="3">
        <v>240</v>
      </c>
      <c r="AB118" s="3">
        <v>166</v>
      </c>
      <c r="AC118" s="3">
        <v>308</v>
      </c>
      <c r="AD118" s="3">
        <v>1</v>
      </c>
      <c r="AE118" s="3">
        <v>2</v>
      </c>
      <c r="AF118" s="3">
        <v>3</v>
      </c>
      <c r="AG118" s="3">
        <v>7</v>
      </c>
      <c r="AH118" s="3">
        <v>1</v>
      </c>
      <c r="AI118" s="3">
        <v>1</v>
      </c>
      <c r="AJ118" s="3">
        <v>0</v>
      </c>
      <c r="AK118" s="3">
        <v>0</v>
      </c>
      <c r="AL118" s="3">
        <v>3</v>
      </c>
      <c r="AM118" s="3">
        <v>6</v>
      </c>
      <c r="AN118" s="3">
        <v>0</v>
      </c>
      <c r="AO118" s="3">
        <v>1</v>
      </c>
      <c r="AP118" s="3">
        <v>0</v>
      </c>
      <c r="AQ118" s="3">
        <v>0</v>
      </c>
      <c r="AR118" s="2" t="s">
        <v>63</v>
      </c>
      <c r="AS118" s="2" t="s">
        <v>74</v>
      </c>
      <c r="AT118" s="5" t="str">
        <f>HYPERLINK("http://catalog.hathitrust.org/Record/002077418","HathiTrust Record")</f>
        <v>HathiTrust Record</v>
      </c>
      <c r="AU118" s="5" t="str">
        <f>HYPERLINK("https://creighton-primo.hosted.exlibrisgroup.com/primo-explore/search?tab=default_tab&amp;search_scope=EVERYTHING&amp;vid=01CRU&amp;lang=en_US&amp;offset=0&amp;query=any,contains,991000625829702656","Catalog Record")</f>
        <v>Catalog Record</v>
      </c>
      <c r="AV118" s="5" t="str">
        <f>HYPERLINK("http://www.worldcat.org/oclc/104256","WorldCat Record")</f>
        <v>WorldCat Record</v>
      </c>
      <c r="AW118" s="2" t="s">
        <v>1614</v>
      </c>
      <c r="AX118" s="2" t="s">
        <v>1615</v>
      </c>
      <c r="AY118" s="2" t="s">
        <v>1616</v>
      </c>
      <c r="AZ118" s="2" t="s">
        <v>1616</v>
      </c>
      <c r="BA118" s="2" t="s">
        <v>1617</v>
      </c>
      <c r="BB118" s="2" t="s">
        <v>79</v>
      </c>
      <c r="BD118" s="2" t="s">
        <v>1618</v>
      </c>
      <c r="BE118" s="2" t="s">
        <v>1619</v>
      </c>
      <c r="BF118" s="2" t="s">
        <v>1620</v>
      </c>
    </row>
    <row r="119" spans="1:58" ht="39.75" customHeight="1" x14ac:dyDescent="0.25">
      <c r="A119" s="1"/>
      <c r="B119" s="1" t="s">
        <v>58</v>
      </c>
      <c r="C119" s="1" t="s">
        <v>59</v>
      </c>
      <c r="D119" s="1" t="s">
        <v>1621</v>
      </c>
      <c r="E119" s="1" t="s">
        <v>1622</v>
      </c>
      <c r="F119" s="1" t="s">
        <v>1623</v>
      </c>
      <c r="H119" s="2" t="s">
        <v>63</v>
      </c>
      <c r="I119" s="2" t="s">
        <v>64</v>
      </c>
      <c r="J119" s="2" t="s">
        <v>63</v>
      </c>
      <c r="K119" s="2" t="s">
        <v>63</v>
      </c>
      <c r="L119" s="2" t="s">
        <v>65</v>
      </c>
      <c r="M119" s="1" t="s">
        <v>1624</v>
      </c>
      <c r="N119" s="1" t="s">
        <v>1625</v>
      </c>
      <c r="O119" s="2" t="s">
        <v>875</v>
      </c>
      <c r="Q119" s="2" t="s">
        <v>69</v>
      </c>
      <c r="R119" s="2" t="s">
        <v>88</v>
      </c>
      <c r="T119" s="2" t="s">
        <v>71</v>
      </c>
      <c r="U119" s="3">
        <v>3</v>
      </c>
      <c r="V119" s="3">
        <v>3</v>
      </c>
      <c r="W119" s="4" t="s">
        <v>1493</v>
      </c>
      <c r="X119" s="4" t="s">
        <v>1493</v>
      </c>
      <c r="Y119" s="4" t="s">
        <v>73</v>
      </c>
      <c r="Z119" s="4" t="s">
        <v>73</v>
      </c>
      <c r="AA119" s="3">
        <v>299</v>
      </c>
      <c r="AB119" s="3">
        <v>221</v>
      </c>
      <c r="AC119" s="3">
        <v>242</v>
      </c>
      <c r="AD119" s="3">
        <v>1</v>
      </c>
      <c r="AE119" s="3">
        <v>1</v>
      </c>
      <c r="AF119" s="3">
        <v>5</v>
      </c>
      <c r="AG119" s="3">
        <v>5</v>
      </c>
      <c r="AH119" s="3">
        <v>3</v>
      </c>
      <c r="AI119" s="3">
        <v>3</v>
      </c>
      <c r="AJ119" s="3">
        <v>3</v>
      </c>
      <c r="AK119" s="3">
        <v>3</v>
      </c>
      <c r="AL119" s="3">
        <v>3</v>
      </c>
      <c r="AM119" s="3">
        <v>3</v>
      </c>
      <c r="AN119" s="3">
        <v>0</v>
      </c>
      <c r="AO119" s="3">
        <v>0</v>
      </c>
      <c r="AP119" s="3">
        <v>0</v>
      </c>
      <c r="AQ119" s="3">
        <v>0</v>
      </c>
      <c r="AR119" s="2" t="s">
        <v>63</v>
      </c>
      <c r="AS119" s="2" t="s">
        <v>74</v>
      </c>
      <c r="AT119" s="5" t="str">
        <f>HYPERLINK("http://catalog.hathitrust.org/Record/000762187","HathiTrust Record")</f>
        <v>HathiTrust Record</v>
      </c>
      <c r="AU119" s="5" t="str">
        <f>HYPERLINK("https://creighton-primo.hosted.exlibrisgroup.com/primo-explore/search?tab=default_tab&amp;search_scope=EVERYTHING&amp;vid=01CRU&amp;lang=en_US&amp;offset=0&amp;query=any,contains,991005131549702656","Catalog Record")</f>
        <v>Catalog Record</v>
      </c>
      <c r="AV119" s="5" t="str">
        <f>HYPERLINK("http://www.worldcat.org/oclc/7572898","WorldCat Record")</f>
        <v>WorldCat Record</v>
      </c>
      <c r="AW119" s="2" t="s">
        <v>1626</v>
      </c>
      <c r="AX119" s="2" t="s">
        <v>1627</v>
      </c>
      <c r="AY119" s="2" t="s">
        <v>1628</v>
      </c>
      <c r="AZ119" s="2" t="s">
        <v>1628</v>
      </c>
      <c r="BA119" s="2" t="s">
        <v>1629</v>
      </c>
      <c r="BB119" s="2" t="s">
        <v>79</v>
      </c>
      <c r="BD119" s="2" t="s">
        <v>1630</v>
      </c>
      <c r="BE119" s="2" t="s">
        <v>1631</v>
      </c>
      <c r="BF119" s="2" t="s">
        <v>1632</v>
      </c>
    </row>
    <row r="120" spans="1:58" ht="39.75" customHeight="1" x14ac:dyDescent="0.25">
      <c r="A120" s="1"/>
      <c r="B120" s="1" t="s">
        <v>58</v>
      </c>
      <c r="C120" s="1" t="s">
        <v>59</v>
      </c>
      <c r="D120" s="1" t="s">
        <v>1633</v>
      </c>
      <c r="E120" s="1" t="s">
        <v>1634</v>
      </c>
      <c r="F120" s="1" t="s">
        <v>1635</v>
      </c>
      <c r="H120" s="2" t="s">
        <v>63</v>
      </c>
      <c r="I120" s="2" t="s">
        <v>64</v>
      </c>
      <c r="J120" s="2" t="s">
        <v>63</v>
      </c>
      <c r="K120" s="2" t="s">
        <v>63</v>
      </c>
      <c r="L120" s="2" t="s">
        <v>65</v>
      </c>
      <c r="N120" s="1" t="s">
        <v>1636</v>
      </c>
      <c r="O120" s="2" t="s">
        <v>1637</v>
      </c>
      <c r="P120" s="1" t="s">
        <v>276</v>
      </c>
      <c r="Q120" s="2" t="s">
        <v>69</v>
      </c>
      <c r="R120" s="2" t="s">
        <v>118</v>
      </c>
      <c r="S120" s="1" t="s">
        <v>1638</v>
      </c>
      <c r="T120" s="2" t="s">
        <v>71</v>
      </c>
      <c r="U120" s="3">
        <v>3</v>
      </c>
      <c r="V120" s="3">
        <v>3</v>
      </c>
      <c r="W120" s="4" t="s">
        <v>1227</v>
      </c>
      <c r="X120" s="4" t="s">
        <v>1227</v>
      </c>
      <c r="Y120" s="4" t="s">
        <v>73</v>
      </c>
      <c r="Z120" s="4" t="s">
        <v>73</v>
      </c>
      <c r="AA120" s="3">
        <v>138</v>
      </c>
      <c r="AB120" s="3">
        <v>78</v>
      </c>
      <c r="AC120" s="3">
        <v>105</v>
      </c>
      <c r="AD120" s="3">
        <v>1</v>
      </c>
      <c r="AE120" s="3">
        <v>1</v>
      </c>
      <c r="AF120" s="3">
        <v>2</v>
      </c>
      <c r="AG120" s="3">
        <v>3</v>
      </c>
      <c r="AH120" s="3">
        <v>0</v>
      </c>
      <c r="AI120" s="3">
        <v>0</v>
      </c>
      <c r="AJ120" s="3">
        <v>1</v>
      </c>
      <c r="AK120" s="3">
        <v>1</v>
      </c>
      <c r="AL120" s="3">
        <v>2</v>
      </c>
      <c r="AM120" s="3">
        <v>3</v>
      </c>
      <c r="AN120" s="3">
        <v>0</v>
      </c>
      <c r="AO120" s="3">
        <v>0</v>
      </c>
      <c r="AP120" s="3">
        <v>0</v>
      </c>
      <c r="AQ120" s="3">
        <v>0</v>
      </c>
      <c r="AR120" s="2" t="s">
        <v>63</v>
      </c>
      <c r="AS120" s="2" t="s">
        <v>74</v>
      </c>
      <c r="AT120" s="5" t="str">
        <f>HYPERLINK("http://catalog.hathitrust.org/Record/008332822","HathiTrust Record")</f>
        <v>HathiTrust Record</v>
      </c>
      <c r="AU120" s="5" t="str">
        <f>HYPERLINK("https://creighton-primo.hosted.exlibrisgroup.com/primo-explore/search?tab=default_tab&amp;search_scope=EVERYTHING&amp;vid=01CRU&amp;lang=en_US&amp;offset=0&amp;query=any,contains,991001425289702656","Catalog Record")</f>
        <v>Catalog Record</v>
      </c>
      <c r="AV120" s="5" t="str">
        <f>HYPERLINK("http://www.worldcat.org/oclc/18998005","WorldCat Record")</f>
        <v>WorldCat Record</v>
      </c>
      <c r="AW120" s="2" t="s">
        <v>1639</v>
      </c>
      <c r="AX120" s="2" t="s">
        <v>1640</v>
      </c>
      <c r="AY120" s="2" t="s">
        <v>1641</v>
      </c>
      <c r="AZ120" s="2" t="s">
        <v>1641</v>
      </c>
      <c r="BA120" s="2" t="s">
        <v>1642</v>
      </c>
      <c r="BB120" s="2" t="s">
        <v>79</v>
      </c>
      <c r="BE120" s="2" t="s">
        <v>1643</v>
      </c>
      <c r="BF120" s="2" t="s">
        <v>1644</v>
      </c>
    </row>
    <row r="121" spans="1:58" ht="39.75" customHeight="1" x14ac:dyDescent="0.25">
      <c r="A121" s="1"/>
      <c r="B121" s="1" t="s">
        <v>58</v>
      </c>
      <c r="C121" s="1" t="s">
        <v>59</v>
      </c>
      <c r="D121" s="1" t="s">
        <v>1645</v>
      </c>
      <c r="E121" s="1" t="s">
        <v>1646</v>
      </c>
      <c r="F121" s="1" t="s">
        <v>1647</v>
      </c>
      <c r="H121" s="2" t="s">
        <v>63</v>
      </c>
      <c r="I121" s="2" t="s">
        <v>64</v>
      </c>
      <c r="J121" s="2" t="s">
        <v>63</v>
      </c>
      <c r="K121" s="2" t="s">
        <v>63</v>
      </c>
      <c r="L121" s="2" t="s">
        <v>65</v>
      </c>
      <c r="M121" s="1" t="s">
        <v>1648</v>
      </c>
      <c r="N121" s="1" t="s">
        <v>1649</v>
      </c>
      <c r="O121" s="2" t="s">
        <v>275</v>
      </c>
      <c r="Q121" s="2" t="s">
        <v>69</v>
      </c>
      <c r="R121" s="2" t="s">
        <v>118</v>
      </c>
      <c r="T121" s="2" t="s">
        <v>71</v>
      </c>
      <c r="U121" s="3">
        <v>4</v>
      </c>
      <c r="V121" s="3">
        <v>4</v>
      </c>
      <c r="W121" s="4" t="s">
        <v>1650</v>
      </c>
      <c r="X121" s="4" t="s">
        <v>1650</v>
      </c>
      <c r="Y121" s="4" t="s">
        <v>668</v>
      </c>
      <c r="Z121" s="4" t="s">
        <v>668</v>
      </c>
      <c r="AA121" s="3">
        <v>217</v>
      </c>
      <c r="AB121" s="3">
        <v>129</v>
      </c>
      <c r="AC121" s="3">
        <v>196</v>
      </c>
      <c r="AD121" s="3">
        <v>1</v>
      </c>
      <c r="AE121" s="3">
        <v>1</v>
      </c>
      <c r="AF121" s="3">
        <v>3</v>
      </c>
      <c r="AG121" s="3">
        <v>4</v>
      </c>
      <c r="AH121" s="3">
        <v>0</v>
      </c>
      <c r="AI121" s="3">
        <v>1</v>
      </c>
      <c r="AJ121" s="3">
        <v>1</v>
      </c>
      <c r="AK121" s="3">
        <v>2</v>
      </c>
      <c r="AL121" s="3">
        <v>3</v>
      </c>
      <c r="AM121" s="3">
        <v>3</v>
      </c>
      <c r="AN121" s="3">
        <v>0</v>
      </c>
      <c r="AO121" s="3">
        <v>0</v>
      </c>
      <c r="AP121" s="3">
        <v>0</v>
      </c>
      <c r="AQ121" s="3">
        <v>0</v>
      </c>
      <c r="AR121" s="2" t="s">
        <v>63</v>
      </c>
      <c r="AS121" s="2" t="s">
        <v>63</v>
      </c>
      <c r="AU121" s="5" t="str">
        <f>HYPERLINK("https://creighton-primo.hosted.exlibrisgroup.com/primo-explore/search?tab=default_tab&amp;search_scope=EVERYTHING&amp;vid=01CRU&amp;lang=en_US&amp;offset=0&amp;query=any,contains,991002556329702656","Catalog Record")</f>
        <v>Catalog Record</v>
      </c>
      <c r="AV121" s="5" t="str">
        <f>HYPERLINK("http://www.worldcat.org/oclc/33243169","WorldCat Record")</f>
        <v>WorldCat Record</v>
      </c>
      <c r="AW121" s="2" t="s">
        <v>1651</v>
      </c>
      <c r="AX121" s="2" t="s">
        <v>1652</v>
      </c>
      <c r="AY121" s="2" t="s">
        <v>1653</v>
      </c>
      <c r="AZ121" s="2" t="s">
        <v>1653</v>
      </c>
      <c r="BA121" s="2" t="s">
        <v>1654</v>
      </c>
      <c r="BB121" s="2" t="s">
        <v>79</v>
      </c>
      <c r="BD121" s="2" t="s">
        <v>1655</v>
      </c>
      <c r="BE121" s="2" t="s">
        <v>1656</v>
      </c>
      <c r="BF121" s="2" t="s">
        <v>1657</v>
      </c>
    </row>
    <row r="122" spans="1:58" ht="39.75" customHeight="1" x14ac:dyDescent="0.25">
      <c r="A122" s="1"/>
      <c r="B122" s="1" t="s">
        <v>58</v>
      </c>
      <c r="C122" s="1" t="s">
        <v>59</v>
      </c>
      <c r="D122" s="1" t="s">
        <v>1658</v>
      </c>
      <c r="E122" s="1" t="s">
        <v>1659</v>
      </c>
      <c r="F122" s="1" t="s">
        <v>1660</v>
      </c>
      <c r="G122" s="2" t="s">
        <v>1661</v>
      </c>
      <c r="H122" s="2" t="s">
        <v>74</v>
      </c>
      <c r="I122" s="2" t="s">
        <v>64</v>
      </c>
      <c r="J122" s="2" t="s">
        <v>63</v>
      </c>
      <c r="K122" s="2" t="s">
        <v>63</v>
      </c>
      <c r="L122" s="2" t="s">
        <v>65</v>
      </c>
      <c r="N122" s="1" t="s">
        <v>1662</v>
      </c>
      <c r="O122" s="2" t="s">
        <v>681</v>
      </c>
      <c r="P122" s="1" t="s">
        <v>276</v>
      </c>
      <c r="Q122" s="2" t="s">
        <v>69</v>
      </c>
      <c r="R122" s="2" t="s">
        <v>88</v>
      </c>
      <c r="T122" s="2" t="s">
        <v>71</v>
      </c>
      <c r="U122" s="3">
        <v>1</v>
      </c>
      <c r="V122" s="3">
        <v>8</v>
      </c>
      <c r="W122" s="4" t="s">
        <v>1008</v>
      </c>
      <c r="X122" s="4" t="s">
        <v>1008</v>
      </c>
      <c r="Y122" s="4" t="s">
        <v>1008</v>
      </c>
      <c r="Z122" s="4" t="s">
        <v>1008</v>
      </c>
      <c r="AA122" s="3">
        <v>1135</v>
      </c>
      <c r="AB122" s="3">
        <v>1001</v>
      </c>
      <c r="AC122" s="3">
        <v>1102</v>
      </c>
      <c r="AD122" s="3">
        <v>11</v>
      </c>
      <c r="AE122" s="3">
        <v>12</v>
      </c>
      <c r="AF122" s="3">
        <v>33</v>
      </c>
      <c r="AG122" s="3">
        <v>36</v>
      </c>
      <c r="AH122" s="3">
        <v>14</v>
      </c>
      <c r="AI122" s="3">
        <v>15</v>
      </c>
      <c r="AJ122" s="3">
        <v>9</v>
      </c>
      <c r="AK122" s="3">
        <v>10</v>
      </c>
      <c r="AL122" s="3">
        <v>12</v>
      </c>
      <c r="AM122" s="3">
        <v>15</v>
      </c>
      <c r="AN122" s="3">
        <v>8</v>
      </c>
      <c r="AO122" s="3">
        <v>8</v>
      </c>
      <c r="AP122" s="3">
        <v>0</v>
      </c>
      <c r="AQ122" s="3">
        <v>0</v>
      </c>
      <c r="AR122" s="2" t="s">
        <v>63</v>
      </c>
      <c r="AS122" s="2" t="s">
        <v>74</v>
      </c>
      <c r="AT122" s="5" t="str">
        <f>HYPERLINK("http://catalog.hathitrust.org/Record/004597303","HathiTrust Record")</f>
        <v>HathiTrust Record</v>
      </c>
      <c r="AU122" s="5" t="str">
        <f>HYPERLINK("https://creighton-primo.hosted.exlibrisgroup.com/primo-explore/search?tab=default_tab&amp;search_scope=EVERYTHING&amp;vid=01CRU&amp;lang=en_US&amp;offset=0&amp;query=any,contains,991005040739702656","Catalog Record")</f>
        <v>Catalog Record</v>
      </c>
      <c r="AV122" s="5" t="str">
        <f>HYPERLINK("http://www.worldcat.org/oclc/45951601","WorldCat Record")</f>
        <v>WorldCat Record</v>
      </c>
      <c r="AW122" s="2" t="s">
        <v>1663</v>
      </c>
      <c r="AX122" s="2" t="s">
        <v>1664</v>
      </c>
      <c r="AY122" s="2" t="s">
        <v>1665</v>
      </c>
      <c r="AZ122" s="2" t="s">
        <v>1665</v>
      </c>
      <c r="BA122" s="2" t="s">
        <v>1666</v>
      </c>
      <c r="BB122" s="2" t="s">
        <v>79</v>
      </c>
      <c r="BD122" s="2" t="s">
        <v>1667</v>
      </c>
      <c r="BE122" s="2" t="s">
        <v>1668</v>
      </c>
      <c r="BF122" s="2" t="s">
        <v>1669</v>
      </c>
    </row>
    <row r="123" spans="1:58" ht="39.75" customHeight="1" x14ac:dyDescent="0.25">
      <c r="A123" s="1"/>
      <c r="B123" s="1" t="s">
        <v>58</v>
      </c>
      <c r="C123" s="1" t="s">
        <v>59</v>
      </c>
      <c r="D123" s="1" t="s">
        <v>1658</v>
      </c>
      <c r="E123" s="1" t="s">
        <v>1659</v>
      </c>
      <c r="F123" s="1" t="s">
        <v>1660</v>
      </c>
      <c r="G123" s="2" t="s">
        <v>1670</v>
      </c>
      <c r="H123" s="2" t="s">
        <v>74</v>
      </c>
      <c r="I123" s="2" t="s">
        <v>64</v>
      </c>
      <c r="J123" s="2" t="s">
        <v>63</v>
      </c>
      <c r="K123" s="2" t="s">
        <v>63</v>
      </c>
      <c r="L123" s="2" t="s">
        <v>65</v>
      </c>
      <c r="N123" s="1" t="s">
        <v>1662</v>
      </c>
      <c r="O123" s="2" t="s">
        <v>681</v>
      </c>
      <c r="P123" s="1" t="s">
        <v>276</v>
      </c>
      <c r="Q123" s="2" t="s">
        <v>69</v>
      </c>
      <c r="R123" s="2" t="s">
        <v>88</v>
      </c>
      <c r="T123" s="2" t="s">
        <v>71</v>
      </c>
      <c r="U123" s="3">
        <v>5</v>
      </c>
      <c r="V123" s="3">
        <v>8</v>
      </c>
      <c r="W123" s="4" t="s">
        <v>1008</v>
      </c>
      <c r="X123" s="4" t="s">
        <v>1008</v>
      </c>
      <c r="Y123" s="4" t="s">
        <v>1008</v>
      </c>
      <c r="Z123" s="4" t="s">
        <v>1008</v>
      </c>
      <c r="AA123" s="3">
        <v>1135</v>
      </c>
      <c r="AB123" s="3">
        <v>1001</v>
      </c>
      <c r="AC123" s="3">
        <v>1102</v>
      </c>
      <c r="AD123" s="3">
        <v>11</v>
      </c>
      <c r="AE123" s="3">
        <v>12</v>
      </c>
      <c r="AF123" s="3">
        <v>33</v>
      </c>
      <c r="AG123" s="3">
        <v>36</v>
      </c>
      <c r="AH123" s="3">
        <v>14</v>
      </c>
      <c r="AI123" s="3">
        <v>15</v>
      </c>
      <c r="AJ123" s="3">
        <v>9</v>
      </c>
      <c r="AK123" s="3">
        <v>10</v>
      </c>
      <c r="AL123" s="3">
        <v>12</v>
      </c>
      <c r="AM123" s="3">
        <v>15</v>
      </c>
      <c r="AN123" s="3">
        <v>8</v>
      </c>
      <c r="AO123" s="3">
        <v>8</v>
      </c>
      <c r="AP123" s="3">
        <v>0</v>
      </c>
      <c r="AQ123" s="3">
        <v>0</v>
      </c>
      <c r="AR123" s="2" t="s">
        <v>63</v>
      </c>
      <c r="AS123" s="2" t="s">
        <v>74</v>
      </c>
      <c r="AT123" s="5" t="str">
        <f>HYPERLINK("http://catalog.hathitrust.org/Record/004597303","HathiTrust Record")</f>
        <v>HathiTrust Record</v>
      </c>
      <c r="AU123" s="5" t="str">
        <f>HYPERLINK("https://creighton-primo.hosted.exlibrisgroup.com/primo-explore/search?tab=default_tab&amp;search_scope=EVERYTHING&amp;vid=01CRU&amp;lang=en_US&amp;offset=0&amp;query=any,contains,991005040739702656","Catalog Record")</f>
        <v>Catalog Record</v>
      </c>
      <c r="AV123" s="5" t="str">
        <f>HYPERLINK("http://www.worldcat.org/oclc/45951601","WorldCat Record")</f>
        <v>WorldCat Record</v>
      </c>
      <c r="AW123" s="2" t="s">
        <v>1663</v>
      </c>
      <c r="AX123" s="2" t="s">
        <v>1664</v>
      </c>
      <c r="AY123" s="2" t="s">
        <v>1665</v>
      </c>
      <c r="AZ123" s="2" t="s">
        <v>1665</v>
      </c>
      <c r="BA123" s="2" t="s">
        <v>1666</v>
      </c>
      <c r="BB123" s="2" t="s">
        <v>79</v>
      </c>
      <c r="BD123" s="2" t="s">
        <v>1667</v>
      </c>
      <c r="BE123" s="2" t="s">
        <v>1671</v>
      </c>
      <c r="BF123" s="2" t="s">
        <v>1672</v>
      </c>
    </row>
    <row r="124" spans="1:58" ht="39.75" customHeight="1" x14ac:dyDescent="0.25">
      <c r="A124" s="1"/>
      <c r="B124" s="1" t="s">
        <v>58</v>
      </c>
      <c r="C124" s="1" t="s">
        <v>59</v>
      </c>
      <c r="D124" s="1" t="s">
        <v>1658</v>
      </c>
      <c r="E124" s="1" t="s">
        <v>1659</v>
      </c>
      <c r="F124" s="1" t="s">
        <v>1660</v>
      </c>
      <c r="G124" s="2" t="s">
        <v>1673</v>
      </c>
      <c r="H124" s="2" t="s">
        <v>74</v>
      </c>
      <c r="I124" s="2" t="s">
        <v>64</v>
      </c>
      <c r="J124" s="2" t="s">
        <v>63</v>
      </c>
      <c r="K124" s="2" t="s">
        <v>63</v>
      </c>
      <c r="L124" s="2" t="s">
        <v>65</v>
      </c>
      <c r="N124" s="1" t="s">
        <v>1662</v>
      </c>
      <c r="O124" s="2" t="s">
        <v>681</v>
      </c>
      <c r="P124" s="1" t="s">
        <v>276</v>
      </c>
      <c r="Q124" s="2" t="s">
        <v>69</v>
      </c>
      <c r="R124" s="2" t="s">
        <v>88</v>
      </c>
      <c r="T124" s="2" t="s">
        <v>71</v>
      </c>
      <c r="U124" s="3">
        <v>2</v>
      </c>
      <c r="V124" s="3">
        <v>8</v>
      </c>
      <c r="W124" s="4" t="s">
        <v>1008</v>
      </c>
      <c r="X124" s="4" t="s">
        <v>1008</v>
      </c>
      <c r="Y124" s="4" t="s">
        <v>1008</v>
      </c>
      <c r="Z124" s="4" t="s">
        <v>1008</v>
      </c>
      <c r="AA124" s="3">
        <v>1135</v>
      </c>
      <c r="AB124" s="3">
        <v>1001</v>
      </c>
      <c r="AC124" s="3">
        <v>1102</v>
      </c>
      <c r="AD124" s="3">
        <v>11</v>
      </c>
      <c r="AE124" s="3">
        <v>12</v>
      </c>
      <c r="AF124" s="3">
        <v>33</v>
      </c>
      <c r="AG124" s="3">
        <v>36</v>
      </c>
      <c r="AH124" s="3">
        <v>14</v>
      </c>
      <c r="AI124" s="3">
        <v>15</v>
      </c>
      <c r="AJ124" s="3">
        <v>9</v>
      </c>
      <c r="AK124" s="3">
        <v>10</v>
      </c>
      <c r="AL124" s="3">
        <v>12</v>
      </c>
      <c r="AM124" s="3">
        <v>15</v>
      </c>
      <c r="AN124" s="3">
        <v>8</v>
      </c>
      <c r="AO124" s="3">
        <v>8</v>
      </c>
      <c r="AP124" s="3">
        <v>0</v>
      </c>
      <c r="AQ124" s="3">
        <v>0</v>
      </c>
      <c r="AR124" s="2" t="s">
        <v>63</v>
      </c>
      <c r="AS124" s="2" t="s">
        <v>74</v>
      </c>
      <c r="AT124" s="5" t="str">
        <f>HYPERLINK("http://catalog.hathitrust.org/Record/004597303","HathiTrust Record")</f>
        <v>HathiTrust Record</v>
      </c>
      <c r="AU124" s="5" t="str">
        <f>HYPERLINK("https://creighton-primo.hosted.exlibrisgroup.com/primo-explore/search?tab=default_tab&amp;search_scope=EVERYTHING&amp;vid=01CRU&amp;lang=en_US&amp;offset=0&amp;query=any,contains,991005040739702656","Catalog Record")</f>
        <v>Catalog Record</v>
      </c>
      <c r="AV124" s="5" t="str">
        <f>HYPERLINK("http://www.worldcat.org/oclc/45951601","WorldCat Record")</f>
        <v>WorldCat Record</v>
      </c>
      <c r="AW124" s="2" t="s">
        <v>1663</v>
      </c>
      <c r="AX124" s="2" t="s">
        <v>1664</v>
      </c>
      <c r="AY124" s="2" t="s">
        <v>1665</v>
      </c>
      <c r="AZ124" s="2" t="s">
        <v>1665</v>
      </c>
      <c r="BA124" s="2" t="s">
        <v>1666</v>
      </c>
      <c r="BB124" s="2" t="s">
        <v>79</v>
      </c>
      <c r="BD124" s="2" t="s">
        <v>1667</v>
      </c>
      <c r="BE124" s="2" t="s">
        <v>1674</v>
      </c>
      <c r="BF124" s="2" t="s">
        <v>1675</v>
      </c>
    </row>
    <row r="125" spans="1:58" ht="39.75" customHeight="1" x14ac:dyDescent="0.25">
      <c r="A125" s="1"/>
      <c r="B125" s="1" t="s">
        <v>58</v>
      </c>
      <c r="C125" s="1" t="s">
        <v>59</v>
      </c>
      <c r="D125" s="1" t="s">
        <v>1676</v>
      </c>
      <c r="E125" s="1" t="s">
        <v>1677</v>
      </c>
      <c r="F125" s="1" t="s">
        <v>1678</v>
      </c>
      <c r="H125" s="2" t="s">
        <v>63</v>
      </c>
      <c r="I125" s="2" t="s">
        <v>64</v>
      </c>
      <c r="J125" s="2" t="s">
        <v>63</v>
      </c>
      <c r="K125" s="2" t="s">
        <v>63</v>
      </c>
      <c r="L125" s="2" t="s">
        <v>65</v>
      </c>
      <c r="M125" s="1" t="s">
        <v>1679</v>
      </c>
      <c r="N125" s="1" t="s">
        <v>1680</v>
      </c>
      <c r="O125" s="2" t="s">
        <v>1681</v>
      </c>
      <c r="Q125" s="2" t="s">
        <v>69</v>
      </c>
      <c r="R125" s="2" t="s">
        <v>70</v>
      </c>
      <c r="T125" s="2" t="s">
        <v>71</v>
      </c>
      <c r="U125" s="3">
        <v>1</v>
      </c>
      <c r="V125" s="3">
        <v>1</v>
      </c>
      <c r="W125" s="4" t="s">
        <v>1682</v>
      </c>
      <c r="X125" s="4" t="s">
        <v>1682</v>
      </c>
      <c r="Y125" s="4" t="s">
        <v>1682</v>
      </c>
      <c r="Z125" s="4" t="s">
        <v>1682</v>
      </c>
      <c r="AA125" s="3">
        <v>831</v>
      </c>
      <c r="AB125" s="3">
        <v>755</v>
      </c>
      <c r="AC125" s="3">
        <v>1361</v>
      </c>
      <c r="AD125" s="3">
        <v>7</v>
      </c>
      <c r="AE125" s="3">
        <v>12</v>
      </c>
      <c r="AF125" s="3">
        <v>29</v>
      </c>
      <c r="AG125" s="3">
        <v>44</v>
      </c>
      <c r="AH125" s="3">
        <v>12</v>
      </c>
      <c r="AI125" s="3">
        <v>15</v>
      </c>
      <c r="AJ125" s="3">
        <v>5</v>
      </c>
      <c r="AK125" s="3">
        <v>8</v>
      </c>
      <c r="AL125" s="3">
        <v>13</v>
      </c>
      <c r="AM125" s="3">
        <v>17</v>
      </c>
      <c r="AN125" s="3">
        <v>5</v>
      </c>
      <c r="AO125" s="3">
        <v>10</v>
      </c>
      <c r="AP125" s="3">
        <v>0</v>
      </c>
      <c r="AQ125" s="3">
        <v>1</v>
      </c>
      <c r="AR125" s="2" t="s">
        <v>63</v>
      </c>
      <c r="AS125" s="2" t="s">
        <v>63</v>
      </c>
      <c r="AU125" s="5" t="str">
        <f>HYPERLINK("https://creighton-primo.hosted.exlibrisgroup.com/primo-explore/search?tab=default_tab&amp;search_scope=EVERYTHING&amp;vid=01CRU&amp;lang=en_US&amp;offset=0&amp;query=any,contains,991005143529702656","Catalog Record")</f>
        <v>Catalog Record</v>
      </c>
      <c r="AV125" s="5" t="str">
        <f>HYPERLINK("http://www.worldcat.org/oclc/84903415","WorldCat Record")</f>
        <v>WorldCat Record</v>
      </c>
      <c r="AW125" s="2" t="s">
        <v>1683</v>
      </c>
      <c r="AX125" s="2" t="s">
        <v>1684</v>
      </c>
      <c r="AY125" s="2" t="s">
        <v>1685</v>
      </c>
      <c r="AZ125" s="2" t="s">
        <v>1685</v>
      </c>
      <c r="BA125" s="2" t="s">
        <v>1686</v>
      </c>
      <c r="BB125" s="2" t="s">
        <v>79</v>
      </c>
      <c r="BD125" s="2" t="s">
        <v>1687</v>
      </c>
      <c r="BE125" s="2" t="s">
        <v>1688</v>
      </c>
      <c r="BF125" s="2" t="s">
        <v>1689</v>
      </c>
    </row>
    <row r="126" spans="1:58" ht="39.75" customHeight="1" x14ac:dyDescent="0.25">
      <c r="A126" s="1"/>
      <c r="B126" s="1" t="s">
        <v>58</v>
      </c>
      <c r="C126" s="1" t="s">
        <v>59</v>
      </c>
      <c r="D126" s="1" t="s">
        <v>1690</v>
      </c>
      <c r="E126" s="1" t="s">
        <v>1691</v>
      </c>
      <c r="F126" s="1" t="s">
        <v>1692</v>
      </c>
      <c r="H126" s="2" t="s">
        <v>63</v>
      </c>
      <c r="I126" s="2" t="s">
        <v>64</v>
      </c>
      <c r="J126" s="2" t="s">
        <v>63</v>
      </c>
      <c r="K126" s="2" t="s">
        <v>63</v>
      </c>
      <c r="L126" s="2" t="s">
        <v>65</v>
      </c>
      <c r="M126" s="1" t="s">
        <v>1693</v>
      </c>
      <c r="N126" s="1" t="s">
        <v>1694</v>
      </c>
      <c r="O126" s="2" t="s">
        <v>220</v>
      </c>
      <c r="Q126" s="2" t="s">
        <v>69</v>
      </c>
      <c r="R126" s="2" t="s">
        <v>88</v>
      </c>
      <c r="T126" s="2" t="s">
        <v>71</v>
      </c>
      <c r="U126" s="3">
        <v>5</v>
      </c>
      <c r="V126" s="3">
        <v>5</v>
      </c>
      <c r="W126" s="4" t="s">
        <v>1695</v>
      </c>
      <c r="X126" s="4" t="s">
        <v>1695</v>
      </c>
      <c r="Y126" s="4" t="s">
        <v>697</v>
      </c>
      <c r="Z126" s="4" t="s">
        <v>697</v>
      </c>
      <c r="AA126" s="3">
        <v>504</v>
      </c>
      <c r="AB126" s="3">
        <v>421</v>
      </c>
      <c r="AC126" s="3">
        <v>421</v>
      </c>
      <c r="AD126" s="3">
        <v>3</v>
      </c>
      <c r="AE126" s="3">
        <v>3</v>
      </c>
      <c r="AF126" s="3">
        <v>24</v>
      </c>
      <c r="AG126" s="3">
        <v>24</v>
      </c>
      <c r="AH126" s="3">
        <v>8</v>
      </c>
      <c r="AI126" s="3">
        <v>8</v>
      </c>
      <c r="AJ126" s="3">
        <v>6</v>
      </c>
      <c r="AK126" s="3">
        <v>6</v>
      </c>
      <c r="AL126" s="3">
        <v>15</v>
      </c>
      <c r="AM126" s="3">
        <v>15</v>
      </c>
      <c r="AN126" s="3">
        <v>2</v>
      </c>
      <c r="AO126" s="3">
        <v>2</v>
      </c>
      <c r="AP126" s="3">
        <v>0</v>
      </c>
      <c r="AQ126" s="3">
        <v>0</v>
      </c>
      <c r="AR126" s="2" t="s">
        <v>63</v>
      </c>
      <c r="AS126" s="2" t="s">
        <v>63</v>
      </c>
      <c r="AU126" s="5" t="str">
        <f>HYPERLINK("https://creighton-primo.hosted.exlibrisgroup.com/primo-explore/search?tab=default_tab&amp;search_scope=EVERYTHING&amp;vid=01CRU&amp;lang=en_US&amp;offset=0&amp;query=any,contains,991003292809702656","Catalog Record")</f>
        <v>Catalog Record</v>
      </c>
      <c r="AV126" s="5" t="str">
        <f>HYPERLINK("http://www.worldcat.org/oclc/41185064","WorldCat Record")</f>
        <v>WorldCat Record</v>
      </c>
      <c r="AW126" s="2" t="s">
        <v>1696</v>
      </c>
      <c r="AX126" s="2" t="s">
        <v>1697</v>
      </c>
      <c r="AY126" s="2" t="s">
        <v>1698</v>
      </c>
      <c r="AZ126" s="2" t="s">
        <v>1698</v>
      </c>
      <c r="BA126" s="2" t="s">
        <v>1699</v>
      </c>
      <c r="BB126" s="2" t="s">
        <v>79</v>
      </c>
      <c r="BD126" s="2" t="s">
        <v>1700</v>
      </c>
      <c r="BE126" s="2" t="s">
        <v>1701</v>
      </c>
      <c r="BF126" s="2" t="s">
        <v>1702</v>
      </c>
    </row>
    <row r="127" spans="1:58" ht="39.75" customHeight="1" x14ac:dyDescent="0.25">
      <c r="A127" s="1"/>
      <c r="B127" s="1" t="s">
        <v>58</v>
      </c>
      <c r="C127" s="1" t="s">
        <v>59</v>
      </c>
      <c r="D127" s="1" t="s">
        <v>1703</v>
      </c>
      <c r="E127" s="1" t="s">
        <v>1704</v>
      </c>
      <c r="F127" s="1" t="s">
        <v>1705</v>
      </c>
      <c r="H127" s="2" t="s">
        <v>63</v>
      </c>
      <c r="I127" s="2" t="s">
        <v>64</v>
      </c>
      <c r="J127" s="2" t="s">
        <v>63</v>
      </c>
      <c r="K127" s="2" t="s">
        <v>63</v>
      </c>
      <c r="L127" s="2" t="s">
        <v>65</v>
      </c>
      <c r="M127" s="1" t="s">
        <v>1706</v>
      </c>
      <c r="N127" s="1" t="s">
        <v>1707</v>
      </c>
      <c r="O127" s="2" t="s">
        <v>1708</v>
      </c>
      <c r="Q127" s="2" t="s">
        <v>69</v>
      </c>
      <c r="R127" s="2" t="s">
        <v>88</v>
      </c>
      <c r="S127" s="1" t="s">
        <v>1709</v>
      </c>
      <c r="T127" s="2" t="s">
        <v>71</v>
      </c>
      <c r="U127" s="3">
        <v>7</v>
      </c>
      <c r="V127" s="3">
        <v>7</v>
      </c>
      <c r="W127" s="4" t="s">
        <v>1710</v>
      </c>
      <c r="X127" s="4" t="s">
        <v>1710</v>
      </c>
      <c r="Y127" s="4" t="s">
        <v>1711</v>
      </c>
      <c r="Z127" s="4" t="s">
        <v>1711</v>
      </c>
      <c r="AA127" s="3">
        <v>249</v>
      </c>
      <c r="AB127" s="3">
        <v>190</v>
      </c>
      <c r="AC127" s="3">
        <v>881</v>
      </c>
      <c r="AD127" s="3">
        <v>2</v>
      </c>
      <c r="AE127" s="3">
        <v>30</v>
      </c>
      <c r="AF127" s="3">
        <v>6</v>
      </c>
      <c r="AG127" s="3">
        <v>24</v>
      </c>
      <c r="AH127" s="3">
        <v>1</v>
      </c>
      <c r="AI127" s="3">
        <v>7</v>
      </c>
      <c r="AJ127" s="3">
        <v>1</v>
      </c>
      <c r="AK127" s="3">
        <v>1</v>
      </c>
      <c r="AL127" s="3">
        <v>4</v>
      </c>
      <c r="AM127" s="3">
        <v>7</v>
      </c>
      <c r="AN127" s="3">
        <v>1</v>
      </c>
      <c r="AO127" s="3">
        <v>11</v>
      </c>
      <c r="AP127" s="3">
        <v>0</v>
      </c>
      <c r="AQ127" s="3">
        <v>0</v>
      </c>
      <c r="AR127" s="2" t="s">
        <v>63</v>
      </c>
      <c r="AS127" s="2" t="s">
        <v>63</v>
      </c>
      <c r="AU127" s="5" t="str">
        <f>HYPERLINK("https://creighton-primo.hosted.exlibrisgroup.com/primo-explore/search?tab=default_tab&amp;search_scope=EVERYTHING&amp;vid=01CRU&amp;lang=en_US&amp;offset=0&amp;query=any,contains,991004320039702656","Catalog Record")</f>
        <v>Catalog Record</v>
      </c>
      <c r="AV127" s="5" t="str">
        <f>HYPERLINK("http://www.worldcat.org/oclc/51892820","WorldCat Record")</f>
        <v>WorldCat Record</v>
      </c>
      <c r="AW127" s="2" t="s">
        <v>1712</v>
      </c>
      <c r="AX127" s="2" t="s">
        <v>1713</v>
      </c>
      <c r="AY127" s="2" t="s">
        <v>1714</v>
      </c>
      <c r="AZ127" s="2" t="s">
        <v>1714</v>
      </c>
      <c r="BA127" s="2" t="s">
        <v>1715</v>
      </c>
      <c r="BB127" s="2" t="s">
        <v>79</v>
      </c>
      <c r="BD127" s="2" t="s">
        <v>1716</v>
      </c>
      <c r="BE127" s="2" t="s">
        <v>1717</v>
      </c>
      <c r="BF127" s="2" t="s">
        <v>1718</v>
      </c>
    </row>
    <row r="128" spans="1:58" ht="39.75" customHeight="1" x14ac:dyDescent="0.25">
      <c r="A128" s="1"/>
      <c r="B128" s="1" t="s">
        <v>58</v>
      </c>
      <c r="C128" s="1" t="s">
        <v>59</v>
      </c>
      <c r="D128" s="1" t="s">
        <v>1719</v>
      </c>
      <c r="E128" s="1" t="s">
        <v>1720</v>
      </c>
      <c r="F128" s="1" t="s">
        <v>1721</v>
      </c>
      <c r="H128" s="2" t="s">
        <v>63</v>
      </c>
      <c r="I128" s="2" t="s">
        <v>64</v>
      </c>
      <c r="J128" s="2" t="s">
        <v>63</v>
      </c>
      <c r="K128" s="2" t="s">
        <v>63</v>
      </c>
      <c r="L128" s="2" t="s">
        <v>65</v>
      </c>
      <c r="M128" s="1" t="s">
        <v>1722</v>
      </c>
      <c r="N128" s="1" t="s">
        <v>1723</v>
      </c>
      <c r="O128" s="2" t="s">
        <v>263</v>
      </c>
      <c r="Q128" s="2" t="s">
        <v>69</v>
      </c>
      <c r="R128" s="2" t="s">
        <v>88</v>
      </c>
      <c r="S128" s="1" t="s">
        <v>1724</v>
      </c>
      <c r="T128" s="2" t="s">
        <v>71</v>
      </c>
      <c r="U128" s="3">
        <v>6</v>
      </c>
      <c r="V128" s="3">
        <v>6</v>
      </c>
      <c r="W128" s="4" t="s">
        <v>696</v>
      </c>
      <c r="X128" s="4" t="s">
        <v>696</v>
      </c>
      <c r="Y128" s="4" t="s">
        <v>1725</v>
      </c>
      <c r="Z128" s="4" t="s">
        <v>1725</v>
      </c>
      <c r="AA128" s="3">
        <v>275</v>
      </c>
      <c r="AB128" s="3">
        <v>241</v>
      </c>
      <c r="AC128" s="3">
        <v>241</v>
      </c>
      <c r="AD128" s="3">
        <v>2</v>
      </c>
      <c r="AE128" s="3">
        <v>2</v>
      </c>
      <c r="AF128" s="3">
        <v>13</v>
      </c>
      <c r="AG128" s="3">
        <v>13</v>
      </c>
      <c r="AH128" s="3">
        <v>5</v>
      </c>
      <c r="AI128" s="3">
        <v>5</v>
      </c>
      <c r="AJ128" s="3">
        <v>3</v>
      </c>
      <c r="AK128" s="3">
        <v>3</v>
      </c>
      <c r="AL128" s="3">
        <v>6</v>
      </c>
      <c r="AM128" s="3">
        <v>6</v>
      </c>
      <c r="AN128" s="3">
        <v>1</v>
      </c>
      <c r="AO128" s="3">
        <v>1</v>
      </c>
      <c r="AP128" s="3">
        <v>0</v>
      </c>
      <c r="AQ128" s="3">
        <v>0</v>
      </c>
      <c r="AR128" s="2" t="s">
        <v>63</v>
      </c>
      <c r="AS128" s="2" t="s">
        <v>63</v>
      </c>
      <c r="AU128" s="5" t="str">
        <f>HYPERLINK("https://creighton-primo.hosted.exlibrisgroup.com/primo-explore/search?tab=default_tab&amp;search_scope=EVERYTHING&amp;vid=01CRU&amp;lang=en_US&amp;offset=0&amp;query=any,contains,991001373319702656","Catalog Record")</f>
        <v>Catalog Record</v>
      </c>
      <c r="AV128" s="5" t="str">
        <f>HYPERLINK("http://www.worldcat.org/oclc/18589408","WorldCat Record")</f>
        <v>WorldCat Record</v>
      </c>
      <c r="AW128" s="2" t="s">
        <v>1726</v>
      </c>
      <c r="AX128" s="2" t="s">
        <v>1727</v>
      </c>
      <c r="AY128" s="2" t="s">
        <v>1728</v>
      </c>
      <c r="AZ128" s="2" t="s">
        <v>1728</v>
      </c>
      <c r="BA128" s="2" t="s">
        <v>1729</v>
      </c>
      <c r="BB128" s="2" t="s">
        <v>79</v>
      </c>
      <c r="BD128" s="2" t="s">
        <v>1730</v>
      </c>
      <c r="BE128" s="2" t="s">
        <v>1731</v>
      </c>
      <c r="BF128" s="2" t="s">
        <v>1732</v>
      </c>
    </row>
    <row r="129" spans="1:58" ht="39.75" customHeight="1" x14ac:dyDescent="0.25">
      <c r="A129" s="1"/>
      <c r="B129" s="1" t="s">
        <v>58</v>
      </c>
      <c r="C129" s="1" t="s">
        <v>59</v>
      </c>
      <c r="D129" s="1" t="s">
        <v>1733</v>
      </c>
      <c r="E129" s="1" t="s">
        <v>1734</v>
      </c>
      <c r="F129" s="1" t="s">
        <v>1735</v>
      </c>
      <c r="H129" s="2" t="s">
        <v>63</v>
      </c>
      <c r="I129" s="2" t="s">
        <v>64</v>
      </c>
      <c r="J129" s="2" t="s">
        <v>63</v>
      </c>
      <c r="K129" s="2" t="s">
        <v>63</v>
      </c>
      <c r="L129" s="2" t="s">
        <v>65</v>
      </c>
      <c r="M129" s="1" t="s">
        <v>1736</v>
      </c>
      <c r="N129" s="1" t="s">
        <v>1737</v>
      </c>
      <c r="O129" s="2" t="s">
        <v>820</v>
      </c>
      <c r="Q129" s="2" t="s">
        <v>69</v>
      </c>
      <c r="R129" s="2" t="s">
        <v>88</v>
      </c>
      <c r="T129" s="2" t="s">
        <v>71</v>
      </c>
      <c r="U129" s="3">
        <v>4</v>
      </c>
      <c r="V129" s="3">
        <v>4</v>
      </c>
      <c r="W129" s="4" t="s">
        <v>1710</v>
      </c>
      <c r="X129" s="4" t="s">
        <v>1710</v>
      </c>
      <c r="Y129" s="4" t="s">
        <v>1738</v>
      </c>
      <c r="Z129" s="4" t="s">
        <v>1738</v>
      </c>
      <c r="AA129" s="3">
        <v>1365</v>
      </c>
      <c r="AB129" s="3">
        <v>1286</v>
      </c>
      <c r="AC129" s="3">
        <v>1391</v>
      </c>
      <c r="AD129" s="3">
        <v>12</v>
      </c>
      <c r="AE129" s="3">
        <v>12</v>
      </c>
      <c r="AF129" s="3">
        <v>36</v>
      </c>
      <c r="AG129" s="3">
        <v>36</v>
      </c>
      <c r="AH129" s="3">
        <v>14</v>
      </c>
      <c r="AI129" s="3">
        <v>14</v>
      </c>
      <c r="AJ129" s="3">
        <v>5</v>
      </c>
      <c r="AK129" s="3">
        <v>5</v>
      </c>
      <c r="AL129" s="3">
        <v>15</v>
      </c>
      <c r="AM129" s="3">
        <v>15</v>
      </c>
      <c r="AN129" s="3">
        <v>9</v>
      </c>
      <c r="AO129" s="3">
        <v>9</v>
      </c>
      <c r="AP129" s="3">
        <v>0</v>
      </c>
      <c r="AQ129" s="3">
        <v>0</v>
      </c>
      <c r="AR129" s="2" t="s">
        <v>63</v>
      </c>
      <c r="AS129" s="2" t="s">
        <v>63</v>
      </c>
      <c r="AU129" s="5" t="str">
        <f>HYPERLINK("https://creighton-primo.hosted.exlibrisgroup.com/primo-explore/search?tab=default_tab&amp;search_scope=EVERYTHING&amp;vid=01CRU&amp;lang=en_US&amp;offset=0&amp;query=any,contains,991005222509702656","Catalog Record")</f>
        <v>Catalog Record</v>
      </c>
      <c r="AV129" s="5" t="str">
        <f>HYPERLINK("http://www.worldcat.org/oclc/171152057","WorldCat Record")</f>
        <v>WorldCat Record</v>
      </c>
      <c r="AW129" s="2" t="s">
        <v>1739</v>
      </c>
      <c r="AX129" s="2" t="s">
        <v>1740</v>
      </c>
      <c r="AY129" s="2" t="s">
        <v>1741</v>
      </c>
      <c r="AZ129" s="2" t="s">
        <v>1741</v>
      </c>
      <c r="BA129" s="2" t="s">
        <v>1742</v>
      </c>
      <c r="BB129" s="2" t="s">
        <v>79</v>
      </c>
      <c r="BD129" s="2" t="s">
        <v>1743</v>
      </c>
      <c r="BE129" s="2" t="s">
        <v>1744</v>
      </c>
      <c r="BF129" s="2" t="s">
        <v>1745</v>
      </c>
    </row>
    <row r="130" spans="1:58" ht="39.75" customHeight="1" x14ac:dyDescent="0.25">
      <c r="A130" s="1"/>
      <c r="B130" s="1" t="s">
        <v>58</v>
      </c>
      <c r="C130" s="1" t="s">
        <v>59</v>
      </c>
      <c r="D130" s="1" t="s">
        <v>1746</v>
      </c>
      <c r="E130" s="1" t="s">
        <v>1747</v>
      </c>
      <c r="F130" s="1" t="s">
        <v>1748</v>
      </c>
      <c r="H130" s="2" t="s">
        <v>63</v>
      </c>
      <c r="I130" s="2" t="s">
        <v>64</v>
      </c>
      <c r="J130" s="2" t="s">
        <v>63</v>
      </c>
      <c r="K130" s="2" t="s">
        <v>63</v>
      </c>
      <c r="L130" s="2" t="s">
        <v>65</v>
      </c>
      <c r="M130" s="1" t="s">
        <v>1749</v>
      </c>
      <c r="N130" s="1" t="s">
        <v>1750</v>
      </c>
      <c r="O130" s="2" t="s">
        <v>889</v>
      </c>
      <c r="Q130" s="2" t="s">
        <v>69</v>
      </c>
      <c r="R130" s="2" t="s">
        <v>191</v>
      </c>
      <c r="T130" s="2" t="s">
        <v>71</v>
      </c>
      <c r="U130" s="3">
        <v>8</v>
      </c>
      <c r="V130" s="3">
        <v>8</v>
      </c>
      <c r="W130" s="4" t="s">
        <v>696</v>
      </c>
      <c r="X130" s="4" t="s">
        <v>696</v>
      </c>
      <c r="Y130" s="4" t="s">
        <v>73</v>
      </c>
      <c r="Z130" s="4" t="s">
        <v>73</v>
      </c>
      <c r="AA130" s="3">
        <v>464</v>
      </c>
      <c r="AB130" s="3">
        <v>403</v>
      </c>
      <c r="AC130" s="3">
        <v>411</v>
      </c>
      <c r="AD130" s="3">
        <v>2</v>
      </c>
      <c r="AE130" s="3">
        <v>2</v>
      </c>
      <c r="AF130" s="3">
        <v>18</v>
      </c>
      <c r="AG130" s="3">
        <v>18</v>
      </c>
      <c r="AH130" s="3">
        <v>9</v>
      </c>
      <c r="AI130" s="3">
        <v>9</v>
      </c>
      <c r="AJ130" s="3">
        <v>4</v>
      </c>
      <c r="AK130" s="3">
        <v>4</v>
      </c>
      <c r="AL130" s="3">
        <v>10</v>
      </c>
      <c r="AM130" s="3">
        <v>10</v>
      </c>
      <c r="AN130" s="3">
        <v>1</v>
      </c>
      <c r="AO130" s="3">
        <v>1</v>
      </c>
      <c r="AP130" s="3">
        <v>0</v>
      </c>
      <c r="AQ130" s="3">
        <v>0</v>
      </c>
      <c r="AR130" s="2" t="s">
        <v>63</v>
      </c>
      <c r="AS130" s="2" t="s">
        <v>74</v>
      </c>
      <c r="AT130" s="5" t="str">
        <f>HYPERLINK("http://catalog.hathitrust.org/Record/000465801","HathiTrust Record")</f>
        <v>HathiTrust Record</v>
      </c>
      <c r="AU130" s="5" t="str">
        <f>HYPERLINK("https://creighton-primo.hosted.exlibrisgroup.com/primo-explore/search?tab=default_tab&amp;search_scope=EVERYTHING&amp;vid=01CRU&amp;lang=en_US&amp;offset=0&amp;query=any,contains,991000674639702656","Catalog Record")</f>
        <v>Catalog Record</v>
      </c>
      <c r="AV130" s="5" t="str">
        <f>HYPERLINK("http://www.worldcat.org/oclc/12343464","WorldCat Record")</f>
        <v>WorldCat Record</v>
      </c>
      <c r="AW130" s="2" t="s">
        <v>1751</v>
      </c>
      <c r="AX130" s="2" t="s">
        <v>1752</v>
      </c>
      <c r="AY130" s="2" t="s">
        <v>1753</v>
      </c>
      <c r="AZ130" s="2" t="s">
        <v>1753</v>
      </c>
      <c r="BA130" s="2" t="s">
        <v>1754</v>
      </c>
      <c r="BB130" s="2" t="s">
        <v>79</v>
      </c>
      <c r="BD130" s="2" t="s">
        <v>1755</v>
      </c>
      <c r="BE130" s="2" t="s">
        <v>1756</v>
      </c>
      <c r="BF130" s="2" t="s">
        <v>1757</v>
      </c>
    </row>
    <row r="131" spans="1:58" ht="39.75" customHeight="1" x14ac:dyDescent="0.25">
      <c r="A131" s="1"/>
      <c r="B131" s="1" t="s">
        <v>58</v>
      </c>
      <c r="C131" s="1" t="s">
        <v>59</v>
      </c>
      <c r="D131" s="1" t="s">
        <v>1758</v>
      </c>
      <c r="E131" s="1" t="s">
        <v>1759</v>
      </c>
      <c r="F131" s="1" t="s">
        <v>1760</v>
      </c>
      <c r="H131" s="2" t="s">
        <v>63</v>
      </c>
      <c r="I131" s="2" t="s">
        <v>64</v>
      </c>
      <c r="J131" s="2" t="s">
        <v>63</v>
      </c>
      <c r="K131" s="2" t="s">
        <v>63</v>
      </c>
      <c r="L131" s="2" t="s">
        <v>65</v>
      </c>
      <c r="M131" s="1" t="s">
        <v>1761</v>
      </c>
      <c r="N131" s="1" t="s">
        <v>1762</v>
      </c>
      <c r="O131" s="2" t="s">
        <v>1763</v>
      </c>
      <c r="P131" s="1" t="s">
        <v>1764</v>
      </c>
      <c r="Q131" s="2" t="s">
        <v>69</v>
      </c>
      <c r="R131" s="2" t="s">
        <v>88</v>
      </c>
      <c r="T131" s="2" t="s">
        <v>71</v>
      </c>
      <c r="U131" s="3">
        <v>5</v>
      </c>
      <c r="V131" s="3">
        <v>5</v>
      </c>
      <c r="W131" s="4" t="s">
        <v>736</v>
      </c>
      <c r="X131" s="4" t="s">
        <v>736</v>
      </c>
      <c r="Y131" s="4" t="s">
        <v>178</v>
      </c>
      <c r="Z131" s="4" t="s">
        <v>178</v>
      </c>
      <c r="AA131" s="3">
        <v>352</v>
      </c>
      <c r="AB131" s="3">
        <v>227</v>
      </c>
      <c r="AC131" s="3">
        <v>975</v>
      </c>
      <c r="AD131" s="3">
        <v>3</v>
      </c>
      <c r="AE131" s="3">
        <v>28</v>
      </c>
      <c r="AF131" s="3">
        <v>9</v>
      </c>
      <c r="AG131" s="3">
        <v>41</v>
      </c>
      <c r="AH131" s="3">
        <v>1</v>
      </c>
      <c r="AI131" s="3">
        <v>12</v>
      </c>
      <c r="AJ131" s="3">
        <v>4</v>
      </c>
      <c r="AK131" s="3">
        <v>11</v>
      </c>
      <c r="AL131" s="3">
        <v>3</v>
      </c>
      <c r="AM131" s="3">
        <v>14</v>
      </c>
      <c r="AN131" s="3">
        <v>2</v>
      </c>
      <c r="AO131" s="3">
        <v>13</v>
      </c>
      <c r="AP131" s="3">
        <v>0</v>
      </c>
      <c r="AQ131" s="3">
        <v>0</v>
      </c>
      <c r="AR131" s="2" t="s">
        <v>63</v>
      </c>
      <c r="AS131" s="2" t="s">
        <v>63</v>
      </c>
      <c r="AU131" s="5" t="str">
        <f>HYPERLINK("https://creighton-primo.hosted.exlibrisgroup.com/primo-explore/search?tab=default_tab&amp;search_scope=EVERYTHING&amp;vid=01CRU&amp;lang=en_US&amp;offset=0&amp;query=any,contains,991003930269702656","Catalog Record")</f>
        <v>Catalog Record</v>
      </c>
      <c r="AV131" s="5" t="str">
        <f>HYPERLINK("http://www.worldcat.org/oclc/49760696","WorldCat Record")</f>
        <v>WorldCat Record</v>
      </c>
      <c r="AW131" s="2" t="s">
        <v>1765</v>
      </c>
      <c r="AX131" s="2" t="s">
        <v>1766</v>
      </c>
      <c r="AY131" s="2" t="s">
        <v>1767</v>
      </c>
      <c r="AZ131" s="2" t="s">
        <v>1767</v>
      </c>
      <c r="BA131" s="2" t="s">
        <v>1768</v>
      </c>
      <c r="BB131" s="2" t="s">
        <v>79</v>
      </c>
      <c r="BD131" s="2" t="s">
        <v>1769</v>
      </c>
      <c r="BE131" s="2" t="s">
        <v>1770</v>
      </c>
      <c r="BF131" s="2" t="s">
        <v>1771</v>
      </c>
    </row>
    <row r="132" spans="1:58" ht="39.75" customHeight="1" x14ac:dyDescent="0.25">
      <c r="A132" s="1"/>
      <c r="B132" s="1" t="s">
        <v>58</v>
      </c>
      <c r="C132" s="1" t="s">
        <v>59</v>
      </c>
      <c r="D132" s="1" t="s">
        <v>1772</v>
      </c>
      <c r="E132" s="1" t="s">
        <v>1773</v>
      </c>
      <c r="F132" s="1" t="s">
        <v>1774</v>
      </c>
      <c r="H132" s="2" t="s">
        <v>63</v>
      </c>
      <c r="I132" s="2" t="s">
        <v>64</v>
      </c>
      <c r="J132" s="2" t="s">
        <v>63</v>
      </c>
      <c r="K132" s="2" t="s">
        <v>63</v>
      </c>
      <c r="L132" s="2" t="s">
        <v>65</v>
      </c>
      <c r="M132" s="1" t="s">
        <v>1775</v>
      </c>
      <c r="N132" s="1" t="s">
        <v>1776</v>
      </c>
      <c r="O132" s="2" t="s">
        <v>68</v>
      </c>
      <c r="Q132" s="2" t="s">
        <v>69</v>
      </c>
      <c r="R132" s="2" t="s">
        <v>88</v>
      </c>
      <c r="T132" s="2" t="s">
        <v>71</v>
      </c>
      <c r="U132" s="3">
        <v>1</v>
      </c>
      <c r="V132" s="3">
        <v>1</v>
      </c>
      <c r="W132" s="4" t="s">
        <v>1777</v>
      </c>
      <c r="X132" s="4" t="s">
        <v>1777</v>
      </c>
      <c r="Y132" s="4" t="s">
        <v>73</v>
      </c>
      <c r="Z132" s="4" t="s">
        <v>73</v>
      </c>
      <c r="AA132" s="3">
        <v>305</v>
      </c>
      <c r="AB132" s="3">
        <v>243</v>
      </c>
      <c r="AC132" s="3">
        <v>261</v>
      </c>
      <c r="AD132" s="3">
        <v>2</v>
      </c>
      <c r="AE132" s="3">
        <v>2</v>
      </c>
      <c r="AF132" s="3">
        <v>13</v>
      </c>
      <c r="AG132" s="3">
        <v>13</v>
      </c>
      <c r="AH132" s="3">
        <v>4</v>
      </c>
      <c r="AI132" s="3">
        <v>4</v>
      </c>
      <c r="AJ132" s="3">
        <v>4</v>
      </c>
      <c r="AK132" s="3">
        <v>4</v>
      </c>
      <c r="AL132" s="3">
        <v>10</v>
      </c>
      <c r="AM132" s="3">
        <v>10</v>
      </c>
      <c r="AN132" s="3">
        <v>1</v>
      </c>
      <c r="AO132" s="3">
        <v>1</v>
      </c>
      <c r="AP132" s="3">
        <v>0</v>
      </c>
      <c r="AQ132" s="3">
        <v>0</v>
      </c>
      <c r="AR132" s="2" t="s">
        <v>63</v>
      </c>
      <c r="AS132" s="2" t="s">
        <v>74</v>
      </c>
      <c r="AT132" s="5" t="str">
        <f>HYPERLINK("http://catalog.hathitrust.org/Record/000601385","HathiTrust Record")</f>
        <v>HathiTrust Record</v>
      </c>
      <c r="AU132" s="5" t="str">
        <f>HYPERLINK("https://creighton-primo.hosted.exlibrisgroup.com/primo-explore/search?tab=default_tab&amp;search_scope=EVERYTHING&amp;vid=01CRU&amp;lang=en_US&amp;offset=0&amp;query=any,contains,991000446239702656","Catalog Record")</f>
        <v>Catalog Record</v>
      </c>
      <c r="AV132" s="5" t="str">
        <f>HYPERLINK("http://www.worldcat.org/oclc/10850826","WorldCat Record")</f>
        <v>WorldCat Record</v>
      </c>
      <c r="AW132" s="2" t="s">
        <v>1778</v>
      </c>
      <c r="AX132" s="2" t="s">
        <v>1779</v>
      </c>
      <c r="AY132" s="2" t="s">
        <v>1780</v>
      </c>
      <c r="AZ132" s="2" t="s">
        <v>1780</v>
      </c>
      <c r="BA132" s="2" t="s">
        <v>1781</v>
      </c>
      <c r="BB132" s="2" t="s">
        <v>79</v>
      </c>
      <c r="BD132" s="2" t="s">
        <v>1782</v>
      </c>
      <c r="BE132" s="2" t="s">
        <v>1783</v>
      </c>
      <c r="BF132" s="2" t="s">
        <v>1784</v>
      </c>
    </row>
    <row r="133" spans="1:58" ht="39.75" customHeight="1" x14ac:dyDescent="0.25">
      <c r="A133" s="1"/>
      <c r="B133" s="1" t="s">
        <v>58</v>
      </c>
      <c r="C133" s="1" t="s">
        <v>59</v>
      </c>
      <c r="D133" s="1" t="s">
        <v>1785</v>
      </c>
      <c r="E133" s="1" t="s">
        <v>1786</v>
      </c>
      <c r="F133" s="1" t="s">
        <v>1787</v>
      </c>
      <c r="H133" s="2" t="s">
        <v>63</v>
      </c>
      <c r="I133" s="2" t="s">
        <v>64</v>
      </c>
      <c r="J133" s="2" t="s">
        <v>63</v>
      </c>
      <c r="K133" s="2" t="s">
        <v>63</v>
      </c>
      <c r="L133" s="2" t="s">
        <v>65</v>
      </c>
      <c r="M133" s="1" t="s">
        <v>1788</v>
      </c>
      <c r="N133" s="1" t="s">
        <v>1789</v>
      </c>
      <c r="O133" s="2" t="s">
        <v>1790</v>
      </c>
      <c r="P133" s="1" t="s">
        <v>161</v>
      </c>
      <c r="Q133" s="2" t="s">
        <v>69</v>
      </c>
      <c r="R133" s="2" t="s">
        <v>88</v>
      </c>
      <c r="T133" s="2" t="s">
        <v>71</v>
      </c>
      <c r="U133" s="3">
        <v>1</v>
      </c>
      <c r="V133" s="3">
        <v>1</v>
      </c>
      <c r="W133" s="4" t="s">
        <v>1493</v>
      </c>
      <c r="X133" s="4" t="s">
        <v>1493</v>
      </c>
      <c r="Y133" s="4" t="s">
        <v>105</v>
      </c>
      <c r="Z133" s="4" t="s">
        <v>105</v>
      </c>
      <c r="AA133" s="3">
        <v>646</v>
      </c>
      <c r="AB133" s="3">
        <v>535</v>
      </c>
      <c r="AC133" s="3">
        <v>707</v>
      </c>
      <c r="AD133" s="3">
        <v>4</v>
      </c>
      <c r="AE133" s="3">
        <v>6</v>
      </c>
      <c r="AF133" s="3">
        <v>19</v>
      </c>
      <c r="AG133" s="3">
        <v>32</v>
      </c>
      <c r="AH133" s="3">
        <v>10</v>
      </c>
      <c r="AI133" s="3">
        <v>15</v>
      </c>
      <c r="AJ133" s="3">
        <v>3</v>
      </c>
      <c r="AK133" s="3">
        <v>6</v>
      </c>
      <c r="AL133" s="3">
        <v>9</v>
      </c>
      <c r="AM133" s="3">
        <v>15</v>
      </c>
      <c r="AN133" s="3">
        <v>3</v>
      </c>
      <c r="AO133" s="3">
        <v>5</v>
      </c>
      <c r="AP133" s="3">
        <v>0</v>
      </c>
      <c r="AQ133" s="3">
        <v>0</v>
      </c>
      <c r="AR133" s="2" t="s">
        <v>63</v>
      </c>
      <c r="AS133" s="2" t="s">
        <v>74</v>
      </c>
      <c r="AT133" s="5" t="str">
        <f>HYPERLINK("http://catalog.hathitrust.org/Record/001556410","HathiTrust Record")</f>
        <v>HathiTrust Record</v>
      </c>
      <c r="AU133" s="5" t="str">
        <f>HYPERLINK("https://creighton-primo.hosted.exlibrisgroup.com/primo-explore/search?tab=default_tab&amp;search_scope=EVERYTHING&amp;vid=01CRU&amp;lang=en_US&amp;offset=0&amp;query=any,contains,991003593669702656","Catalog Record")</f>
        <v>Catalog Record</v>
      </c>
      <c r="AV133" s="5" t="str">
        <f>HYPERLINK("http://www.worldcat.org/oclc/1175449","WorldCat Record")</f>
        <v>WorldCat Record</v>
      </c>
      <c r="AW133" s="2" t="s">
        <v>1791</v>
      </c>
      <c r="AX133" s="2" t="s">
        <v>1792</v>
      </c>
      <c r="AY133" s="2" t="s">
        <v>1793</v>
      </c>
      <c r="AZ133" s="2" t="s">
        <v>1793</v>
      </c>
      <c r="BA133" s="2" t="s">
        <v>1794</v>
      </c>
      <c r="BB133" s="2" t="s">
        <v>79</v>
      </c>
      <c r="BE133" s="2" t="s">
        <v>1795</v>
      </c>
      <c r="BF133" s="2" t="s">
        <v>1796</v>
      </c>
    </row>
    <row r="134" spans="1:58" ht="39.75" customHeight="1" x14ac:dyDescent="0.25">
      <c r="A134" s="1"/>
      <c r="B134" s="1" t="s">
        <v>58</v>
      </c>
      <c r="C134" s="1" t="s">
        <v>59</v>
      </c>
      <c r="D134" s="1" t="s">
        <v>1797</v>
      </c>
      <c r="E134" s="1" t="s">
        <v>1798</v>
      </c>
      <c r="F134" s="1" t="s">
        <v>1799</v>
      </c>
      <c r="H134" s="2" t="s">
        <v>63</v>
      </c>
      <c r="I134" s="2" t="s">
        <v>64</v>
      </c>
      <c r="J134" s="2" t="s">
        <v>74</v>
      </c>
      <c r="K134" s="2" t="s">
        <v>63</v>
      </c>
      <c r="L134" s="2" t="s">
        <v>65</v>
      </c>
      <c r="M134" s="1" t="s">
        <v>1800</v>
      </c>
      <c r="N134" s="1" t="s">
        <v>1801</v>
      </c>
      <c r="O134" s="2" t="s">
        <v>1505</v>
      </c>
      <c r="Q134" s="2" t="s">
        <v>69</v>
      </c>
      <c r="R134" s="2" t="s">
        <v>88</v>
      </c>
      <c r="T134" s="2" t="s">
        <v>71</v>
      </c>
      <c r="U134" s="3">
        <v>0</v>
      </c>
      <c r="V134" s="3">
        <v>2</v>
      </c>
      <c r="X134" s="4" t="s">
        <v>1802</v>
      </c>
      <c r="Y134" s="4" t="s">
        <v>1803</v>
      </c>
      <c r="Z134" s="4" t="s">
        <v>1803</v>
      </c>
      <c r="AA134" s="3">
        <v>553</v>
      </c>
      <c r="AB134" s="3">
        <v>464</v>
      </c>
      <c r="AC134" s="3">
        <v>475</v>
      </c>
      <c r="AD134" s="3">
        <v>3</v>
      </c>
      <c r="AE134" s="3">
        <v>3</v>
      </c>
      <c r="AF134" s="3">
        <v>20</v>
      </c>
      <c r="AG134" s="3">
        <v>20</v>
      </c>
      <c r="AH134" s="3">
        <v>8</v>
      </c>
      <c r="AI134" s="3">
        <v>8</v>
      </c>
      <c r="AJ134" s="3">
        <v>6</v>
      </c>
      <c r="AK134" s="3">
        <v>6</v>
      </c>
      <c r="AL134" s="3">
        <v>11</v>
      </c>
      <c r="AM134" s="3">
        <v>11</v>
      </c>
      <c r="AN134" s="3">
        <v>1</v>
      </c>
      <c r="AO134" s="3">
        <v>1</v>
      </c>
      <c r="AP134" s="3">
        <v>0</v>
      </c>
      <c r="AQ134" s="3">
        <v>0</v>
      </c>
      <c r="AR134" s="2" t="s">
        <v>63</v>
      </c>
      <c r="AS134" s="2" t="s">
        <v>74</v>
      </c>
      <c r="AT134" s="5" t="str">
        <f>HYPERLINK("http://catalog.hathitrust.org/Record/001496012","HathiTrust Record")</f>
        <v>HathiTrust Record</v>
      </c>
      <c r="AU134" s="5" t="str">
        <f>HYPERLINK("https://creighton-primo.hosted.exlibrisgroup.com/primo-explore/search?tab=default_tab&amp;search_scope=EVERYTHING&amp;vid=01CRU&amp;lang=en_US&amp;offset=0&amp;query=any,contains,991001779599702656","Catalog Record")</f>
        <v>Catalog Record</v>
      </c>
      <c r="AV134" s="5" t="str">
        <f>HYPERLINK("http://www.worldcat.org/oclc/556031","WorldCat Record")</f>
        <v>WorldCat Record</v>
      </c>
      <c r="AW134" s="2" t="s">
        <v>1804</v>
      </c>
      <c r="AX134" s="2" t="s">
        <v>1805</v>
      </c>
      <c r="AY134" s="2" t="s">
        <v>1806</v>
      </c>
      <c r="AZ134" s="2" t="s">
        <v>1806</v>
      </c>
      <c r="BA134" s="2" t="s">
        <v>1807</v>
      </c>
      <c r="BB134" s="2" t="s">
        <v>79</v>
      </c>
      <c r="BE134" s="2" t="s">
        <v>1808</v>
      </c>
      <c r="BF134" s="2" t="s">
        <v>1809</v>
      </c>
    </row>
    <row r="135" spans="1:58" ht="39.75" customHeight="1" x14ac:dyDescent="0.25">
      <c r="A135" s="1"/>
      <c r="B135" s="1" t="s">
        <v>58</v>
      </c>
      <c r="C135" s="1" t="s">
        <v>59</v>
      </c>
      <c r="D135" s="1" t="s">
        <v>1810</v>
      </c>
      <c r="E135" s="1" t="s">
        <v>1811</v>
      </c>
      <c r="F135" s="1" t="s">
        <v>1812</v>
      </c>
      <c r="H135" s="2" t="s">
        <v>63</v>
      </c>
      <c r="I135" s="2" t="s">
        <v>64</v>
      </c>
      <c r="J135" s="2" t="s">
        <v>63</v>
      </c>
      <c r="K135" s="2" t="s">
        <v>63</v>
      </c>
      <c r="L135" s="2" t="s">
        <v>65</v>
      </c>
      <c r="N135" s="1" t="s">
        <v>1813</v>
      </c>
      <c r="O135" s="2" t="s">
        <v>485</v>
      </c>
      <c r="Q135" s="2" t="s">
        <v>69</v>
      </c>
      <c r="R135" s="2" t="s">
        <v>118</v>
      </c>
      <c r="S135" s="1" t="s">
        <v>1814</v>
      </c>
      <c r="T135" s="2" t="s">
        <v>71</v>
      </c>
      <c r="U135" s="3">
        <v>4</v>
      </c>
      <c r="V135" s="3">
        <v>4</v>
      </c>
      <c r="W135" s="4" t="s">
        <v>1815</v>
      </c>
      <c r="X135" s="4" t="s">
        <v>1815</v>
      </c>
      <c r="Y135" s="4" t="s">
        <v>1816</v>
      </c>
      <c r="Z135" s="4" t="s">
        <v>1816</v>
      </c>
      <c r="AA135" s="3">
        <v>179</v>
      </c>
      <c r="AB135" s="3">
        <v>111</v>
      </c>
      <c r="AC135" s="3">
        <v>113</v>
      </c>
      <c r="AD135" s="3">
        <v>1</v>
      </c>
      <c r="AE135" s="3">
        <v>1</v>
      </c>
      <c r="AF135" s="3">
        <v>2</v>
      </c>
      <c r="AG135" s="3">
        <v>2</v>
      </c>
      <c r="AH135" s="3">
        <v>0</v>
      </c>
      <c r="AI135" s="3">
        <v>0</v>
      </c>
      <c r="AJ135" s="3">
        <v>2</v>
      </c>
      <c r="AK135" s="3">
        <v>2</v>
      </c>
      <c r="AL135" s="3">
        <v>1</v>
      </c>
      <c r="AM135" s="3">
        <v>1</v>
      </c>
      <c r="AN135" s="3">
        <v>0</v>
      </c>
      <c r="AO135" s="3">
        <v>0</v>
      </c>
      <c r="AP135" s="3">
        <v>0</v>
      </c>
      <c r="AQ135" s="3">
        <v>0</v>
      </c>
      <c r="AR135" s="2" t="s">
        <v>63</v>
      </c>
      <c r="AS135" s="2" t="s">
        <v>74</v>
      </c>
      <c r="AT135" s="5" t="str">
        <f>HYPERLINK("http://catalog.hathitrust.org/Record/002208467","HathiTrust Record")</f>
        <v>HathiTrust Record</v>
      </c>
      <c r="AU135" s="5" t="str">
        <f>HYPERLINK("https://creighton-primo.hosted.exlibrisgroup.com/primo-explore/search?tab=default_tab&amp;search_scope=EVERYTHING&amp;vid=01CRU&amp;lang=en_US&amp;offset=0&amp;query=any,contains,991001587739702656","Catalog Record")</f>
        <v>Catalog Record</v>
      </c>
      <c r="AV135" s="5" t="str">
        <f>HYPERLINK("http://www.worldcat.org/oclc/20560591","WorldCat Record")</f>
        <v>WorldCat Record</v>
      </c>
      <c r="AW135" s="2" t="s">
        <v>1817</v>
      </c>
      <c r="AX135" s="2" t="s">
        <v>1818</v>
      </c>
      <c r="AY135" s="2" t="s">
        <v>1819</v>
      </c>
      <c r="AZ135" s="2" t="s">
        <v>1819</v>
      </c>
      <c r="BA135" s="2" t="s">
        <v>1820</v>
      </c>
      <c r="BB135" s="2" t="s">
        <v>79</v>
      </c>
      <c r="BD135" s="2" t="s">
        <v>1821</v>
      </c>
      <c r="BE135" s="2" t="s">
        <v>1822</v>
      </c>
      <c r="BF135" s="2" t="s">
        <v>1823</v>
      </c>
    </row>
    <row r="136" spans="1:58" ht="39.75" customHeight="1" x14ac:dyDescent="0.25">
      <c r="A136" s="1"/>
      <c r="B136" s="1" t="s">
        <v>58</v>
      </c>
      <c r="C136" s="1" t="s">
        <v>59</v>
      </c>
      <c r="D136" s="1" t="s">
        <v>1824</v>
      </c>
      <c r="E136" s="1" t="s">
        <v>1825</v>
      </c>
      <c r="F136" s="1" t="s">
        <v>1826</v>
      </c>
      <c r="H136" s="2" t="s">
        <v>63</v>
      </c>
      <c r="I136" s="2" t="s">
        <v>64</v>
      </c>
      <c r="J136" s="2" t="s">
        <v>63</v>
      </c>
      <c r="K136" s="2" t="s">
        <v>63</v>
      </c>
      <c r="L136" s="2" t="s">
        <v>65</v>
      </c>
      <c r="M136" s="1" t="s">
        <v>1827</v>
      </c>
      <c r="N136" s="1" t="s">
        <v>1828</v>
      </c>
      <c r="O136" s="2" t="s">
        <v>834</v>
      </c>
      <c r="P136" s="1" t="s">
        <v>276</v>
      </c>
      <c r="Q136" s="2" t="s">
        <v>69</v>
      </c>
      <c r="R136" s="2" t="s">
        <v>88</v>
      </c>
      <c r="S136" s="1" t="s">
        <v>1829</v>
      </c>
      <c r="T136" s="2" t="s">
        <v>71</v>
      </c>
      <c r="U136" s="3">
        <v>1</v>
      </c>
      <c r="V136" s="3">
        <v>1</v>
      </c>
      <c r="W136" s="4" t="s">
        <v>1178</v>
      </c>
      <c r="X136" s="4" t="s">
        <v>1178</v>
      </c>
      <c r="Y136" s="4" t="s">
        <v>1830</v>
      </c>
      <c r="Z136" s="4" t="s">
        <v>1830</v>
      </c>
      <c r="AA136" s="3">
        <v>517</v>
      </c>
      <c r="AB136" s="3">
        <v>331</v>
      </c>
      <c r="AC136" s="3">
        <v>586</v>
      </c>
      <c r="AD136" s="3">
        <v>3</v>
      </c>
      <c r="AE136" s="3">
        <v>3</v>
      </c>
      <c r="AF136" s="3">
        <v>13</v>
      </c>
      <c r="AG136" s="3">
        <v>21</v>
      </c>
      <c r="AH136" s="3">
        <v>4</v>
      </c>
      <c r="AI136" s="3">
        <v>7</v>
      </c>
      <c r="AJ136" s="3">
        <v>3</v>
      </c>
      <c r="AK136" s="3">
        <v>7</v>
      </c>
      <c r="AL136" s="3">
        <v>7</v>
      </c>
      <c r="AM136" s="3">
        <v>13</v>
      </c>
      <c r="AN136" s="3">
        <v>2</v>
      </c>
      <c r="AO136" s="3">
        <v>2</v>
      </c>
      <c r="AP136" s="3">
        <v>0</v>
      </c>
      <c r="AQ136" s="3">
        <v>0</v>
      </c>
      <c r="AR136" s="2" t="s">
        <v>63</v>
      </c>
      <c r="AS136" s="2" t="s">
        <v>63</v>
      </c>
      <c r="AU136" s="5" t="str">
        <f>HYPERLINK("https://creighton-primo.hosted.exlibrisgroup.com/primo-explore/search?tab=default_tab&amp;search_scope=EVERYTHING&amp;vid=01CRU&amp;lang=en_US&amp;offset=0&amp;query=any,contains,991000641479702656","Catalog Record")</f>
        <v>Catalog Record</v>
      </c>
      <c r="AV136" s="5" t="str">
        <f>HYPERLINK("http://www.worldcat.org/oclc/12104993","WorldCat Record")</f>
        <v>WorldCat Record</v>
      </c>
      <c r="AW136" s="2" t="s">
        <v>1831</v>
      </c>
      <c r="AX136" s="2" t="s">
        <v>1832</v>
      </c>
      <c r="AY136" s="2" t="s">
        <v>1833</v>
      </c>
      <c r="AZ136" s="2" t="s">
        <v>1833</v>
      </c>
      <c r="BA136" s="2" t="s">
        <v>1834</v>
      </c>
      <c r="BB136" s="2" t="s">
        <v>79</v>
      </c>
      <c r="BD136" s="2" t="s">
        <v>1835</v>
      </c>
      <c r="BE136" s="2" t="s">
        <v>1836</v>
      </c>
      <c r="BF136" s="2" t="s">
        <v>1837</v>
      </c>
    </row>
    <row r="137" spans="1:58" ht="39.75" customHeight="1" x14ac:dyDescent="0.25">
      <c r="A137" s="1"/>
      <c r="B137" s="1" t="s">
        <v>58</v>
      </c>
      <c r="C137" s="1" t="s">
        <v>59</v>
      </c>
      <c r="D137" s="1" t="s">
        <v>1838</v>
      </c>
      <c r="E137" s="1" t="s">
        <v>1839</v>
      </c>
      <c r="F137" s="1" t="s">
        <v>1840</v>
      </c>
      <c r="H137" s="2" t="s">
        <v>63</v>
      </c>
      <c r="I137" s="2" t="s">
        <v>64</v>
      </c>
      <c r="J137" s="2" t="s">
        <v>63</v>
      </c>
      <c r="K137" s="2" t="s">
        <v>63</v>
      </c>
      <c r="L137" s="2" t="s">
        <v>65</v>
      </c>
      <c r="M137" s="1" t="s">
        <v>1841</v>
      </c>
      <c r="N137" s="1" t="s">
        <v>1842</v>
      </c>
      <c r="O137" s="2" t="s">
        <v>1681</v>
      </c>
      <c r="P137" s="1" t="s">
        <v>1611</v>
      </c>
      <c r="Q137" s="2" t="s">
        <v>69</v>
      </c>
      <c r="R137" s="2" t="s">
        <v>88</v>
      </c>
      <c r="T137" s="2" t="s">
        <v>71</v>
      </c>
      <c r="U137" s="3">
        <v>3</v>
      </c>
      <c r="V137" s="3">
        <v>3</v>
      </c>
      <c r="W137" s="4" t="s">
        <v>1178</v>
      </c>
      <c r="X137" s="4" t="s">
        <v>1178</v>
      </c>
      <c r="Y137" s="4" t="s">
        <v>1843</v>
      </c>
      <c r="Z137" s="4" t="s">
        <v>1843</v>
      </c>
      <c r="AA137" s="3">
        <v>273</v>
      </c>
      <c r="AB137" s="3">
        <v>174</v>
      </c>
      <c r="AC137" s="3">
        <v>438</v>
      </c>
      <c r="AD137" s="3">
        <v>2</v>
      </c>
      <c r="AE137" s="3">
        <v>3</v>
      </c>
      <c r="AF137" s="3">
        <v>8</v>
      </c>
      <c r="AG137" s="3">
        <v>20</v>
      </c>
      <c r="AH137" s="3">
        <v>2</v>
      </c>
      <c r="AI137" s="3">
        <v>6</v>
      </c>
      <c r="AJ137" s="3">
        <v>4</v>
      </c>
      <c r="AK137" s="3">
        <v>6</v>
      </c>
      <c r="AL137" s="3">
        <v>3</v>
      </c>
      <c r="AM137" s="3">
        <v>10</v>
      </c>
      <c r="AN137" s="3">
        <v>1</v>
      </c>
      <c r="AO137" s="3">
        <v>2</v>
      </c>
      <c r="AP137" s="3">
        <v>0</v>
      </c>
      <c r="AQ137" s="3">
        <v>0</v>
      </c>
      <c r="AR137" s="2" t="s">
        <v>63</v>
      </c>
      <c r="AS137" s="2" t="s">
        <v>74</v>
      </c>
      <c r="AT137" s="5" t="str">
        <f>HYPERLINK("http://catalog.hathitrust.org/Record/005214890","HathiTrust Record")</f>
        <v>HathiTrust Record</v>
      </c>
      <c r="AU137" s="5" t="str">
        <f>HYPERLINK("https://creighton-primo.hosted.exlibrisgroup.com/primo-explore/search?tab=default_tab&amp;search_scope=EVERYTHING&amp;vid=01CRU&amp;lang=en_US&amp;offset=0&amp;query=any,contains,991004933159702656","Catalog Record")</f>
        <v>Catalog Record</v>
      </c>
      <c r="AV137" s="5" t="str">
        <f>HYPERLINK("http://www.worldcat.org/oclc/60414377","WorldCat Record")</f>
        <v>WorldCat Record</v>
      </c>
      <c r="AW137" s="2" t="s">
        <v>1844</v>
      </c>
      <c r="AX137" s="2" t="s">
        <v>1845</v>
      </c>
      <c r="AY137" s="2" t="s">
        <v>1846</v>
      </c>
      <c r="AZ137" s="2" t="s">
        <v>1846</v>
      </c>
      <c r="BA137" s="2" t="s">
        <v>1847</v>
      </c>
      <c r="BB137" s="2" t="s">
        <v>79</v>
      </c>
      <c r="BD137" s="2" t="s">
        <v>1848</v>
      </c>
      <c r="BE137" s="2" t="s">
        <v>1849</v>
      </c>
      <c r="BF137" s="2" t="s">
        <v>1850</v>
      </c>
    </row>
    <row r="138" spans="1:58" ht="39.75" customHeight="1" x14ac:dyDescent="0.25">
      <c r="A138" s="1"/>
      <c r="B138" s="1" t="s">
        <v>58</v>
      </c>
      <c r="C138" s="1" t="s">
        <v>59</v>
      </c>
      <c r="D138" s="1" t="s">
        <v>1851</v>
      </c>
      <c r="E138" s="1" t="s">
        <v>1852</v>
      </c>
      <c r="F138" s="1" t="s">
        <v>1853</v>
      </c>
      <c r="H138" s="2" t="s">
        <v>63</v>
      </c>
      <c r="I138" s="2" t="s">
        <v>64</v>
      </c>
      <c r="J138" s="2" t="s">
        <v>63</v>
      </c>
      <c r="K138" s="2" t="s">
        <v>63</v>
      </c>
      <c r="L138" s="2" t="s">
        <v>65</v>
      </c>
      <c r="M138" s="1" t="s">
        <v>1854</v>
      </c>
      <c r="N138" s="1" t="s">
        <v>1855</v>
      </c>
      <c r="O138" s="2" t="s">
        <v>485</v>
      </c>
      <c r="Q138" s="2" t="s">
        <v>69</v>
      </c>
      <c r="R138" s="2" t="s">
        <v>118</v>
      </c>
      <c r="T138" s="2" t="s">
        <v>71</v>
      </c>
      <c r="U138" s="3">
        <v>11</v>
      </c>
      <c r="V138" s="3">
        <v>11</v>
      </c>
      <c r="W138" s="4" t="s">
        <v>1856</v>
      </c>
      <c r="X138" s="4" t="s">
        <v>1856</v>
      </c>
      <c r="Y138" s="4" t="s">
        <v>1857</v>
      </c>
      <c r="Z138" s="4" t="s">
        <v>1857</v>
      </c>
      <c r="AA138" s="3">
        <v>330</v>
      </c>
      <c r="AB138" s="3">
        <v>227</v>
      </c>
      <c r="AC138" s="3">
        <v>234</v>
      </c>
      <c r="AD138" s="3">
        <v>2</v>
      </c>
      <c r="AE138" s="3">
        <v>2</v>
      </c>
      <c r="AF138" s="3">
        <v>10</v>
      </c>
      <c r="AG138" s="3">
        <v>10</v>
      </c>
      <c r="AH138" s="3">
        <v>5</v>
      </c>
      <c r="AI138" s="3">
        <v>5</v>
      </c>
      <c r="AJ138" s="3">
        <v>2</v>
      </c>
      <c r="AK138" s="3">
        <v>2</v>
      </c>
      <c r="AL138" s="3">
        <v>4</v>
      </c>
      <c r="AM138" s="3">
        <v>4</v>
      </c>
      <c r="AN138" s="3">
        <v>1</v>
      </c>
      <c r="AO138" s="3">
        <v>1</v>
      </c>
      <c r="AP138" s="3">
        <v>0</v>
      </c>
      <c r="AQ138" s="3">
        <v>0</v>
      </c>
      <c r="AR138" s="2" t="s">
        <v>63</v>
      </c>
      <c r="AS138" s="2" t="s">
        <v>74</v>
      </c>
      <c r="AT138" s="5" t="str">
        <f>HYPERLINK("http://catalog.hathitrust.org/Record/002463402","HathiTrust Record")</f>
        <v>HathiTrust Record</v>
      </c>
      <c r="AU138" s="5" t="str">
        <f>HYPERLINK("https://creighton-primo.hosted.exlibrisgroup.com/primo-explore/search?tab=default_tab&amp;search_scope=EVERYTHING&amp;vid=01CRU&amp;lang=en_US&amp;offset=0&amp;query=any,contains,991001767129702656","Catalog Record")</f>
        <v>Catalog Record</v>
      </c>
      <c r="AV138" s="5" t="str">
        <f>HYPERLINK("http://www.worldcat.org/oclc/22311341","WorldCat Record")</f>
        <v>WorldCat Record</v>
      </c>
      <c r="AW138" s="2" t="s">
        <v>1858</v>
      </c>
      <c r="AX138" s="2" t="s">
        <v>1859</v>
      </c>
      <c r="AY138" s="2" t="s">
        <v>1860</v>
      </c>
      <c r="AZ138" s="2" t="s">
        <v>1860</v>
      </c>
      <c r="BA138" s="2" t="s">
        <v>1861</v>
      </c>
      <c r="BB138" s="2" t="s">
        <v>79</v>
      </c>
      <c r="BD138" s="2" t="s">
        <v>1862</v>
      </c>
      <c r="BE138" s="2" t="s">
        <v>1863</v>
      </c>
      <c r="BF138" s="2" t="s">
        <v>1864</v>
      </c>
    </row>
    <row r="139" spans="1:58" ht="39.75" customHeight="1" x14ac:dyDescent="0.25">
      <c r="A139" s="1"/>
      <c r="B139" s="1" t="s">
        <v>58</v>
      </c>
      <c r="C139" s="1" t="s">
        <v>59</v>
      </c>
      <c r="D139" s="1" t="s">
        <v>1865</v>
      </c>
      <c r="E139" s="1" t="s">
        <v>1866</v>
      </c>
      <c r="F139" s="1" t="s">
        <v>1867</v>
      </c>
      <c r="H139" s="2" t="s">
        <v>63</v>
      </c>
      <c r="I139" s="2" t="s">
        <v>64</v>
      </c>
      <c r="J139" s="2" t="s">
        <v>63</v>
      </c>
      <c r="K139" s="2" t="s">
        <v>63</v>
      </c>
      <c r="L139" s="2" t="s">
        <v>65</v>
      </c>
      <c r="N139" s="1" t="s">
        <v>1868</v>
      </c>
      <c r="O139" s="2" t="s">
        <v>1869</v>
      </c>
      <c r="Q139" s="2" t="s">
        <v>69</v>
      </c>
      <c r="R139" s="2" t="s">
        <v>118</v>
      </c>
      <c r="T139" s="2" t="s">
        <v>71</v>
      </c>
      <c r="U139" s="3">
        <v>4</v>
      </c>
      <c r="V139" s="3">
        <v>4</v>
      </c>
      <c r="W139" s="4" t="s">
        <v>1870</v>
      </c>
      <c r="X139" s="4" t="s">
        <v>1870</v>
      </c>
      <c r="Y139" s="4" t="s">
        <v>73</v>
      </c>
      <c r="Z139" s="4" t="s">
        <v>73</v>
      </c>
      <c r="AA139" s="3">
        <v>291</v>
      </c>
      <c r="AB139" s="3">
        <v>179</v>
      </c>
      <c r="AC139" s="3">
        <v>180</v>
      </c>
      <c r="AD139" s="3">
        <v>1</v>
      </c>
      <c r="AE139" s="3">
        <v>1</v>
      </c>
      <c r="AF139" s="3">
        <v>1</v>
      </c>
      <c r="AG139" s="3">
        <v>1</v>
      </c>
      <c r="AH139" s="3">
        <v>0</v>
      </c>
      <c r="AI139" s="3">
        <v>0</v>
      </c>
      <c r="AJ139" s="3">
        <v>1</v>
      </c>
      <c r="AK139" s="3">
        <v>1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2" t="s">
        <v>63</v>
      </c>
      <c r="AS139" s="2" t="s">
        <v>74</v>
      </c>
      <c r="AT139" s="5" t="str">
        <f>HYPERLINK("http://catalog.hathitrust.org/Record/006253456","HathiTrust Record")</f>
        <v>HathiTrust Record</v>
      </c>
      <c r="AU139" s="5" t="str">
        <f>HYPERLINK("https://creighton-primo.hosted.exlibrisgroup.com/primo-explore/search?tab=default_tab&amp;search_scope=EVERYTHING&amp;vid=01CRU&amp;lang=en_US&amp;offset=0&amp;query=any,contains,991004545399702656","Catalog Record")</f>
        <v>Catalog Record</v>
      </c>
      <c r="AV139" s="5" t="str">
        <f>HYPERLINK("http://www.worldcat.org/oclc/3913258","WorldCat Record")</f>
        <v>WorldCat Record</v>
      </c>
      <c r="AW139" s="2" t="s">
        <v>1871</v>
      </c>
      <c r="AX139" s="2" t="s">
        <v>1872</v>
      </c>
      <c r="AY139" s="2" t="s">
        <v>1873</v>
      </c>
      <c r="AZ139" s="2" t="s">
        <v>1873</v>
      </c>
      <c r="BA139" s="2" t="s">
        <v>1874</v>
      </c>
      <c r="BB139" s="2" t="s">
        <v>79</v>
      </c>
      <c r="BD139" s="2" t="s">
        <v>1875</v>
      </c>
      <c r="BE139" s="2" t="s">
        <v>1876</v>
      </c>
      <c r="BF139" s="2" t="s">
        <v>1877</v>
      </c>
    </row>
    <row r="140" spans="1:58" ht="39.75" customHeight="1" x14ac:dyDescent="0.25">
      <c r="A140" s="1"/>
      <c r="B140" s="1" t="s">
        <v>58</v>
      </c>
      <c r="C140" s="1" t="s">
        <v>59</v>
      </c>
      <c r="D140" s="1" t="s">
        <v>1878</v>
      </c>
      <c r="E140" s="1" t="s">
        <v>1879</v>
      </c>
      <c r="F140" s="1" t="s">
        <v>1880</v>
      </c>
      <c r="H140" s="2" t="s">
        <v>63</v>
      </c>
      <c r="I140" s="2" t="s">
        <v>64</v>
      </c>
      <c r="J140" s="2" t="s">
        <v>63</v>
      </c>
      <c r="K140" s="2" t="s">
        <v>63</v>
      </c>
      <c r="L140" s="2" t="s">
        <v>65</v>
      </c>
      <c r="M140" s="1" t="s">
        <v>1881</v>
      </c>
      <c r="N140" s="1" t="s">
        <v>874</v>
      </c>
      <c r="O140" s="2" t="s">
        <v>875</v>
      </c>
      <c r="Q140" s="2" t="s">
        <v>69</v>
      </c>
      <c r="R140" s="2" t="s">
        <v>88</v>
      </c>
      <c r="S140" s="1" t="s">
        <v>1882</v>
      </c>
      <c r="T140" s="2" t="s">
        <v>71</v>
      </c>
      <c r="U140" s="3">
        <v>2</v>
      </c>
      <c r="V140" s="3">
        <v>2</v>
      </c>
      <c r="W140" s="4" t="s">
        <v>1883</v>
      </c>
      <c r="X140" s="4" t="s">
        <v>1883</v>
      </c>
      <c r="Y140" s="4" t="s">
        <v>73</v>
      </c>
      <c r="Z140" s="4" t="s">
        <v>73</v>
      </c>
      <c r="AA140" s="3">
        <v>235</v>
      </c>
      <c r="AB140" s="3">
        <v>154</v>
      </c>
      <c r="AC140" s="3">
        <v>171</v>
      </c>
      <c r="AD140" s="3">
        <v>1</v>
      </c>
      <c r="AE140" s="3">
        <v>1</v>
      </c>
      <c r="AF140" s="3">
        <v>3</v>
      </c>
      <c r="AG140" s="3">
        <v>3</v>
      </c>
      <c r="AH140" s="3">
        <v>2</v>
      </c>
      <c r="AI140" s="3">
        <v>2</v>
      </c>
      <c r="AJ140" s="3">
        <v>1</v>
      </c>
      <c r="AK140" s="3">
        <v>1</v>
      </c>
      <c r="AL140" s="3">
        <v>3</v>
      </c>
      <c r="AM140" s="3">
        <v>3</v>
      </c>
      <c r="AN140" s="3">
        <v>0</v>
      </c>
      <c r="AO140" s="3">
        <v>0</v>
      </c>
      <c r="AP140" s="3">
        <v>0</v>
      </c>
      <c r="AQ140" s="3">
        <v>0</v>
      </c>
      <c r="AR140" s="2" t="s">
        <v>63</v>
      </c>
      <c r="AS140" s="2" t="s">
        <v>74</v>
      </c>
      <c r="AT140" s="5" t="str">
        <f>HYPERLINK("http://catalog.hathitrust.org/Record/000104275","HathiTrust Record")</f>
        <v>HathiTrust Record</v>
      </c>
      <c r="AU140" s="5" t="str">
        <f>HYPERLINK("https://creighton-primo.hosted.exlibrisgroup.com/primo-explore/search?tab=default_tab&amp;search_scope=EVERYTHING&amp;vid=01CRU&amp;lang=en_US&amp;offset=0&amp;query=any,contains,991005099119702656","Catalog Record")</f>
        <v>Catalog Record</v>
      </c>
      <c r="AV140" s="5" t="str">
        <f>HYPERLINK("http://www.worldcat.org/oclc/7279072","WorldCat Record")</f>
        <v>WorldCat Record</v>
      </c>
      <c r="AW140" s="2" t="s">
        <v>1884</v>
      </c>
      <c r="AX140" s="2" t="s">
        <v>1885</v>
      </c>
      <c r="AY140" s="2" t="s">
        <v>1886</v>
      </c>
      <c r="AZ140" s="2" t="s">
        <v>1886</v>
      </c>
      <c r="BA140" s="2" t="s">
        <v>1887</v>
      </c>
      <c r="BB140" s="2" t="s">
        <v>79</v>
      </c>
      <c r="BD140" s="2" t="s">
        <v>1888</v>
      </c>
      <c r="BE140" s="2" t="s">
        <v>1889</v>
      </c>
      <c r="BF140" s="2" t="s">
        <v>1890</v>
      </c>
    </row>
    <row r="141" spans="1:58" ht="39.75" customHeight="1" x14ac:dyDescent="0.25">
      <c r="A141" s="1"/>
      <c r="B141" s="1" t="s">
        <v>58</v>
      </c>
      <c r="C141" s="1" t="s">
        <v>59</v>
      </c>
      <c r="D141" s="1" t="s">
        <v>1891</v>
      </c>
      <c r="E141" s="1" t="s">
        <v>1892</v>
      </c>
      <c r="F141" s="1" t="s">
        <v>1893</v>
      </c>
      <c r="H141" s="2" t="s">
        <v>63</v>
      </c>
      <c r="I141" s="2" t="s">
        <v>64</v>
      </c>
      <c r="J141" s="2" t="s">
        <v>63</v>
      </c>
      <c r="K141" s="2" t="s">
        <v>74</v>
      </c>
      <c r="L141" s="2" t="s">
        <v>65</v>
      </c>
      <c r="M141" s="1" t="s">
        <v>1894</v>
      </c>
      <c r="N141" s="1" t="s">
        <v>1895</v>
      </c>
      <c r="O141" s="2" t="s">
        <v>248</v>
      </c>
      <c r="P141" s="1" t="s">
        <v>276</v>
      </c>
      <c r="Q141" s="2" t="s">
        <v>69</v>
      </c>
      <c r="R141" s="2" t="s">
        <v>118</v>
      </c>
      <c r="T141" s="2" t="s">
        <v>71</v>
      </c>
      <c r="U141" s="3">
        <v>8</v>
      </c>
      <c r="V141" s="3">
        <v>8</v>
      </c>
      <c r="W141" s="4" t="s">
        <v>1896</v>
      </c>
      <c r="X141" s="4" t="s">
        <v>1896</v>
      </c>
      <c r="Y141" s="4" t="s">
        <v>1897</v>
      </c>
      <c r="Z141" s="4" t="s">
        <v>1897</v>
      </c>
      <c r="AA141" s="3">
        <v>527</v>
      </c>
      <c r="AB141" s="3">
        <v>351</v>
      </c>
      <c r="AC141" s="3">
        <v>1358</v>
      </c>
      <c r="AD141" s="3">
        <v>1</v>
      </c>
      <c r="AE141" s="3">
        <v>5</v>
      </c>
      <c r="AF141" s="3">
        <v>6</v>
      </c>
      <c r="AG141" s="3">
        <v>47</v>
      </c>
      <c r="AH141" s="3">
        <v>4</v>
      </c>
      <c r="AI141" s="3">
        <v>23</v>
      </c>
      <c r="AJ141" s="3">
        <v>1</v>
      </c>
      <c r="AK141" s="3">
        <v>9</v>
      </c>
      <c r="AL141" s="3">
        <v>3</v>
      </c>
      <c r="AM141" s="3">
        <v>21</v>
      </c>
      <c r="AN141" s="3">
        <v>0</v>
      </c>
      <c r="AO141" s="3">
        <v>4</v>
      </c>
      <c r="AP141" s="3">
        <v>0</v>
      </c>
      <c r="AQ141" s="3">
        <v>0</v>
      </c>
      <c r="AR141" s="2" t="s">
        <v>63</v>
      </c>
      <c r="AS141" s="2" t="s">
        <v>74</v>
      </c>
      <c r="AT141" s="5" t="str">
        <f>HYPERLINK("http://catalog.hathitrust.org/Record/000846707","HathiTrust Record")</f>
        <v>HathiTrust Record</v>
      </c>
      <c r="AU141" s="5" t="str">
        <f>HYPERLINK("https://creighton-primo.hosted.exlibrisgroup.com/primo-explore/search?tab=default_tab&amp;search_scope=EVERYTHING&amp;vid=01CRU&amp;lang=en_US&amp;offset=0&amp;query=any,contains,991001092579702656","Catalog Record")</f>
        <v>Catalog Record</v>
      </c>
      <c r="AV141" s="5" t="str">
        <f>HYPERLINK("http://www.worldcat.org/oclc/16226156","WorldCat Record")</f>
        <v>WorldCat Record</v>
      </c>
      <c r="AW141" s="2" t="s">
        <v>1898</v>
      </c>
      <c r="AX141" s="2" t="s">
        <v>1899</v>
      </c>
      <c r="AY141" s="2" t="s">
        <v>1900</v>
      </c>
      <c r="AZ141" s="2" t="s">
        <v>1900</v>
      </c>
      <c r="BA141" s="2" t="s">
        <v>1901</v>
      </c>
      <c r="BB141" s="2" t="s">
        <v>79</v>
      </c>
      <c r="BD141" s="2" t="s">
        <v>1902</v>
      </c>
      <c r="BE141" s="2" t="s">
        <v>1903</v>
      </c>
      <c r="BF141" s="2" t="s">
        <v>1904</v>
      </c>
    </row>
  </sheetData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276225</xdr:colOff>
                    <xdr:row>1</xdr:row>
                    <xdr:rowOff>9525</xdr:rowOff>
                  </from>
                  <to>
                    <xdr:col>1</xdr:col>
                    <xdr:colOff>19050</xdr:colOff>
                    <xdr:row>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0</xdr:col>
                    <xdr:colOff>276225</xdr:colOff>
                    <xdr:row>2</xdr:row>
                    <xdr:rowOff>9525</xdr:rowOff>
                  </from>
                  <to>
                    <xdr:col>1</xdr:col>
                    <xdr:colOff>19050</xdr:colOff>
                    <xdr:row>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276225</xdr:colOff>
                    <xdr:row>3</xdr:row>
                    <xdr:rowOff>9525</xdr:rowOff>
                  </from>
                  <to>
                    <xdr:col>1</xdr:col>
                    <xdr:colOff>19050</xdr:colOff>
                    <xdr:row>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0</xdr:col>
                    <xdr:colOff>276225</xdr:colOff>
                    <xdr:row>4</xdr:row>
                    <xdr:rowOff>9525</xdr:rowOff>
                  </from>
                  <to>
                    <xdr:col>1</xdr:col>
                    <xdr:colOff>19050</xdr:colOff>
                    <xdr:row>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0</xdr:col>
                    <xdr:colOff>276225</xdr:colOff>
                    <xdr:row>5</xdr:row>
                    <xdr:rowOff>9525</xdr:rowOff>
                  </from>
                  <to>
                    <xdr:col>1</xdr:col>
                    <xdr:colOff>19050</xdr:colOff>
                    <xdr:row>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0</xdr:col>
                    <xdr:colOff>276225</xdr:colOff>
                    <xdr:row>6</xdr:row>
                    <xdr:rowOff>9525</xdr:rowOff>
                  </from>
                  <to>
                    <xdr:col>1</xdr:col>
                    <xdr:colOff>19050</xdr:colOff>
                    <xdr:row>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0</xdr:col>
                    <xdr:colOff>276225</xdr:colOff>
                    <xdr:row>7</xdr:row>
                    <xdr:rowOff>9525</xdr:rowOff>
                  </from>
                  <to>
                    <xdr:col>1</xdr:col>
                    <xdr:colOff>19050</xdr:colOff>
                    <xdr:row>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0</xdr:col>
                    <xdr:colOff>276225</xdr:colOff>
                    <xdr:row>8</xdr:row>
                    <xdr:rowOff>9525</xdr:rowOff>
                  </from>
                  <to>
                    <xdr:col>1</xdr:col>
                    <xdr:colOff>19050</xdr:colOff>
                    <xdr:row>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0</xdr:col>
                    <xdr:colOff>276225</xdr:colOff>
                    <xdr:row>9</xdr:row>
                    <xdr:rowOff>9525</xdr:rowOff>
                  </from>
                  <to>
                    <xdr:col>1</xdr:col>
                    <xdr:colOff>19050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0</xdr:col>
                    <xdr:colOff>276225</xdr:colOff>
                    <xdr:row>10</xdr:row>
                    <xdr:rowOff>9525</xdr:rowOff>
                  </from>
                  <to>
                    <xdr:col>1</xdr:col>
                    <xdr:colOff>19050</xdr:colOff>
                    <xdr:row>10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0</xdr:col>
                    <xdr:colOff>276225</xdr:colOff>
                    <xdr:row>11</xdr:row>
                    <xdr:rowOff>9525</xdr:rowOff>
                  </from>
                  <to>
                    <xdr:col>1</xdr:col>
                    <xdr:colOff>19050</xdr:colOff>
                    <xdr:row>11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0</xdr:col>
                    <xdr:colOff>276225</xdr:colOff>
                    <xdr:row>12</xdr:row>
                    <xdr:rowOff>9525</xdr:rowOff>
                  </from>
                  <to>
                    <xdr:col>1</xdr:col>
                    <xdr:colOff>19050</xdr:colOff>
                    <xdr:row>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0</xdr:col>
                    <xdr:colOff>276225</xdr:colOff>
                    <xdr:row>13</xdr:row>
                    <xdr:rowOff>9525</xdr:rowOff>
                  </from>
                  <to>
                    <xdr:col>1</xdr:col>
                    <xdr:colOff>19050</xdr:colOff>
                    <xdr:row>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0</xdr:col>
                    <xdr:colOff>276225</xdr:colOff>
                    <xdr:row>14</xdr:row>
                    <xdr:rowOff>9525</xdr:rowOff>
                  </from>
                  <to>
                    <xdr:col>1</xdr:col>
                    <xdr:colOff>19050</xdr:colOff>
                    <xdr:row>14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0</xdr:col>
                    <xdr:colOff>276225</xdr:colOff>
                    <xdr:row>15</xdr:row>
                    <xdr:rowOff>9525</xdr:rowOff>
                  </from>
                  <to>
                    <xdr:col>1</xdr:col>
                    <xdr:colOff>19050</xdr:colOff>
                    <xdr:row>15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0</xdr:col>
                    <xdr:colOff>276225</xdr:colOff>
                    <xdr:row>16</xdr:row>
                    <xdr:rowOff>9525</xdr:rowOff>
                  </from>
                  <to>
                    <xdr:col>1</xdr:col>
                    <xdr:colOff>19050</xdr:colOff>
                    <xdr:row>16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0</xdr:col>
                    <xdr:colOff>276225</xdr:colOff>
                    <xdr:row>17</xdr:row>
                    <xdr:rowOff>9525</xdr:rowOff>
                  </from>
                  <to>
                    <xdr:col>1</xdr:col>
                    <xdr:colOff>19050</xdr:colOff>
                    <xdr:row>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0</xdr:col>
                    <xdr:colOff>276225</xdr:colOff>
                    <xdr:row>18</xdr:row>
                    <xdr:rowOff>9525</xdr:rowOff>
                  </from>
                  <to>
                    <xdr:col>1</xdr:col>
                    <xdr:colOff>19050</xdr:colOff>
                    <xdr:row>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0</xdr:col>
                    <xdr:colOff>276225</xdr:colOff>
                    <xdr:row>19</xdr:row>
                    <xdr:rowOff>9525</xdr:rowOff>
                  </from>
                  <to>
                    <xdr:col>1</xdr:col>
                    <xdr:colOff>19050</xdr:colOff>
                    <xdr:row>19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0</xdr:col>
                    <xdr:colOff>276225</xdr:colOff>
                    <xdr:row>20</xdr:row>
                    <xdr:rowOff>9525</xdr:rowOff>
                  </from>
                  <to>
                    <xdr:col>1</xdr:col>
                    <xdr:colOff>19050</xdr:colOff>
                    <xdr:row>20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0</xdr:col>
                    <xdr:colOff>276225</xdr:colOff>
                    <xdr:row>21</xdr:row>
                    <xdr:rowOff>9525</xdr:rowOff>
                  </from>
                  <to>
                    <xdr:col>1</xdr:col>
                    <xdr:colOff>19050</xdr:colOff>
                    <xdr:row>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0</xdr:col>
                    <xdr:colOff>276225</xdr:colOff>
                    <xdr:row>22</xdr:row>
                    <xdr:rowOff>9525</xdr:rowOff>
                  </from>
                  <to>
                    <xdr:col>1</xdr:col>
                    <xdr:colOff>19050</xdr:colOff>
                    <xdr:row>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0</xdr:col>
                    <xdr:colOff>276225</xdr:colOff>
                    <xdr:row>23</xdr:row>
                    <xdr:rowOff>9525</xdr:rowOff>
                  </from>
                  <to>
                    <xdr:col>1</xdr:col>
                    <xdr:colOff>19050</xdr:colOff>
                    <xdr:row>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0</xdr:col>
                    <xdr:colOff>276225</xdr:colOff>
                    <xdr:row>24</xdr:row>
                    <xdr:rowOff>9525</xdr:rowOff>
                  </from>
                  <to>
                    <xdr:col>1</xdr:col>
                    <xdr:colOff>19050</xdr:colOff>
                    <xdr:row>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0</xdr:col>
                    <xdr:colOff>276225</xdr:colOff>
                    <xdr:row>25</xdr:row>
                    <xdr:rowOff>9525</xdr:rowOff>
                  </from>
                  <to>
                    <xdr:col>1</xdr:col>
                    <xdr:colOff>19050</xdr:colOff>
                    <xdr:row>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0</xdr:col>
                    <xdr:colOff>276225</xdr:colOff>
                    <xdr:row>26</xdr:row>
                    <xdr:rowOff>9525</xdr:rowOff>
                  </from>
                  <to>
                    <xdr:col>1</xdr:col>
                    <xdr:colOff>19050</xdr:colOff>
                    <xdr:row>26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0</xdr:col>
                    <xdr:colOff>276225</xdr:colOff>
                    <xdr:row>27</xdr:row>
                    <xdr:rowOff>9525</xdr:rowOff>
                  </from>
                  <to>
                    <xdr:col>1</xdr:col>
                    <xdr:colOff>19050</xdr:colOff>
                    <xdr:row>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0</xdr:col>
                    <xdr:colOff>276225</xdr:colOff>
                    <xdr:row>28</xdr:row>
                    <xdr:rowOff>9525</xdr:rowOff>
                  </from>
                  <to>
                    <xdr:col>1</xdr:col>
                    <xdr:colOff>19050</xdr:colOff>
                    <xdr:row>28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0</xdr:col>
                    <xdr:colOff>276225</xdr:colOff>
                    <xdr:row>29</xdr:row>
                    <xdr:rowOff>9525</xdr:rowOff>
                  </from>
                  <to>
                    <xdr:col>1</xdr:col>
                    <xdr:colOff>19050</xdr:colOff>
                    <xdr:row>29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0</xdr:col>
                    <xdr:colOff>276225</xdr:colOff>
                    <xdr:row>30</xdr:row>
                    <xdr:rowOff>9525</xdr:rowOff>
                  </from>
                  <to>
                    <xdr:col>1</xdr:col>
                    <xdr:colOff>19050</xdr:colOff>
                    <xdr:row>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0</xdr:col>
                    <xdr:colOff>276225</xdr:colOff>
                    <xdr:row>31</xdr:row>
                    <xdr:rowOff>9525</xdr:rowOff>
                  </from>
                  <to>
                    <xdr:col>1</xdr:col>
                    <xdr:colOff>19050</xdr:colOff>
                    <xdr:row>31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0</xdr:col>
                    <xdr:colOff>276225</xdr:colOff>
                    <xdr:row>32</xdr:row>
                    <xdr:rowOff>9525</xdr:rowOff>
                  </from>
                  <to>
                    <xdr:col>1</xdr:col>
                    <xdr:colOff>19050</xdr:colOff>
                    <xdr:row>32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0</xdr:col>
                    <xdr:colOff>276225</xdr:colOff>
                    <xdr:row>33</xdr:row>
                    <xdr:rowOff>9525</xdr:rowOff>
                  </from>
                  <to>
                    <xdr:col>1</xdr:col>
                    <xdr:colOff>19050</xdr:colOff>
                    <xdr:row>33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0</xdr:col>
                    <xdr:colOff>276225</xdr:colOff>
                    <xdr:row>34</xdr:row>
                    <xdr:rowOff>9525</xdr:rowOff>
                  </from>
                  <to>
                    <xdr:col>1</xdr:col>
                    <xdr:colOff>19050</xdr:colOff>
                    <xdr:row>34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0</xdr:col>
                    <xdr:colOff>276225</xdr:colOff>
                    <xdr:row>35</xdr:row>
                    <xdr:rowOff>9525</xdr:rowOff>
                  </from>
                  <to>
                    <xdr:col>1</xdr:col>
                    <xdr:colOff>19050</xdr:colOff>
                    <xdr:row>35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0</xdr:col>
                    <xdr:colOff>276225</xdr:colOff>
                    <xdr:row>36</xdr:row>
                    <xdr:rowOff>9525</xdr:rowOff>
                  </from>
                  <to>
                    <xdr:col>1</xdr:col>
                    <xdr:colOff>19050</xdr:colOff>
                    <xdr:row>36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0</xdr:col>
                    <xdr:colOff>276225</xdr:colOff>
                    <xdr:row>37</xdr:row>
                    <xdr:rowOff>9525</xdr:rowOff>
                  </from>
                  <to>
                    <xdr:col>1</xdr:col>
                    <xdr:colOff>19050</xdr:colOff>
                    <xdr:row>37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0</xdr:col>
                    <xdr:colOff>276225</xdr:colOff>
                    <xdr:row>38</xdr:row>
                    <xdr:rowOff>9525</xdr:rowOff>
                  </from>
                  <to>
                    <xdr:col>1</xdr:col>
                    <xdr:colOff>19050</xdr:colOff>
                    <xdr:row>38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0</xdr:col>
                    <xdr:colOff>276225</xdr:colOff>
                    <xdr:row>39</xdr:row>
                    <xdr:rowOff>9525</xdr:rowOff>
                  </from>
                  <to>
                    <xdr:col>1</xdr:col>
                    <xdr:colOff>19050</xdr:colOff>
                    <xdr:row>39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0</xdr:col>
                    <xdr:colOff>276225</xdr:colOff>
                    <xdr:row>40</xdr:row>
                    <xdr:rowOff>9525</xdr:rowOff>
                  </from>
                  <to>
                    <xdr:col>1</xdr:col>
                    <xdr:colOff>19050</xdr:colOff>
                    <xdr:row>40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0</xdr:col>
                    <xdr:colOff>276225</xdr:colOff>
                    <xdr:row>41</xdr:row>
                    <xdr:rowOff>9525</xdr:rowOff>
                  </from>
                  <to>
                    <xdr:col>1</xdr:col>
                    <xdr:colOff>19050</xdr:colOff>
                    <xdr:row>41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0</xdr:col>
                    <xdr:colOff>276225</xdr:colOff>
                    <xdr:row>42</xdr:row>
                    <xdr:rowOff>9525</xdr:rowOff>
                  </from>
                  <to>
                    <xdr:col>1</xdr:col>
                    <xdr:colOff>19050</xdr:colOff>
                    <xdr:row>42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0</xdr:col>
                    <xdr:colOff>276225</xdr:colOff>
                    <xdr:row>43</xdr:row>
                    <xdr:rowOff>9525</xdr:rowOff>
                  </from>
                  <to>
                    <xdr:col>1</xdr:col>
                    <xdr:colOff>19050</xdr:colOff>
                    <xdr:row>43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0</xdr:col>
                    <xdr:colOff>276225</xdr:colOff>
                    <xdr:row>44</xdr:row>
                    <xdr:rowOff>9525</xdr:rowOff>
                  </from>
                  <to>
                    <xdr:col>1</xdr:col>
                    <xdr:colOff>19050</xdr:colOff>
                    <xdr:row>44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0</xdr:col>
                    <xdr:colOff>276225</xdr:colOff>
                    <xdr:row>45</xdr:row>
                    <xdr:rowOff>9525</xdr:rowOff>
                  </from>
                  <to>
                    <xdr:col>1</xdr:col>
                    <xdr:colOff>19050</xdr:colOff>
                    <xdr:row>45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0</xdr:col>
                    <xdr:colOff>276225</xdr:colOff>
                    <xdr:row>46</xdr:row>
                    <xdr:rowOff>9525</xdr:rowOff>
                  </from>
                  <to>
                    <xdr:col>1</xdr:col>
                    <xdr:colOff>19050</xdr:colOff>
                    <xdr:row>46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>
                  <from>
                    <xdr:col>0</xdr:col>
                    <xdr:colOff>276225</xdr:colOff>
                    <xdr:row>47</xdr:row>
                    <xdr:rowOff>9525</xdr:rowOff>
                  </from>
                  <to>
                    <xdr:col>1</xdr:col>
                    <xdr:colOff>19050</xdr:colOff>
                    <xdr:row>47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>
                <anchor moveWithCells="1">
                  <from>
                    <xdr:col>0</xdr:col>
                    <xdr:colOff>276225</xdr:colOff>
                    <xdr:row>48</xdr:row>
                    <xdr:rowOff>9525</xdr:rowOff>
                  </from>
                  <to>
                    <xdr:col>1</xdr:col>
                    <xdr:colOff>19050</xdr:colOff>
                    <xdr:row>48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>
                <anchor moveWithCells="1">
                  <from>
                    <xdr:col>0</xdr:col>
                    <xdr:colOff>276225</xdr:colOff>
                    <xdr:row>49</xdr:row>
                    <xdr:rowOff>9525</xdr:rowOff>
                  </from>
                  <to>
                    <xdr:col>1</xdr:col>
                    <xdr:colOff>19050</xdr:colOff>
                    <xdr:row>49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>
                <anchor moveWithCells="1">
                  <from>
                    <xdr:col>0</xdr:col>
                    <xdr:colOff>276225</xdr:colOff>
                    <xdr:row>50</xdr:row>
                    <xdr:rowOff>9525</xdr:rowOff>
                  </from>
                  <to>
                    <xdr:col>1</xdr:col>
                    <xdr:colOff>19050</xdr:colOff>
                    <xdr:row>50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>
                <anchor moveWithCells="1">
                  <from>
                    <xdr:col>0</xdr:col>
                    <xdr:colOff>276225</xdr:colOff>
                    <xdr:row>51</xdr:row>
                    <xdr:rowOff>9525</xdr:rowOff>
                  </from>
                  <to>
                    <xdr:col>1</xdr:col>
                    <xdr:colOff>19050</xdr:colOff>
                    <xdr:row>51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>
                <anchor moveWithCells="1">
                  <from>
                    <xdr:col>0</xdr:col>
                    <xdr:colOff>276225</xdr:colOff>
                    <xdr:row>52</xdr:row>
                    <xdr:rowOff>9525</xdr:rowOff>
                  </from>
                  <to>
                    <xdr:col>1</xdr:col>
                    <xdr:colOff>19050</xdr:colOff>
                    <xdr:row>52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Fill="0" autoLine="0" autoPict="0">
                <anchor moveWithCells="1">
                  <from>
                    <xdr:col>0</xdr:col>
                    <xdr:colOff>276225</xdr:colOff>
                    <xdr:row>53</xdr:row>
                    <xdr:rowOff>9525</xdr:rowOff>
                  </from>
                  <to>
                    <xdr:col>1</xdr:col>
                    <xdr:colOff>19050</xdr:colOff>
                    <xdr:row>53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Fill="0" autoLine="0" autoPict="0">
                <anchor moveWithCells="1">
                  <from>
                    <xdr:col>0</xdr:col>
                    <xdr:colOff>276225</xdr:colOff>
                    <xdr:row>54</xdr:row>
                    <xdr:rowOff>9525</xdr:rowOff>
                  </from>
                  <to>
                    <xdr:col>1</xdr:col>
                    <xdr:colOff>19050</xdr:colOff>
                    <xdr:row>54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Fill="0" autoLine="0" autoPict="0">
                <anchor moveWithCells="1">
                  <from>
                    <xdr:col>0</xdr:col>
                    <xdr:colOff>276225</xdr:colOff>
                    <xdr:row>55</xdr:row>
                    <xdr:rowOff>9525</xdr:rowOff>
                  </from>
                  <to>
                    <xdr:col>1</xdr:col>
                    <xdr:colOff>19050</xdr:colOff>
                    <xdr:row>55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autoFill="0" autoLine="0" autoPict="0">
                <anchor moveWithCells="1">
                  <from>
                    <xdr:col>0</xdr:col>
                    <xdr:colOff>276225</xdr:colOff>
                    <xdr:row>56</xdr:row>
                    <xdr:rowOff>9525</xdr:rowOff>
                  </from>
                  <to>
                    <xdr:col>1</xdr:col>
                    <xdr:colOff>19050</xdr:colOff>
                    <xdr:row>56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autoFill="0" autoLine="0" autoPict="0">
                <anchor moveWithCells="1">
                  <from>
                    <xdr:col>0</xdr:col>
                    <xdr:colOff>276225</xdr:colOff>
                    <xdr:row>57</xdr:row>
                    <xdr:rowOff>9525</xdr:rowOff>
                  </from>
                  <to>
                    <xdr:col>1</xdr:col>
                    <xdr:colOff>19050</xdr:colOff>
                    <xdr:row>57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autoFill="0" autoLine="0" autoPict="0">
                <anchor moveWithCells="1">
                  <from>
                    <xdr:col>0</xdr:col>
                    <xdr:colOff>276225</xdr:colOff>
                    <xdr:row>58</xdr:row>
                    <xdr:rowOff>9525</xdr:rowOff>
                  </from>
                  <to>
                    <xdr:col>1</xdr:col>
                    <xdr:colOff>19050</xdr:colOff>
                    <xdr:row>58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autoFill="0" autoLine="0" autoPict="0">
                <anchor moveWithCells="1">
                  <from>
                    <xdr:col>0</xdr:col>
                    <xdr:colOff>276225</xdr:colOff>
                    <xdr:row>59</xdr:row>
                    <xdr:rowOff>9525</xdr:rowOff>
                  </from>
                  <to>
                    <xdr:col>1</xdr:col>
                    <xdr:colOff>19050</xdr:colOff>
                    <xdr:row>59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Check Box 60">
              <controlPr defaultSize="0" autoFill="0" autoLine="0" autoPict="0">
                <anchor moveWithCells="1">
                  <from>
                    <xdr:col>0</xdr:col>
                    <xdr:colOff>276225</xdr:colOff>
                    <xdr:row>60</xdr:row>
                    <xdr:rowOff>9525</xdr:rowOff>
                  </from>
                  <to>
                    <xdr:col>1</xdr:col>
                    <xdr:colOff>19050</xdr:colOff>
                    <xdr:row>60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Check Box 61">
              <controlPr defaultSize="0" autoFill="0" autoLine="0" autoPict="0">
                <anchor moveWithCells="1">
                  <from>
                    <xdr:col>0</xdr:col>
                    <xdr:colOff>276225</xdr:colOff>
                    <xdr:row>61</xdr:row>
                    <xdr:rowOff>9525</xdr:rowOff>
                  </from>
                  <to>
                    <xdr:col>1</xdr:col>
                    <xdr:colOff>19050</xdr:colOff>
                    <xdr:row>61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Check Box 62">
              <controlPr defaultSize="0" autoFill="0" autoLine="0" autoPict="0">
                <anchor moveWithCells="1">
                  <from>
                    <xdr:col>0</xdr:col>
                    <xdr:colOff>276225</xdr:colOff>
                    <xdr:row>62</xdr:row>
                    <xdr:rowOff>9525</xdr:rowOff>
                  </from>
                  <to>
                    <xdr:col>1</xdr:col>
                    <xdr:colOff>19050</xdr:colOff>
                    <xdr:row>62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Check Box 63">
              <controlPr defaultSize="0" autoFill="0" autoLine="0" autoPict="0">
                <anchor moveWithCells="1">
                  <from>
                    <xdr:col>0</xdr:col>
                    <xdr:colOff>276225</xdr:colOff>
                    <xdr:row>63</xdr:row>
                    <xdr:rowOff>9525</xdr:rowOff>
                  </from>
                  <to>
                    <xdr:col>1</xdr:col>
                    <xdr:colOff>19050</xdr:colOff>
                    <xdr:row>63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Check Box 64">
              <controlPr defaultSize="0" autoFill="0" autoLine="0" autoPict="0">
                <anchor moveWithCells="1">
                  <from>
                    <xdr:col>0</xdr:col>
                    <xdr:colOff>276225</xdr:colOff>
                    <xdr:row>64</xdr:row>
                    <xdr:rowOff>9525</xdr:rowOff>
                  </from>
                  <to>
                    <xdr:col>1</xdr:col>
                    <xdr:colOff>19050</xdr:colOff>
                    <xdr:row>64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Check Box 65">
              <controlPr defaultSize="0" autoFill="0" autoLine="0" autoPict="0">
                <anchor moveWithCells="1">
                  <from>
                    <xdr:col>0</xdr:col>
                    <xdr:colOff>276225</xdr:colOff>
                    <xdr:row>65</xdr:row>
                    <xdr:rowOff>9525</xdr:rowOff>
                  </from>
                  <to>
                    <xdr:col>1</xdr:col>
                    <xdr:colOff>19050</xdr:colOff>
                    <xdr:row>65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Check Box 66">
              <controlPr defaultSize="0" autoFill="0" autoLine="0" autoPict="0">
                <anchor moveWithCells="1">
                  <from>
                    <xdr:col>0</xdr:col>
                    <xdr:colOff>276225</xdr:colOff>
                    <xdr:row>66</xdr:row>
                    <xdr:rowOff>9525</xdr:rowOff>
                  </from>
                  <to>
                    <xdr:col>1</xdr:col>
                    <xdr:colOff>19050</xdr:colOff>
                    <xdr:row>66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Check Box 67">
              <controlPr defaultSize="0" autoFill="0" autoLine="0" autoPict="0">
                <anchor moveWithCells="1">
                  <from>
                    <xdr:col>0</xdr:col>
                    <xdr:colOff>276225</xdr:colOff>
                    <xdr:row>67</xdr:row>
                    <xdr:rowOff>9525</xdr:rowOff>
                  </from>
                  <to>
                    <xdr:col>1</xdr:col>
                    <xdr:colOff>19050</xdr:colOff>
                    <xdr:row>67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1" name="Check Box 68">
              <controlPr defaultSize="0" autoFill="0" autoLine="0" autoPict="0">
                <anchor moveWithCells="1">
                  <from>
                    <xdr:col>0</xdr:col>
                    <xdr:colOff>276225</xdr:colOff>
                    <xdr:row>68</xdr:row>
                    <xdr:rowOff>9525</xdr:rowOff>
                  </from>
                  <to>
                    <xdr:col>1</xdr:col>
                    <xdr:colOff>19050</xdr:colOff>
                    <xdr:row>68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2" name="Check Box 69">
              <controlPr defaultSize="0" autoFill="0" autoLine="0" autoPict="0">
                <anchor moveWithCells="1">
                  <from>
                    <xdr:col>0</xdr:col>
                    <xdr:colOff>276225</xdr:colOff>
                    <xdr:row>69</xdr:row>
                    <xdr:rowOff>9525</xdr:rowOff>
                  </from>
                  <to>
                    <xdr:col>1</xdr:col>
                    <xdr:colOff>19050</xdr:colOff>
                    <xdr:row>69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3" name="Check Box 70">
              <controlPr defaultSize="0" autoFill="0" autoLine="0" autoPict="0">
                <anchor moveWithCells="1">
                  <from>
                    <xdr:col>0</xdr:col>
                    <xdr:colOff>276225</xdr:colOff>
                    <xdr:row>70</xdr:row>
                    <xdr:rowOff>9525</xdr:rowOff>
                  </from>
                  <to>
                    <xdr:col>1</xdr:col>
                    <xdr:colOff>19050</xdr:colOff>
                    <xdr:row>70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4" name="Check Box 71">
              <controlPr defaultSize="0" autoFill="0" autoLine="0" autoPict="0">
                <anchor moveWithCells="1">
                  <from>
                    <xdr:col>0</xdr:col>
                    <xdr:colOff>276225</xdr:colOff>
                    <xdr:row>71</xdr:row>
                    <xdr:rowOff>9525</xdr:rowOff>
                  </from>
                  <to>
                    <xdr:col>1</xdr:col>
                    <xdr:colOff>19050</xdr:colOff>
                    <xdr:row>71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5" name="Check Box 72">
              <controlPr defaultSize="0" autoFill="0" autoLine="0" autoPict="0">
                <anchor moveWithCells="1">
                  <from>
                    <xdr:col>0</xdr:col>
                    <xdr:colOff>276225</xdr:colOff>
                    <xdr:row>72</xdr:row>
                    <xdr:rowOff>9525</xdr:rowOff>
                  </from>
                  <to>
                    <xdr:col>1</xdr:col>
                    <xdr:colOff>19050</xdr:colOff>
                    <xdr:row>72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6" name="Check Box 73">
              <controlPr defaultSize="0" autoFill="0" autoLine="0" autoPict="0">
                <anchor moveWithCells="1">
                  <from>
                    <xdr:col>0</xdr:col>
                    <xdr:colOff>276225</xdr:colOff>
                    <xdr:row>73</xdr:row>
                    <xdr:rowOff>9525</xdr:rowOff>
                  </from>
                  <to>
                    <xdr:col>1</xdr:col>
                    <xdr:colOff>19050</xdr:colOff>
                    <xdr:row>73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7" name="Check Box 74">
              <controlPr defaultSize="0" autoFill="0" autoLine="0" autoPict="0">
                <anchor moveWithCells="1">
                  <from>
                    <xdr:col>0</xdr:col>
                    <xdr:colOff>276225</xdr:colOff>
                    <xdr:row>74</xdr:row>
                    <xdr:rowOff>9525</xdr:rowOff>
                  </from>
                  <to>
                    <xdr:col>1</xdr:col>
                    <xdr:colOff>19050</xdr:colOff>
                    <xdr:row>74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8" name="Check Box 75">
              <controlPr defaultSize="0" autoFill="0" autoLine="0" autoPict="0">
                <anchor moveWithCells="1">
                  <from>
                    <xdr:col>0</xdr:col>
                    <xdr:colOff>276225</xdr:colOff>
                    <xdr:row>75</xdr:row>
                    <xdr:rowOff>9525</xdr:rowOff>
                  </from>
                  <to>
                    <xdr:col>1</xdr:col>
                    <xdr:colOff>19050</xdr:colOff>
                    <xdr:row>75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9" name="Check Box 76">
              <controlPr defaultSize="0" autoFill="0" autoLine="0" autoPict="0">
                <anchor moveWithCells="1">
                  <from>
                    <xdr:col>0</xdr:col>
                    <xdr:colOff>276225</xdr:colOff>
                    <xdr:row>76</xdr:row>
                    <xdr:rowOff>9525</xdr:rowOff>
                  </from>
                  <to>
                    <xdr:col>1</xdr:col>
                    <xdr:colOff>19050</xdr:colOff>
                    <xdr:row>76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0" name="Check Box 77">
              <controlPr defaultSize="0" autoFill="0" autoLine="0" autoPict="0">
                <anchor moveWithCells="1">
                  <from>
                    <xdr:col>0</xdr:col>
                    <xdr:colOff>276225</xdr:colOff>
                    <xdr:row>77</xdr:row>
                    <xdr:rowOff>9525</xdr:rowOff>
                  </from>
                  <to>
                    <xdr:col>1</xdr:col>
                    <xdr:colOff>19050</xdr:colOff>
                    <xdr:row>77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1" name="Check Box 78">
              <controlPr defaultSize="0" autoFill="0" autoLine="0" autoPict="0">
                <anchor moveWithCells="1">
                  <from>
                    <xdr:col>0</xdr:col>
                    <xdr:colOff>276225</xdr:colOff>
                    <xdr:row>78</xdr:row>
                    <xdr:rowOff>9525</xdr:rowOff>
                  </from>
                  <to>
                    <xdr:col>1</xdr:col>
                    <xdr:colOff>19050</xdr:colOff>
                    <xdr:row>78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2" name="Check Box 79">
              <controlPr defaultSize="0" autoFill="0" autoLine="0" autoPict="0">
                <anchor moveWithCells="1">
                  <from>
                    <xdr:col>0</xdr:col>
                    <xdr:colOff>276225</xdr:colOff>
                    <xdr:row>79</xdr:row>
                    <xdr:rowOff>9525</xdr:rowOff>
                  </from>
                  <to>
                    <xdr:col>1</xdr:col>
                    <xdr:colOff>19050</xdr:colOff>
                    <xdr:row>79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3" name="Check Box 80">
              <controlPr defaultSize="0" autoFill="0" autoLine="0" autoPict="0">
                <anchor moveWithCells="1">
                  <from>
                    <xdr:col>0</xdr:col>
                    <xdr:colOff>276225</xdr:colOff>
                    <xdr:row>80</xdr:row>
                    <xdr:rowOff>9525</xdr:rowOff>
                  </from>
                  <to>
                    <xdr:col>1</xdr:col>
                    <xdr:colOff>19050</xdr:colOff>
                    <xdr:row>80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4" name="Check Box 81">
              <controlPr defaultSize="0" autoFill="0" autoLine="0" autoPict="0">
                <anchor moveWithCells="1">
                  <from>
                    <xdr:col>0</xdr:col>
                    <xdr:colOff>276225</xdr:colOff>
                    <xdr:row>81</xdr:row>
                    <xdr:rowOff>9525</xdr:rowOff>
                  </from>
                  <to>
                    <xdr:col>1</xdr:col>
                    <xdr:colOff>19050</xdr:colOff>
                    <xdr:row>81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5" name="Check Box 82">
              <controlPr defaultSize="0" autoFill="0" autoLine="0" autoPict="0">
                <anchor moveWithCells="1">
                  <from>
                    <xdr:col>0</xdr:col>
                    <xdr:colOff>276225</xdr:colOff>
                    <xdr:row>82</xdr:row>
                    <xdr:rowOff>9525</xdr:rowOff>
                  </from>
                  <to>
                    <xdr:col>1</xdr:col>
                    <xdr:colOff>19050</xdr:colOff>
                    <xdr:row>82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6" name="Check Box 83">
              <controlPr defaultSize="0" autoFill="0" autoLine="0" autoPict="0">
                <anchor moveWithCells="1">
                  <from>
                    <xdr:col>0</xdr:col>
                    <xdr:colOff>276225</xdr:colOff>
                    <xdr:row>83</xdr:row>
                    <xdr:rowOff>9525</xdr:rowOff>
                  </from>
                  <to>
                    <xdr:col>1</xdr:col>
                    <xdr:colOff>19050</xdr:colOff>
                    <xdr:row>83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7" name="Check Box 84">
              <controlPr defaultSize="0" autoFill="0" autoLine="0" autoPict="0">
                <anchor moveWithCells="1">
                  <from>
                    <xdr:col>0</xdr:col>
                    <xdr:colOff>276225</xdr:colOff>
                    <xdr:row>84</xdr:row>
                    <xdr:rowOff>9525</xdr:rowOff>
                  </from>
                  <to>
                    <xdr:col>1</xdr:col>
                    <xdr:colOff>19050</xdr:colOff>
                    <xdr:row>84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8" name="Check Box 85">
              <controlPr defaultSize="0" autoFill="0" autoLine="0" autoPict="0">
                <anchor moveWithCells="1">
                  <from>
                    <xdr:col>0</xdr:col>
                    <xdr:colOff>276225</xdr:colOff>
                    <xdr:row>85</xdr:row>
                    <xdr:rowOff>9525</xdr:rowOff>
                  </from>
                  <to>
                    <xdr:col>1</xdr:col>
                    <xdr:colOff>19050</xdr:colOff>
                    <xdr:row>85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9" name="Check Box 86">
              <controlPr defaultSize="0" autoFill="0" autoLine="0" autoPict="0">
                <anchor moveWithCells="1">
                  <from>
                    <xdr:col>0</xdr:col>
                    <xdr:colOff>276225</xdr:colOff>
                    <xdr:row>86</xdr:row>
                    <xdr:rowOff>9525</xdr:rowOff>
                  </from>
                  <to>
                    <xdr:col>1</xdr:col>
                    <xdr:colOff>19050</xdr:colOff>
                    <xdr:row>86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90" name="Check Box 87">
              <controlPr defaultSize="0" autoFill="0" autoLine="0" autoPict="0">
                <anchor moveWithCells="1">
                  <from>
                    <xdr:col>0</xdr:col>
                    <xdr:colOff>276225</xdr:colOff>
                    <xdr:row>87</xdr:row>
                    <xdr:rowOff>9525</xdr:rowOff>
                  </from>
                  <to>
                    <xdr:col>1</xdr:col>
                    <xdr:colOff>19050</xdr:colOff>
                    <xdr:row>87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1" name="Check Box 88">
              <controlPr defaultSize="0" autoFill="0" autoLine="0" autoPict="0">
                <anchor moveWithCells="1">
                  <from>
                    <xdr:col>0</xdr:col>
                    <xdr:colOff>276225</xdr:colOff>
                    <xdr:row>88</xdr:row>
                    <xdr:rowOff>9525</xdr:rowOff>
                  </from>
                  <to>
                    <xdr:col>1</xdr:col>
                    <xdr:colOff>19050</xdr:colOff>
                    <xdr:row>88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2" name="Check Box 89">
              <controlPr defaultSize="0" autoFill="0" autoLine="0" autoPict="0">
                <anchor moveWithCells="1">
                  <from>
                    <xdr:col>0</xdr:col>
                    <xdr:colOff>276225</xdr:colOff>
                    <xdr:row>89</xdr:row>
                    <xdr:rowOff>9525</xdr:rowOff>
                  </from>
                  <to>
                    <xdr:col>1</xdr:col>
                    <xdr:colOff>19050</xdr:colOff>
                    <xdr:row>89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3" name="Check Box 90">
              <controlPr defaultSize="0" autoFill="0" autoLine="0" autoPict="0">
                <anchor moveWithCells="1">
                  <from>
                    <xdr:col>0</xdr:col>
                    <xdr:colOff>276225</xdr:colOff>
                    <xdr:row>90</xdr:row>
                    <xdr:rowOff>9525</xdr:rowOff>
                  </from>
                  <to>
                    <xdr:col>1</xdr:col>
                    <xdr:colOff>19050</xdr:colOff>
                    <xdr:row>90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4" name="Check Box 91">
              <controlPr defaultSize="0" autoFill="0" autoLine="0" autoPict="0">
                <anchor moveWithCells="1">
                  <from>
                    <xdr:col>0</xdr:col>
                    <xdr:colOff>276225</xdr:colOff>
                    <xdr:row>91</xdr:row>
                    <xdr:rowOff>9525</xdr:rowOff>
                  </from>
                  <to>
                    <xdr:col>1</xdr:col>
                    <xdr:colOff>19050</xdr:colOff>
                    <xdr:row>91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5" name="Check Box 92">
              <controlPr defaultSize="0" autoFill="0" autoLine="0" autoPict="0">
                <anchor moveWithCells="1">
                  <from>
                    <xdr:col>0</xdr:col>
                    <xdr:colOff>276225</xdr:colOff>
                    <xdr:row>92</xdr:row>
                    <xdr:rowOff>9525</xdr:rowOff>
                  </from>
                  <to>
                    <xdr:col>1</xdr:col>
                    <xdr:colOff>19050</xdr:colOff>
                    <xdr:row>92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6" name="Check Box 93">
              <controlPr defaultSize="0" autoFill="0" autoLine="0" autoPict="0">
                <anchor moveWithCells="1">
                  <from>
                    <xdr:col>0</xdr:col>
                    <xdr:colOff>276225</xdr:colOff>
                    <xdr:row>93</xdr:row>
                    <xdr:rowOff>9525</xdr:rowOff>
                  </from>
                  <to>
                    <xdr:col>1</xdr:col>
                    <xdr:colOff>19050</xdr:colOff>
                    <xdr:row>93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7" name="Check Box 94">
              <controlPr defaultSize="0" autoFill="0" autoLine="0" autoPict="0">
                <anchor moveWithCells="1">
                  <from>
                    <xdr:col>0</xdr:col>
                    <xdr:colOff>276225</xdr:colOff>
                    <xdr:row>94</xdr:row>
                    <xdr:rowOff>9525</xdr:rowOff>
                  </from>
                  <to>
                    <xdr:col>1</xdr:col>
                    <xdr:colOff>19050</xdr:colOff>
                    <xdr:row>94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8" name="Check Box 95">
              <controlPr defaultSize="0" autoFill="0" autoLine="0" autoPict="0">
                <anchor moveWithCells="1">
                  <from>
                    <xdr:col>0</xdr:col>
                    <xdr:colOff>276225</xdr:colOff>
                    <xdr:row>95</xdr:row>
                    <xdr:rowOff>9525</xdr:rowOff>
                  </from>
                  <to>
                    <xdr:col>1</xdr:col>
                    <xdr:colOff>19050</xdr:colOff>
                    <xdr:row>95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9" name="Check Box 96">
              <controlPr defaultSize="0" autoFill="0" autoLine="0" autoPict="0">
                <anchor moveWithCells="1">
                  <from>
                    <xdr:col>0</xdr:col>
                    <xdr:colOff>276225</xdr:colOff>
                    <xdr:row>96</xdr:row>
                    <xdr:rowOff>9525</xdr:rowOff>
                  </from>
                  <to>
                    <xdr:col>1</xdr:col>
                    <xdr:colOff>19050</xdr:colOff>
                    <xdr:row>96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100" name="Check Box 97">
              <controlPr defaultSize="0" autoFill="0" autoLine="0" autoPict="0">
                <anchor moveWithCells="1">
                  <from>
                    <xdr:col>0</xdr:col>
                    <xdr:colOff>276225</xdr:colOff>
                    <xdr:row>97</xdr:row>
                    <xdr:rowOff>9525</xdr:rowOff>
                  </from>
                  <to>
                    <xdr:col>1</xdr:col>
                    <xdr:colOff>19050</xdr:colOff>
                    <xdr:row>97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1" name="Check Box 98">
              <controlPr defaultSize="0" autoFill="0" autoLine="0" autoPict="0">
                <anchor moveWithCells="1">
                  <from>
                    <xdr:col>0</xdr:col>
                    <xdr:colOff>276225</xdr:colOff>
                    <xdr:row>98</xdr:row>
                    <xdr:rowOff>9525</xdr:rowOff>
                  </from>
                  <to>
                    <xdr:col>1</xdr:col>
                    <xdr:colOff>19050</xdr:colOff>
                    <xdr:row>98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2" name="Check Box 99">
              <controlPr defaultSize="0" autoFill="0" autoLine="0" autoPict="0">
                <anchor moveWithCells="1">
                  <from>
                    <xdr:col>0</xdr:col>
                    <xdr:colOff>276225</xdr:colOff>
                    <xdr:row>99</xdr:row>
                    <xdr:rowOff>9525</xdr:rowOff>
                  </from>
                  <to>
                    <xdr:col>1</xdr:col>
                    <xdr:colOff>19050</xdr:colOff>
                    <xdr:row>99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3" name="Check Box 100">
              <controlPr defaultSize="0" autoFill="0" autoLine="0" autoPict="0">
                <anchor moveWithCells="1">
                  <from>
                    <xdr:col>0</xdr:col>
                    <xdr:colOff>276225</xdr:colOff>
                    <xdr:row>100</xdr:row>
                    <xdr:rowOff>9525</xdr:rowOff>
                  </from>
                  <to>
                    <xdr:col>1</xdr:col>
                    <xdr:colOff>19050</xdr:colOff>
                    <xdr:row>100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4" name="Check Box 101">
              <controlPr defaultSize="0" autoFill="0" autoLine="0" autoPict="0">
                <anchor moveWithCells="1">
                  <from>
                    <xdr:col>0</xdr:col>
                    <xdr:colOff>276225</xdr:colOff>
                    <xdr:row>101</xdr:row>
                    <xdr:rowOff>9525</xdr:rowOff>
                  </from>
                  <to>
                    <xdr:col>1</xdr:col>
                    <xdr:colOff>19050</xdr:colOff>
                    <xdr:row>101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5" name="Check Box 102">
              <controlPr defaultSize="0" autoFill="0" autoLine="0" autoPict="0">
                <anchor moveWithCells="1">
                  <from>
                    <xdr:col>0</xdr:col>
                    <xdr:colOff>276225</xdr:colOff>
                    <xdr:row>102</xdr:row>
                    <xdr:rowOff>9525</xdr:rowOff>
                  </from>
                  <to>
                    <xdr:col>1</xdr:col>
                    <xdr:colOff>19050</xdr:colOff>
                    <xdr:row>102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6" name="Check Box 103">
              <controlPr defaultSize="0" autoFill="0" autoLine="0" autoPict="0">
                <anchor moveWithCells="1">
                  <from>
                    <xdr:col>0</xdr:col>
                    <xdr:colOff>276225</xdr:colOff>
                    <xdr:row>103</xdr:row>
                    <xdr:rowOff>9525</xdr:rowOff>
                  </from>
                  <to>
                    <xdr:col>1</xdr:col>
                    <xdr:colOff>19050</xdr:colOff>
                    <xdr:row>103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7" name="Check Box 104">
              <controlPr defaultSize="0" autoFill="0" autoLine="0" autoPict="0">
                <anchor moveWithCells="1">
                  <from>
                    <xdr:col>0</xdr:col>
                    <xdr:colOff>276225</xdr:colOff>
                    <xdr:row>104</xdr:row>
                    <xdr:rowOff>9525</xdr:rowOff>
                  </from>
                  <to>
                    <xdr:col>1</xdr:col>
                    <xdr:colOff>19050</xdr:colOff>
                    <xdr:row>104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8" name="Check Box 105">
              <controlPr defaultSize="0" autoFill="0" autoLine="0" autoPict="0">
                <anchor moveWithCells="1">
                  <from>
                    <xdr:col>0</xdr:col>
                    <xdr:colOff>276225</xdr:colOff>
                    <xdr:row>105</xdr:row>
                    <xdr:rowOff>9525</xdr:rowOff>
                  </from>
                  <to>
                    <xdr:col>1</xdr:col>
                    <xdr:colOff>19050</xdr:colOff>
                    <xdr:row>105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9" name="Check Box 106">
              <controlPr defaultSize="0" autoFill="0" autoLine="0" autoPict="0">
                <anchor moveWithCells="1">
                  <from>
                    <xdr:col>0</xdr:col>
                    <xdr:colOff>276225</xdr:colOff>
                    <xdr:row>106</xdr:row>
                    <xdr:rowOff>9525</xdr:rowOff>
                  </from>
                  <to>
                    <xdr:col>1</xdr:col>
                    <xdr:colOff>19050</xdr:colOff>
                    <xdr:row>106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10" name="Check Box 107">
              <controlPr defaultSize="0" autoFill="0" autoLine="0" autoPict="0">
                <anchor moveWithCells="1">
                  <from>
                    <xdr:col>0</xdr:col>
                    <xdr:colOff>276225</xdr:colOff>
                    <xdr:row>107</xdr:row>
                    <xdr:rowOff>9525</xdr:rowOff>
                  </from>
                  <to>
                    <xdr:col>1</xdr:col>
                    <xdr:colOff>19050</xdr:colOff>
                    <xdr:row>107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1" name="Check Box 108">
              <controlPr defaultSize="0" autoFill="0" autoLine="0" autoPict="0">
                <anchor moveWithCells="1">
                  <from>
                    <xdr:col>0</xdr:col>
                    <xdr:colOff>276225</xdr:colOff>
                    <xdr:row>108</xdr:row>
                    <xdr:rowOff>9525</xdr:rowOff>
                  </from>
                  <to>
                    <xdr:col>1</xdr:col>
                    <xdr:colOff>19050</xdr:colOff>
                    <xdr:row>108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2" name="Check Box 109">
              <controlPr defaultSize="0" autoFill="0" autoLine="0" autoPict="0">
                <anchor moveWithCells="1">
                  <from>
                    <xdr:col>0</xdr:col>
                    <xdr:colOff>276225</xdr:colOff>
                    <xdr:row>109</xdr:row>
                    <xdr:rowOff>9525</xdr:rowOff>
                  </from>
                  <to>
                    <xdr:col>1</xdr:col>
                    <xdr:colOff>19050</xdr:colOff>
                    <xdr:row>109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3" name="Check Box 110">
              <controlPr defaultSize="0" autoFill="0" autoLine="0" autoPict="0">
                <anchor moveWithCells="1">
                  <from>
                    <xdr:col>0</xdr:col>
                    <xdr:colOff>276225</xdr:colOff>
                    <xdr:row>110</xdr:row>
                    <xdr:rowOff>9525</xdr:rowOff>
                  </from>
                  <to>
                    <xdr:col>1</xdr:col>
                    <xdr:colOff>19050</xdr:colOff>
                    <xdr:row>110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4" name="Check Box 111">
              <controlPr defaultSize="0" autoFill="0" autoLine="0" autoPict="0">
                <anchor moveWithCells="1">
                  <from>
                    <xdr:col>0</xdr:col>
                    <xdr:colOff>276225</xdr:colOff>
                    <xdr:row>111</xdr:row>
                    <xdr:rowOff>9525</xdr:rowOff>
                  </from>
                  <to>
                    <xdr:col>1</xdr:col>
                    <xdr:colOff>19050</xdr:colOff>
                    <xdr:row>111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5" name="Check Box 112">
              <controlPr defaultSize="0" autoFill="0" autoLine="0" autoPict="0">
                <anchor moveWithCells="1">
                  <from>
                    <xdr:col>0</xdr:col>
                    <xdr:colOff>276225</xdr:colOff>
                    <xdr:row>112</xdr:row>
                    <xdr:rowOff>9525</xdr:rowOff>
                  </from>
                  <to>
                    <xdr:col>1</xdr:col>
                    <xdr:colOff>19050</xdr:colOff>
                    <xdr:row>112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6" name="Check Box 113">
              <controlPr defaultSize="0" autoFill="0" autoLine="0" autoPict="0">
                <anchor moveWithCells="1">
                  <from>
                    <xdr:col>0</xdr:col>
                    <xdr:colOff>276225</xdr:colOff>
                    <xdr:row>113</xdr:row>
                    <xdr:rowOff>9525</xdr:rowOff>
                  </from>
                  <to>
                    <xdr:col>1</xdr:col>
                    <xdr:colOff>19050</xdr:colOff>
                    <xdr:row>113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7" name="Check Box 114">
              <controlPr defaultSize="0" autoFill="0" autoLine="0" autoPict="0">
                <anchor moveWithCells="1">
                  <from>
                    <xdr:col>0</xdr:col>
                    <xdr:colOff>276225</xdr:colOff>
                    <xdr:row>114</xdr:row>
                    <xdr:rowOff>9525</xdr:rowOff>
                  </from>
                  <to>
                    <xdr:col>1</xdr:col>
                    <xdr:colOff>19050</xdr:colOff>
                    <xdr:row>114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8" name="Check Box 115">
              <controlPr defaultSize="0" autoFill="0" autoLine="0" autoPict="0">
                <anchor moveWithCells="1">
                  <from>
                    <xdr:col>0</xdr:col>
                    <xdr:colOff>276225</xdr:colOff>
                    <xdr:row>115</xdr:row>
                    <xdr:rowOff>9525</xdr:rowOff>
                  </from>
                  <to>
                    <xdr:col>1</xdr:col>
                    <xdr:colOff>19050</xdr:colOff>
                    <xdr:row>115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9" name="Check Box 116">
              <controlPr defaultSize="0" autoFill="0" autoLine="0" autoPict="0">
                <anchor moveWithCells="1">
                  <from>
                    <xdr:col>0</xdr:col>
                    <xdr:colOff>276225</xdr:colOff>
                    <xdr:row>116</xdr:row>
                    <xdr:rowOff>9525</xdr:rowOff>
                  </from>
                  <to>
                    <xdr:col>1</xdr:col>
                    <xdr:colOff>19050</xdr:colOff>
                    <xdr:row>116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20" name="Check Box 117">
              <controlPr defaultSize="0" autoFill="0" autoLine="0" autoPict="0">
                <anchor moveWithCells="1">
                  <from>
                    <xdr:col>0</xdr:col>
                    <xdr:colOff>276225</xdr:colOff>
                    <xdr:row>117</xdr:row>
                    <xdr:rowOff>9525</xdr:rowOff>
                  </from>
                  <to>
                    <xdr:col>1</xdr:col>
                    <xdr:colOff>19050</xdr:colOff>
                    <xdr:row>117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1" name="Check Box 118">
              <controlPr defaultSize="0" autoFill="0" autoLine="0" autoPict="0">
                <anchor moveWithCells="1">
                  <from>
                    <xdr:col>0</xdr:col>
                    <xdr:colOff>276225</xdr:colOff>
                    <xdr:row>118</xdr:row>
                    <xdr:rowOff>9525</xdr:rowOff>
                  </from>
                  <to>
                    <xdr:col>1</xdr:col>
                    <xdr:colOff>19050</xdr:colOff>
                    <xdr:row>118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2" name="Check Box 119">
              <controlPr defaultSize="0" autoFill="0" autoLine="0" autoPict="0">
                <anchor moveWithCells="1">
                  <from>
                    <xdr:col>0</xdr:col>
                    <xdr:colOff>276225</xdr:colOff>
                    <xdr:row>119</xdr:row>
                    <xdr:rowOff>9525</xdr:rowOff>
                  </from>
                  <to>
                    <xdr:col>1</xdr:col>
                    <xdr:colOff>19050</xdr:colOff>
                    <xdr:row>119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3" name="Check Box 120">
              <controlPr defaultSize="0" autoFill="0" autoLine="0" autoPict="0">
                <anchor moveWithCells="1">
                  <from>
                    <xdr:col>0</xdr:col>
                    <xdr:colOff>276225</xdr:colOff>
                    <xdr:row>120</xdr:row>
                    <xdr:rowOff>9525</xdr:rowOff>
                  </from>
                  <to>
                    <xdr:col>1</xdr:col>
                    <xdr:colOff>19050</xdr:colOff>
                    <xdr:row>120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4" name="Check Box 121">
              <controlPr defaultSize="0" autoFill="0" autoLine="0" autoPict="0">
                <anchor moveWithCells="1">
                  <from>
                    <xdr:col>0</xdr:col>
                    <xdr:colOff>276225</xdr:colOff>
                    <xdr:row>121</xdr:row>
                    <xdr:rowOff>9525</xdr:rowOff>
                  </from>
                  <to>
                    <xdr:col>1</xdr:col>
                    <xdr:colOff>19050</xdr:colOff>
                    <xdr:row>121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5" name="Check Box 122">
              <controlPr defaultSize="0" autoFill="0" autoLine="0" autoPict="0">
                <anchor moveWithCells="1">
                  <from>
                    <xdr:col>0</xdr:col>
                    <xdr:colOff>276225</xdr:colOff>
                    <xdr:row>122</xdr:row>
                    <xdr:rowOff>9525</xdr:rowOff>
                  </from>
                  <to>
                    <xdr:col>1</xdr:col>
                    <xdr:colOff>19050</xdr:colOff>
                    <xdr:row>122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6" name="Check Box 123">
              <controlPr defaultSize="0" autoFill="0" autoLine="0" autoPict="0">
                <anchor moveWithCells="1">
                  <from>
                    <xdr:col>0</xdr:col>
                    <xdr:colOff>276225</xdr:colOff>
                    <xdr:row>123</xdr:row>
                    <xdr:rowOff>9525</xdr:rowOff>
                  </from>
                  <to>
                    <xdr:col>1</xdr:col>
                    <xdr:colOff>19050</xdr:colOff>
                    <xdr:row>123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7" name="Check Box 124">
              <controlPr defaultSize="0" autoFill="0" autoLine="0" autoPict="0">
                <anchor moveWithCells="1">
                  <from>
                    <xdr:col>0</xdr:col>
                    <xdr:colOff>276225</xdr:colOff>
                    <xdr:row>124</xdr:row>
                    <xdr:rowOff>9525</xdr:rowOff>
                  </from>
                  <to>
                    <xdr:col>1</xdr:col>
                    <xdr:colOff>19050</xdr:colOff>
                    <xdr:row>124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8" name="Check Box 125">
              <controlPr defaultSize="0" autoFill="0" autoLine="0" autoPict="0">
                <anchor moveWithCells="1">
                  <from>
                    <xdr:col>0</xdr:col>
                    <xdr:colOff>276225</xdr:colOff>
                    <xdr:row>125</xdr:row>
                    <xdr:rowOff>9525</xdr:rowOff>
                  </from>
                  <to>
                    <xdr:col>1</xdr:col>
                    <xdr:colOff>19050</xdr:colOff>
                    <xdr:row>125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9" name="Check Box 126">
              <controlPr defaultSize="0" autoFill="0" autoLine="0" autoPict="0">
                <anchor moveWithCells="1">
                  <from>
                    <xdr:col>0</xdr:col>
                    <xdr:colOff>276225</xdr:colOff>
                    <xdr:row>126</xdr:row>
                    <xdr:rowOff>9525</xdr:rowOff>
                  </from>
                  <to>
                    <xdr:col>1</xdr:col>
                    <xdr:colOff>19050</xdr:colOff>
                    <xdr:row>126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30" name="Check Box 127">
              <controlPr defaultSize="0" autoFill="0" autoLine="0" autoPict="0">
                <anchor moveWithCells="1">
                  <from>
                    <xdr:col>0</xdr:col>
                    <xdr:colOff>276225</xdr:colOff>
                    <xdr:row>127</xdr:row>
                    <xdr:rowOff>9525</xdr:rowOff>
                  </from>
                  <to>
                    <xdr:col>1</xdr:col>
                    <xdr:colOff>19050</xdr:colOff>
                    <xdr:row>127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1" name="Check Box 128">
              <controlPr defaultSize="0" autoFill="0" autoLine="0" autoPict="0">
                <anchor moveWithCells="1">
                  <from>
                    <xdr:col>0</xdr:col>
                    <xdr:colOff>276225</xdr:colOff>
                    <xdr:row>128</xdr:row>
                    <xdr:rowOff>9525</xdr:rowOff>
                  </from>
                  <to>
                    <xdr:col>1</xdr:col>
                    <xdr:colOff>19050</xdr:colOff>
                    <xdr:row>128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2" name="Check Box 129">
              <controlPr defaultSize="0" autoFill="0" autoLine="0" autoPict="0">
                <anchor moveWithCells="1">
                  <from>
                    <xdr:col>0</xdr:col>
                    <xdr:colOff>276225</xdr:colOff>
                    <xdr:row>129</xdr:row>
                    <xdr:rowOff>9525</xdr:rowOff>
                  </from>
                  <to>
                    <xdr:col>1</xdr:col>
                    <xdr:colOff>19050</xdr:colOff>
                    <xdr:row>129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3" name="Check Box 130">
              <controlPr defaultSize="0" autoFill="0" autoLine="0" autoPict="0">
                <anchor moveWithCells="1">
                  <from>
                    <xdr:col>0</xdr:col>
                    <xdr:colOff>276225</xdr:colOff>
                    <xdr:row>130</xdr:row>
                    <xdr:rowOff>9525</xdr:rowOff>
                  </from>
                  <to>
                    <xdr:col>1</xdr:col>
                    <xdr:colOff>19050</xdr:colOff>
                    <xdr:row>130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4" name="Check Box 131">
              <controlPr defaultSize="0" autoFill="0" autoLine="0" autoPict="0">
                <anchor moveWithCells="1">
                  <from>
                    <xdr:col>0</xdr:col>
                    <xdr:colOff>276225</xdr:colOff>
                    <xdr:row>131</xdr:row>
                    <xdr:rowOff>9525</xdr:rowOff>
                  </from>
                  <to>
                    <xdr:col>1</xdr:col>
                    <xdr:colOff>19050</xdr:colOff>
                    <xdr:row>131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5" name="Check Box 132">
              <controlPr defaultSize="0" autoFill="0" autoLine="0" autoPict="0">
                <anchor moveWithCells="1">
                  <from>
                    <xdr:col>0</xdr:col>
                    <xdr:colOff>276225</xdr:colOff>
                    <xdr:row>132</xdr:row>
                    <xdr:rowOff>9525</xdr:rowOff>
                  </from>
                  <to>
                    <xdr:col>1</xdr:col>
                    <xdr:colOff>19050</xdr:colOff>
                    <xdr:row>132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6" name="Check Box 133">
              <controlPr defaultSize="0" autoFill="0" autoLine="0" autoPict="0">
                <anchor moveWithCells="1">
                  <from>
                    <xdr:col>0</xdr:col>
                    <xdr:colOff>276225</xdr:colOff>
                    <xdr:row>133</xdr:row>
                    <xdr:rowOff>9525</xdr:rowOff>
                  </from>
                  <to>
                    <xdr:col>1</xdr:col>
                    <xdr:colOff>19050</xdr:colOff>
                    <xdr:row>133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7" name="Check Box 134">
              <controlPr defaultSize="0" autoFill="0" autoLine="0" autoPict="0">
                <anchor moveWithCells="1">
                  <from>
                    <xdr:col>0</xdr:col>
                    <xdr:colOff>276225</xdr:colOff>
                    <xdr:row>134</xdr:row>
                    <xdr:rowOff>9525</xdr:rowOff>
                  </from>
                  <to>
                    <xdr:col>1</xdr:col>
                    <xdr:colOff>19050</xdr:colOff>
                    <xdr:row>134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8" name="Check Box 135">
              <controlPr defaultSize="0" autoFill="0" autoLine="0" autoPict="0">
                <anchor moveWithCells="1">
                  <from>
                    <xdr:col>0</xdr:col>
                    <xdr:colOff>276225</xdr:colOff>
                    <xdr:row>135</xdr:row>
                    <xdr:rowOff>9525</xdr:rowOff>
                  </from>
                  <to>
                    <xdr:col>1</xdr:col>
                    <xdr:colOff>19050</xdr:colOff>
                    <xdr:row>135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9" name="Check Box 136">
              <controlPr defaultSize="0" autoFill="0" autoLine="0" autoPict="0">
                <anchor moveWithCells="1">
                  <from>
                    <xdr:col>0</xdr:col>
                    <xdr:colOff>276225</xdr:colOff>
                    <xdr:row>136</xdr:row>
                    <xdr:rowOff>9525</xdr:rowOff>
                  </from>
                  <to>
                    <xdr:col>1</xdr:col>
                    <xdr:colOff>19050</xdr:colOff>
                    <xdr:row>136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40" name="Check Box 137">
              <controlPr defaultSize="0" autoFill="0" autoLine="0" autoPict="0">
                <anchor moveWithCells="1">
                  <from>
                    <xdr:col>0</xdr:col>
                    <xdr:colOff>276225</xdr:colOff>
                    <xdr:row>137</xdr:row>
                    <xdr:rowOff>9525</xdr:rowOff>
                  </from>
                  <to>
                    <xdr:col>1</xdr:col>
                    <xdr:colOff>19050</xdr:colOff>
                    <xdr:row>137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41" name="Check Box 138">
              <controlPr defaultSize="0" autoFill="0" autoLine="0" autoPict="0">
                <anchor moveWithCells="1">
                  <from>
                    <xdr:col>0</xdr:col>
                    <xdr:colOff>276225</xdr:colOff>
                    <xdr:row>138</xdr:row>
                    <xdr:rowOff>9525</xdr:rowOff>
                  </from>
                  <to>
                    <xdr:col>1</xdr:col>
                    <xdr:colOff>19050</xdr:colOff>
                    <xdr:row>138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2" name="Check Box 139">
              <controlPr defaultSize="0" autoFill="0" autoLine="0" autoPict="0">
                <anchor moveWithCells="1">
                  <from>
                    <xdr:col>0</xdr:col>
                    <xdr:colOff>276225</xdr:colOff>
                    <xdr:row>139</xdr:row>
                    <xdr:rowOff>9525</xdr:rowOff>
                  </from>
                  <to>
                    <xdr:col>1</xdr:col>
                    <xdr:colOff>19050</xdr:colOff>
                    <xdr:row>139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3" name="Check Box 140">
              <controlPr defaultSize="0" autoFill="0" autoLine="0" autoPict="0">
                <anchor moveWithCells="1">
                  <from>
                    <xdr:col>0</xdr:col>
                    <xdr:colOff>276225</xdr:colOff>
                    <xdr:row>140</xdr:row>
                    <xdr:rowOff>9525</xdr:rowOff>
                  </from>
                  <to>
                    <xdr:col>1</xdr:col>
                    <xdr:colOff>19050</xdr:colOff>
                    <xdr:row>140</xdr:row>
                    <xdr:rowOff>485775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B5044790-5DB0-4F00-8654-F45934F67569}"/>
</file>

<file path=customXml/itemProps2.xml><?xml version="1.0" encoding="utf-8"?>
<ds:datastoreItem xmlns:ds="http://schemas.openxmlformats.org/officeDocument/2006/customXml" ds:itemID="{34E0AF3D-4EDA-48F8-B6E9-E038E578BD61}"/>
</file>

<file path=customXml/itemProps3.xml><?xml version="1.0" encoding="utf-8"?>
<ds:datastoreItem xmlns:ds="http://schemas.openxmlformats.org/officeDocument/2006/customXml" ds:itemID="{5CF60BF3-DE92-4360-A882-7018CDD607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Elizabeth Kiscaden</dc:creator>
  <cp:keywords/>
  <dc:description/>
  <cp:lastModifiedBy>Kiscaden, Elizabeth</cp:lastModifiedBy>
  <cp:revision/>
  <dcterms:created xsi:type="dcterms:W3CDTF">2022-03-02T04:13:24Z</dcterms:created>
  <dcterms:modified xsi:type="dcterms:W3CDTF">2022-03-03T17:15:17Z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288700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