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creightonuniv-my.sharepoint.com/personal/ejk60737_creighton_edu/Documents/Collections/Print Book Deselection/"/>
    </mc:Choice>
  </mc:AlternateContent>
  <xr:revisionPtr revIDLastSave="0" documentId="8_{4BD012F0-90C9-4FC5-82B3-BC0008A82A51}" xr6:coauthVersionLast="47" xr6:coauthVersionMax="47" xr10:uidLastSave="{00000000-0000-0000-0000-000000000000}"/>
  <bookViews>
    <workbookView xWindow="-120" yWindow="-120" windowWidth="29040" windowHeight="15840" xr2:uid="{6C19C00C-6718-4DBB-8043-8EA6818C2688}"/>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T476" i="1" l="1"/>
  <c r="AS476" i="1"/>
  <c r="AR476" i="1"/>
  <c r="AT475" i="1"/>
  <c r="AS475" i="1"/>
  <c r="AR475" i="1"/>
  <c r="AT474" i="1"/>
  <c r="AS474" i="1"/>
  <c r="AT473" i="1"/>
  <c r="AS473" i="1"/>
  <c r="AT472" i="1"/>
  <c r="AS472" i="1"/>
  <c r="AT471" i="1"/>
  <c r="AS471" i="1"/>
  <c r="AT470" i="1"/>
  <c r="AS470" i="1"/>
  <c r="AR470" i="1"/>
  <c r="AT469" i="1"/>
  <c r="AS469" i="1"/>
  <c r="AR469" i="1"/>
  <c r="AT468" i="1"/>
  <c r="AS468" i="1"/>
  <c r="AT467" i="1"/>
  <c r="AS467" i="1"/>
  <c r="AT466" i="1"/>
  <c r="AS466" i="1"/>
  <c r="AT465" i="1"/>
  <c r="AS465" i="1"/>
  <c r="AR465" i="1"/>
  <c r="AT464" i="1"/>
  <c r="AS464" i="1"/>
  <c r="AT463" i="1"/>
  <c r="AS463" i="1"/>
  <c r="AR463" i="1"/>
  <c r="AT462" i="1"/>
  <c r="AS462" i="1"/>
  <c r="AR462" i="1"/>
  <c r="AT461" i="1"/>
  <c r="AS461" i="1"/>
  <c r="AT460" i="1"/>
  <c r="AS460" i="1"/>
  <c r="AT459" i="1"/>
  <c r="AS459" i="1"/>
  <c r="AT458" i="1"/>
  <c r="AS458" i="1"/>
  <c r="AT457" i="1"/>
  <c r="AS457" i="1"/>
  <c r="AR457" i="1"/>
  <c r="AT456" i="1"/>
  <c r="AS456" i="1"/>
  <c r="AT455" i="1"/>
  <c r="AS455" i="1"/>
  <c r="AT454" i="1"/>
  <c r="AS454" i="1"/>
  <c r="AR454" i="1"/>
  <c r="AT453" i="1"/>
  <c r="AS453" i="1"/>
  <c r="AT452" i="1"/>
  <c r="AS452" i="1"/>
  <c r="AT451" i="1"/>
  <c r="AS451" i="1"/>
  <c r="AR451" i="1"/>
  <c r="AT450" i="1"/>
  <c r="AS450" i="1"/>
  <c r="AT449" i="1"/>
  <c r="AS449" i="1"/>
  <c r="AR449" i="1"/>
  <c r="AT448" i="1"/>
  <c r="AS448" i="1"/>
  <c r="AR448" i="1"/>
  <c r="AT447" i="1"/>
  <c r="AS447" i="1"/>
  <c r="AR447" i="1"/>
  <c r="AT446" i="1"/>
  <c r="AS446" i="1"/>
  <c r="AT445" i="1"/>
  <c r="AS445" i="1"/>
  <c r="AR445" i="1"/>
  <c r="AT444" i="1"/>
  <c r="AS444" i="1"/>
  <c r="AR444" i="1"/>
  <c r="AT443" i="1"/>
  <c r="AS443" i="1"/>
  <c r="AT442" i="1"/>
  <c r="AS442" i="1"/>
  <c r="AR442" i="1"/>
  <c r="AT441" i="1"/>
  <c r="AS441" i="1"/>
  <c r="AR441" i="1"/>
  <c r="AT440" i="1"/>
  <c r="AS440" i="1"/>
  <c r="AR440" i="1"/>
  <c r="AT439" i="1"/>
  <c r="AS439" i="1"/>
  <c r="AR439" i="1"/>
  <c r="AT438" i="1"/>
  <c r="AS438" i="1"/>
  <c r="AT437" i="1"/>
  <c r="AS437" i="1"/>
  <c r="AT436" i="1"/>
  <c r="AS436" i="1"/>
  <c r="AT435" i="1"/>
  <c r="AS435" i="1"/>
  <c r="AT434" i="1"/>
  <c r="AS434" i="1"/>
  <c r="AR434" i="1"/>
  <c r="AT433" i="1"/>
  <c r="AS433" i="1"/>
  <c r="AR433" i="1"/>
  <c r="AT432" i="1"/>
  <c r="AS432" i="1"/>
  <c r="AR432" i="1"/>
  <c r="AT431" i="1"/>
  <c r="AS431" i="1"/>
  <c r="AR431" i="1"/>
  <c r="AT430" i="1"/>
  <c r="AS430" i="1"/>
  <c r="AR430" i="1"/>
  <c r="AT429" i="1"/>
  <c r="AS429" i="1"/>
  <c r="AR429" i="1"/>
  <c r="AT428" i="1"/>
  <c r="AS428" i="1"/>
  <c r="AT427" i="1"/>
  <c r="AS427" i="1"/>
  <c r="AR427" i="1"/>
  <c r="AT426" i="1"/>
  <c r="AS426" i="1"/>
  <c r="AR426" i="1"/>
  <c r="AT425" i="1"/>
  <c r="AS425" i="1"/>
  <c r="AR425" i="1"/>
  <c r="AT424" i="1"/>
  <c r="AS424" i="1"/>
  <c r="AR424" i="1"/>
  <c r="AT423" i="1"/>
  <c r="AS423" i="1"/>
  <c r="AT422" i="1"/>
  <c r="AS422" i="1"/>
  <c r="AT421" i="1"/>
  <c r="AS421" i="1"/>
  <c r="AR421" i="1"/>
  <c r="AT420" i="1"/>
  <c r="AS420" i="1"/>
  <c r="AT419" i="1"/>
  <c r="AS419" i="1"/>
  <c r="AT418" i="1"/>
  <c r="AS418" i="1"/>
  <c r="AR418" i="1"/>
  <c r="AT417" i="1"/>
  <c r="AS417" i="1"/>
  <c r="AR417" i="1"/>
  <c r="AT416" i="1"/>
  <c r="AS416" i="1"/>
  <c r="AR416" i="1"/>
  <c r="AT415" i="1"/>
  <c r="AS415" i="1"/>
  <c r="AR415" i="1"/>
  <c r="AT414" i="1"/>
  <c r="AS414" i="1"/>
  <c r="AT413" i="1"/>
  <c r="AS413" i="1"/>
  <c r="AR413" i="1"/>
  <c r="AT412" i="1"/>
  <c r="AS412" i="1"/>
  <c r="AR412" i="1"/>
  <c r="AT411" i="1"/>
  <c r="AS411" i="1"/>
  <c r="AT410" i="1"/>
  <c r="AS410" i="1"/>
  <c r="AR410" i="1"/>
  <c r="AT409" i="1"/>
  <c r="AS409" i="1"/>
  <c r="AT408" i="1"/>
  <c r="AS408" i="1"/>
  <c r="AR408" i="1"/>
  <c r="AT407" i="1"/>
  <c r="AS407" i="1"/>
  <c r="AT406" i="1"/>
  <c r="AS406" i="1"/>
  <c r="AR406" i="1"/>
  <c r="AT405" i="1"/>
  <c r="AS405" i="1"/>
  <c r="AR405" i="1"/>
  <c r="AT404" i="1"/>
  <c r="AS404" i="1"/>
  <c r="AT403" i="1"/>
  <c r="AS403" i="1"/>
  <c r="AT402" i="1"/>
  <c r="AS402" i="1"/>
  <c r="AT401" i="1"/>
  <c r="AS401" i="1"/>
  <c r="AR401" i="1"/>
  <c r="AT400" i="1"/>
  <c r="AS400" i="1"/>
  <c r="AR400" i="1"/>
  <c r="AT399" i="1"/>
  <c r="AS399" i="1"/>
  <c r="AT398" i="1"/>
  <c r="AS398" i="1"/>
  <c r="AR398" i="1"/>
  <c r="AT397" i="1"/>
  <c r="AS397" i="1"/>
  <c r="AR397" i="1"/>
  <c r="AT396" i="1"/>
  <c r="AS396" i="1"/>
  <c r="AT395" i="1"/>
  <c r="AS395" i="1"/>
  <c r="AR395" i="1"/>
  <c r="AT394" i="1"/>
  <c r="AS394" i="1"/>
  <c r="AT393" i="1"/>
  <c r="AS393" i="1"/>
  <c r="AR393" i="1"/>
  <c r="AT392" i="1"/>
  <c r="AS392" i="1"/>
  <c r="AT391" i="1"/>
  <c r="AS391" i="1"/>
  <c r="AT390" i="1"/>
  <c r="AS390" i="1"/>
  <c r="AR390" i="1"/>
  <c r="AT389" i="1"/>
  <c r="AS389" i="1"/>
  <c r="AR389" i="1"/>
  <c r="AT388" i="1"/>
  <c r="AS388" i="1"/>
  <c r="AR388" i="1"/>
  <c r="AT387" i="1"/>
  <c r="AS387" i="1"/>
  <c r="AR387" i="1"/>
  <c r="AT386" i="1"/>
  <c r="AS386" i="1"/>
  <c r="AR386" i="1"/>
  <c r="AT385" i="1"/>
  <c r="AS385" i="1"/>
  <c r="AT384" i="1"/>
  <c r="AS384" i="1"/>
  <c r="AT383" i="1"/>
  <c r="AS383" i="1"/>
  <c r="AT382" i="1"/>
  <c r="AS382" i="1"/>
  <c r="AT381" i="1"/>
  <c r="AS381" i="1"/>
  <c r="AR381" i="1"/>
  <c r="AT380" i="1"/>
  <c r="AS380" i="1"/>
  <c r="AR380" i="1"/>
  <c r="AT379" i="1"/>
  <c r="AS379" i="1"/>
  <c r="AR379" i="1"/>
  <c r="AT378" i="1"/>
  <c r="AS378" i="1"/>
  <c r="AT377" i="1"/>
  <c r="AS377" i="1"/>
  <c r="AR377" i="1"/>
  <c r="AT376" i="1"/>
  <c r="AS376" i="1"/>
  <c r="AR376" i="1"/>
  <c r="AT375" i="1"/>
  <c r="AS375" i="1"/>
  <c r="AT374" i="1"/>
  <c r="AS374" i="1"/>
  <c r="AR374" i="1"/>
  <c r="AT373" i="1"/>
  <c r="AS373" i="1"/>
  <c r="AT372" i="1"/>
  <c r="AS372" i="1"/>
  <c r="AT371" i="1"/>
  <c r="AS371" i="1"/>
  <c r="AR371" i="1"/>
  <c r="AT370" i="1"/>
  <c r="AS370" i="1"/>
  <c r="AT369" i="1"/>
  <c r="AS369" i="1"/>
  <c r="AR369" i="1"/>
  <c r="AT368" i="1"/>
  <c r="AS368" i="1"/>
  <c r="AT367" i="1"/>
  <c r="AS367" i="1"/>
  <c r="AR367" i="1"/>
  <c r="AT366" i="1"/>
  <c r="AS366" i="1"/>
  <c r="AT365" i="1"/>
  <c r="AS365" i="1"/>
  <c r="AR365" i="1"/>
  <c r="AT364" i="1"/>
  <c r="AS364" i="1"/>
  <c r="AR364" i="1"/>
  <c r="AT363" i="1"/>
  <c r="AS363" i="1"/>
  <c r="AR363" i="1"/>
  <c r="AT362" i="1"/>
  <c r="AS362" i="1"/>
  <c r="AR362" i="1"/>
  <c r="AT361" i="1"/>
  <c r="AS361" i="1"/>
  <c r="AR361" i="1"/>
  <c r="AT360" i="1"/>
  <c r="AS360" i="1"/>
  <c r="AR360" i="1"/>
  <c r="AT359" i="1"/>
  <c r="AS359" i="1"/>
  <c r="AR359" i="1"/>
  <c r="AT358" i="1"/>
  <c r="AS358" i="1"/>
  <c r="AR358" i="1"/>
  <c r="AT357" i="1"/>
  <c r="AS357" i="1"/>
  <c r="AR357" i="1"/>
  <c r="AT356" i="1"/>
  <c r="AS356" i="1"/>
  <c r="AR356" i="1"/>
  <c r="AT355" i="1"/>
  <c r="AS355" i="1"/>
  <c r="AR355" i="1"/>
  <c r="AT354" i="1"/>
  <c r="AS354" i="1"/>
  <c r="AR354" i="1"/>
  <c r="AT353" i="1"/>
  <c r="AS353" i="1"/>
  <c r="AR353" i="1"/>
  <c r="AT352" i="1"/>
  <c r="AS352" i="1"/>
  <c r="AR352" i="1"/>
  <c r="AT351" i="1"/>
  <c r="AS351" i="1"/>
  <c r="AR351" i="1"/>
  <c r="AT350" i="1"/>
  <c r="AS350" i="1"/>
  <c r="AT349" i="1"/>
  <c r="AS349" i="1"/>
  <c r="AT348" i="1"/>
  <c r="AS348" i="1"/>
  <c r="AR348" i="1"/>
  <c r="AT347" i="1"/>
  <c r="AS347" i="1"/>
  <c r="AR347" i="1"/>
  <c r="AT346" i="1"/>
  <c r="AS346" i="1"/>
  <c r="AR346" i="1"/>
  <c r="AT345" i="1"/>
  <c r="AS345" i="1"/>
  <c r="AT344" i="1"/>
  <c r="AS344" i="1"/>
  <c r="AR344" i="1"/>
  <c r="AT343" i="1"/>
  <c r="AS343" i="1"/>
  <c r="AR343" i="1"/>
  <c r="AT342" i="1"/>
  <c r="AS342" i="1"/>
  <c r="AT341" i="1"/>
  <c r="AS341" i="1"/>
  <c r="AR341" i="1"/>
  <c r="AT340" i="1"/>
  <c r="AS340" i="1"/>
  <c r="AR340" i="1"/>
  <c r="AT339" i="1"/>
  <c r="AS339" i="1"/>
  <c r="AT338" i="1"/>
  <c r="AS338" i="1"/>
  <c r="AR338" i="1"/>
  <c r="AT337" i="1"/>
  <c r="AS337" i="1"/>
  <c r="AR337" i="1"/>
  <c r="AT336" i="1"/>
  <c r="AS336" i="1"/>
  <c r="AR336" i="1"/>
  <c r="AT335" i="1"/>
  <c r="AS335" i="1"/>
  <c r="AR335" i="1"/>
  <c r="AT334" i="1"/>
  <c r="AS334" i="1"/>
  <c r="AT333" i="1"/>
  <c r="AS333" i="1"/>
  <c r="AT332" i="1"/>
  <c r="AS332" i="1"/>
  <c r="AR332" i="1"/>
  <c r="AT331" i="1"/>
  <c r="AS331" i="1"/>
  <c r="AR331" i="1"/>
  <c r="AT330" i="1"/>
  <c r="AS330" i="1"/>
  <c r="AR330" i="1"/>
  <c r="AT329" i="1"/>
  <c r="AS329" i="1"/>
  <c r="AR329" i="1"/>
  <c r="AT328" i="1"/>
  <c r="AS328" i="1"/>
  <c r="AT327" i="1"/>
  <c r="AS327" i="1"/>
  <c r="AT326" i="1"/>
  <c r="AS326" i="1"/>
  <c r="AR326" i="1"/>
  <c r="AT325" i="1"/>
  <c r="AS325" i="1"/>
  <c r="AR325" i="1"/>
  <c r="AT324" i="1"/>
  <c r="AS324" i="1"/>
  <c r="AT323" i="1"/>
  <c r="AS323" i="1"/>
  <c r="AT322" i="1"/>
  <c r="AS322" i="1"/>
  <c r="AT321" i="1"/>
  <c r="AS321" i="1"/>
  <c r="AT320" i="1"/>
  <c r="AS320" i="1"/>
  <c r="AT319" i="1"/>
  <c r="AS319" i="1"/>
  <c r="AT318" i="1"/>
  <c r="AS318" i="1"/>
  <c r="AR318" i="1"/>
  <c r="AT317" i="1"/>
  <c r="AS317" i="1"/>
  <c r="AR317" i="1"/>
  <c r="AT316" i="1"/>
  <c r="AS316" i="1"/>
  <c r="AT315" i="1"/>
  <c r="AS315" i="1"/>
  <c r="AT314" i="1"/>
  <c r="AS314" i="1"/>
  <c r="AR314" i="1"/>
  <c r="AT313" i="1"/>
  <c r="AS313" i="1"/>
  <c r="AR313" i="1"/>
  <c r="AT312" i="1"/>
  <c r="AS312" i="1"/>
  <c r="AR312" i="1"/>
  <c r="AT311" i="1"/>
  <c r="AS311" i="1"/>
  <c r="AT310" i="1"/>
  <c r="AS310" i="1"/>
  <c r="AR310" i="1"/>
  <c r="AT309" i="1"/>
  <c r="AS309" i="1"/>
  <c r="AR309" i="1"/>
  <c r="AT308" i="1"/>
  <c r="AS308" i="1"/>
  <c r="AR308" i="1"/>
  <c r="AT307" i="1"/>
  <c r="AS307" i="1"/>
  <c r="AR307" i="1"/>
  <c r="AT306" i="1"/>
  <c r="AS306" i="1"/>
  <c r="AR306" i="1"/>
  <c r="AT305" i="1"/>
  <c r="AS305" i="1"/>
  <c r="AT304" i="1"/>
  <c r="AS304" i="1"/>
  <c r="AR304" i="1"/>
  <c r="AT303" i="1"/>
  <c r="AS303" i="1"/>
  <c r="AR303" i="1"/>
  <c r="AT302" i="1"/>
  <c r="AS302" i="1"/>
  <c r="AT301" i="1"/>
  <c r="AS301" i="1"/>
  <c r="AT300" i="1"/>
  <c r="AS300" i="1"/>
  <c r="AT299" i="1"/>
  <c r="AS299" i="1"/>
  <c r="AT298" i="1"/>
  <c r="AS298" i="1"/>
  <c r="AR298" i="1"/>
  <c r="AT297" i="1"/>
  <c r="AS297" i="1"/>
  <c r="AR297" i="1"/>
  <c r="AT296" i="1"/>
  <c r="AS296" i="1"/>
  <c r="AR296" i="1"/>
  <c r="AT295" i="1"/>
  <c r="AS295" i="1"/>
  <c r="AR295" i="1"/>
  <c r="AT294" i="1"/>
  <c r="AS294" i="1"/>
  <c r="AT293" i="1"/>
  <c r="AS293" i="1"/>
  <c r="AR293" i="1"/>
  <c r="AT292" i="1"/>
  <c r="AS292" i="1"/>
  <c r="AR292" i="1"/>
  <c r="AT291" i="1"/>
  <c r="AS291" i="1"/>
  <c r="AR291" i="1"/>
  <c r="AT290" i="1"/>
  <c r="AS290" i="1"/>
  <c r="AR290" i="1"/>
  <c r="AT289" i="1"/>
  <c r="AS289" i="1"/>
  <c r="AT288" i="1"/>
  <c r="AS288" i="1"/>
  <c r="AT287" i="1"/>
  <c r="AS287" i="1"/>
  <c r="AR287" i="1"/>
  <c r="AT286" i="1"/>
  <c r="AS286" i="1"/>
  <c r="AR286" i="1"/>
  <c r="AT285" i="1"/>
  <c r="AS285" i="1"/>
  <c r="AT284" i="1"/>
  <c r="AS284" i="1"/>
  <c r="AT283" i="1"/>
  <c r="AS283" i="1"/>
  <c r="AR283" i="1"/>
  <c r="AT282" i="1"/>
  <c r="AS282" i="1"/>
  <c r="AR282" i="1"/>
  <c r="AT281" i="1"/>
  <c r="AS281" i="1"/>
  <c r="AR281" i="1"/>
  <c r="AT280" i="1"/>
  <c r="AS280" i="1"/>
  <c r="AR280" i="1"/>
  <c r="AT279" i="1"/>
  <c r="AS279" i="1"/>
  <c r="AT278" i="1"/>
  <c r="AS278" i="1"/>
  <c r="AR278" i="1"/>
  <c r="AT277" i="1"/>
  <c r="AS277" i="1"/>
  <c r="AT276" i="1"/>
  <c r="AS276" i="1"/>
  <c r="AR276" i="1"/>
  <c r="AT275" i="1"/>
  <c r="AS275" i="1"/>
  <c r="AT274" i="1"/>
  <c r="AS274" i="1"/>
  <c r="AR274" i="1"/>
  <c r="AT273" i="1"/>
  <c r="AS273" i="1"/>
  <c r="AR273" i="1"/>
  <c r="AT272" i="1"/>
  <c r="AS272" i="1"/>
  <c r="AR272" i="1"/>
  <c r="AT271" i="1"/>
  <c r="AS271" i="1"/>
  <c r="AT270" i="1"/>
  <c r="AS270" i="1"/>
  <c r="AR270" i="1"/>
  <c r="AT269" i="1"/>
  <c r="AS269" i="1"/>
  <c r="AR269" i="1"/>
  <c r="AT268" i="1"/>
  <c r="AS268" i="1"/>
  <c r="AR268" i="1"/>
  <c r="AT267" i="1"/>
  <c r="AS267" i="1"/>
  <c r="AT266" i="1"/>
  <c r="AS266" i="1"/>
  <c r="AT265" i="1"/>
  <c r="AS265" i="1"/>
  <c r="AR265" i="1"/>
  <c r="AT264" i="1"/>
  <c r="AS264" i="1"/>
  <c r="AR264" i="1"/>
  <c r="AT263" i="1"/>
  <c r="AS263" i="1"/>
  <c r="AR263" i="1"/>
  <c r="AT262" i="1"/>
  <c r="AS262" i="1"/>
  <c r="AT261" i="1"/>
  <c r="AS261" i="1"/>
  <c r="AR261" i="1"/>
  <c r="AT260" i="1"/>
  <c r="AS260" i="1"/>
  <c r="AR260" i="1"/>
  <c r="AT259" i="1"/>
  <c r="AS259" i="1"/>
  <c r="AR259" i="1"/>
  <c r="AT258" i="1"/>
  <c r="AS258" i="1"/>
  <c r="AR258" i="1"/>
  <c r="AT257" i="1"/>
  <c r="AS257" i="1"/>
  <c r="AR257" i="1"/>
  <c r="AT256" i="1"/>
  <c r="AS256" i="1"/>
  <c r="AT255" i="1"/>
  <c r="AS255" i="1"/>
  <c r="AT254" i="1"/>
  <c r="AS254" i="1"/>
  <c r="AT253" i="1"/>
  <c r="AS253" i="1"/>
  <c r="AT252" i="1"/>
  <c r="AS252" i="1"/>
  <c r="AR252" i="1"/>
  <c r="AT251" i="1"/>
  <c r="AS251" i="1"/>
  <c r="AT250" i="1"/>
  <c r="AS250" i="1"/>
  <c r="AR250" i="1"/>
  <c r="AT249" i="1"/>
  <c r="AS249" i="1"/>
  <c r="AR249" i="1"/>
  <c r="AT248" i="1"/>
  <c r="AS248" i="1"/>
  <c r="AR248" i="1"/>
  <c r="AT247" i="1"/>
  <c r="AS247" i="1"/>
  <c r="AT246" i="1"/>
  <c r="AS246" i="1"/>
  <c r="AR246" i="1"/>
  <c r="AT245" i="1"/>
  <c r="AS245" i="1"/>
  <c r="AR245" i="1"/>
  <c r="AT244" i="1"/>
  <c r="AS244" i="1"/>
  <c r="AT243" i="1"/>
  <c r="AS243" i="1"/>
  <c r="AT242" i="1"/>
  <c r="AS242" i="1"/>
  <c r="AT241" i="1"/>
  <c r="AS241" i="1"/>
  <c r="AT240" i="1"/>
  <c r="AS240" i="1"/>
  <c r="AR240" i="1"/>
  <c r="AT239" i="1"/>
  <c r="AS239" i="1"/>
  <c r="AR239" i="1"/>
  <c r="AT238" i="1"/>
  <c r="AS238" i="1"/>
  <c r="AR238" i="1"/>
  <c r="AT237" i="1"/>
  <c r="AS237" i="1"/>
  <c r="AT236" i="1"/>
  <c r="AS236" i="1"/>
  <c r="AR236" i="1"/>
  <c r="AT235" i="1"/>
  <c r="AS235" i="1"/>
  <c r="AT234" i="1"/>
  <c r="AS234" i="1"/>
  <c r="AT233" i="1"/>
  <c r="AS233" i="1"/>
  <c r="AR233" i="1"/>
  <c r="AT232" i="1"/>
  <c r="AS232" i="1"/>
  <c r="AT231" i="1"/>
  <c r="AS231" i="1"/>
  <c r="AT230" i="1"/>
  <c r="AS230" i="1"/>
  <c r="AR230" i="1"/>
  <c r="AT229" i="1"/>
  <c r="AS229" i="1"/>
  <c r="AR229" i="1"/>
  <c r="AT228" i="1"/>
  <c r="AS228" i="1"/>
  <c r="AT227" i="1"/>
  <c r="AS227" i="1"/>
  <c r="AR227" i="1"/>
  <c r="AT226" i="1"/>
  <c r="AS226" i="1"/>
  <c r="AR226" i="1"/>
  <c r="AT225" i="1"/>
  <c r="AS225" i="1"/>
  <c r="AR225" i="1"/>
  <c r="AT224" i="1"/>
  <c r="AS224" i="1"/>
  <c r="AR224" i="1"/>
  <c r="AT223" i="1"/>
  <c r="AS223" i="1"/>
  <c r="AR223" i="1"/>
  <c r="AT222" i="1"/>
  <c r="AS222" i="1"/>
  <c r="AT221" i="1"/>
  <c r="AS221" i="1"/>
  <c r="AR221" i="1"/>
  <c r="AT220" i="1"/>
  <c r="AS220" i="1"/>
  <c r="AT219" i="1"/>
  <c r="AS219" i="1"/>
  <c r="AR219" i="1"/>
  <c r="AT218" i="1"/>
  <c r="AS218" i="1"/>
  <c r="AT217" i="1"/>
  <c r="AS217" i="1"/>
  <c r="AT216" i="1"/>
  <c r="AS216" i="1"/>
  <c r="AT215" i="1"/>
  <c r="AS215" i="1"/>
  <c r="AT214" i="1"/>
  <c r="AS214" i="1"/>
  <c r="AR214" i="1"/>
  <c r="AT213" i="1"/>
  <c r="AS213" i="1"/>
  <c r="AT212" i="1"/>
  <c r="AS212" i="1"/>
  <c r="AT211" i="1"/>
  <c r="AS211" i="1"/>
  <c r="AR211" i="1"/>
  <c r="AT210" i="1"/>
  <c r="AS210" i="1"/>
  <c r="AT209" i="1"/>
  <c r="AS209" i="1"/>
  <c r="AR209" i="1"/>
  <c r="AT208" i="1"/>
  <c r="AS208" i="1"/>
  <c r="AT207" i="1"/>
  <c r="AS207" i="1"/>
  <c r="AT206" i="1"/>
  <c r="AS206" i="1"/>
  <c r="AT205" i="1"/>
  <c r="AS205" i="1"/>
  <c r="AR205" i="1"/>
  <c r="AT204" i="1"/>
  <c r="AS204" i="1"/>
  <c r="AT203" i="1"/>
  <c r="AS203" i="1"/>
  <c r="AR203" i="1"/>
  <c r="AT202" i="1"/>
  <c r="AS202" i="1"/>
  <c r="AT201" i="1"/>
  <c r="AS201" i="1"/>
  <c r="AR201" i="1"/>
  <c r="AT200" i="1"/>
  <c r="AS200" i="1"/>
  <c r="AT199" i="1"/>
  <c r="AS199" i="1"/>
  <c r="AR199" i="1"/>
  <c r="AT198" i="1"/>
  <c r="AS198" i="1"/>
  <c r="AT197" i="1"/>
  <c r="AS197" i="1"/>
  <c r="AT196" i="1"/>
  <c r="AS196" i="1"/>
  <c r="AT195" i="1"/>
  <c r="AS195" i="1"/>
  <c r="AR195" i="1"/>
  <c r="AT194" i="1"/>
  <c r="AS194" i="1"/>
  <c r="AT193" i="1"/>
  <c r="AS193" i="1"/>
  <c r="AR193" i="1"/>
  <c r="AT192" i="1"/>
  <c r="AS192" i="1"/>
  <c r="AT191" i="1"/>
  <c r="AS191" i="1"/>
  <c r="AT190" i="1"/>
  <c r="AS190" i="1"/>
  <c r="AR190" i="1"/>
  <c r="AT189" i="1"/>
  <c r="AS189" i="1"/>
  <c r="AR189" i="1"/>
  <c r="AT188" i="1"/>
  <c r="AS188" i="1"/>
  <c r="AR188" i="1"/>
  <c r="AT187" i="1"/>
  <c r="AS187" i="1"/>
  <c r="AR187" i="1"/>
  <c r="AT186" i="1"/>
  <c r="AS186" i="1"/>
  <c r="AR186" i="1"/>
  <c r="AT185" i="1"/>
  <c r="AS185" i="1"/>
  <c r="AR185" i="1"/>
  <c r="AT184" i="1"/>
  <c r="AS184" i="1"/>
  <c r="AR184" i="1"/>
  <c r="AT183" i="1"/>
  <c r="AS183" i="1"/>
  <c r="AT182" i="1"/>
  <c r="AS182" i="1"/>
  <c r="AT181" i="1"/>
  <c r="AS181" i="1"/>
  <c r="AR181" i="1"/>
  <c r="AT180" i="1"/>
  <c r="AS180" i="1"/>
  <c r="AR180" i="1"/>
  <c r="AT179" i="1"/>
  <c r="AS179" i="1"/>
  <c r="AR179" i="1"/>
  <c r="AT178" i="1"/>
  <c r="AS178" i="1"/>
  <c r="AT177" i="1"/>
  <c r="AS177" i="1"/>
  <c r="AT176" i="1"/>
  <c r="AS176" i="1"/>
  <c r="AT175" i="1"/>
  <c r="AS175" i="1"/>
  <c r="AR175" i="1"/>
  <c r="AT174" i="1"/>
  <c r="AS174" i="1"/>
  <c r="AT173" i="1"/>
  <c r="AS173" i="1"/>
  <c r="AT172" i="1"/>
  <c r="AS172" i="1"/>
  <c r="AR172" i="1"/>
  <c r="AT171" i="1"/>
  <c r="AS171" i="1"/>
  <c r="AR171" i="1"/>
  <c r="AT170" i="1"/>
  <c r="AS170" i="1"/>
  <c r="AT169" i="1"/>
  <c r="AS169" i="1"/>
  <c r="AT168" i="1"/>
  <c r="AS168" i="1"/>
  <c r="AT167" i="1"/>
  <c r="AS167" i="1"/>
  <c r="AR167" i="1"/>
  <c r="AT166" i="1"/>
  <c r="AS166" i="1"/>
  <c r="AR166" i="1"/>
  <c r="AT165" i="1"/>
  <c r="AS165" i="1"/>
  <c r="AR165" i="1"/>
  <c r="AT164" i="1"/>
  <c r="AS164" i="1"/>
  <c r="AR164" i="1"/>
  <c r="AT163" i="1"/>
  <c r="AS163" i="1"/>
  <c r="AR163" i="1"/>
  <c r="AT162" i="1"/>
  <c r="AS162" i="1"/>
  <c r="AT161" i="1"/>
  <c r="AS161" i="1"/>
  <c r="AT160" i="1"/>
  <c r="AS160" i="1"/>
  <c r="AR160" i="1"/>
  <c r="AT159" i="1"/>
  <c r="AS159" i="1"/>
  <c r="AR159" i="1"/>
  <c r="AT158" i="1"/>
  <c r="AS158" i="1"/>
  <c r="AT157" i="1"/>
  <c r="AS157" i="1"/>
  <c r="AR157" i="1"/>
  <c r="AT156" i="1"/>
  <c r="AS156" i="1"/>
  <c r="AR156" i="1"/>
  <c r="AT155" i="1"/>
  <c r="AS155" i="1"/>
  <c r="AR155" i="1"/>
  <c r="AT154" i="1"/>
  <c r="AS154" i="1"/>
  <c r="AR154" i="1"/>
  <c r="AT153" i="1"/>
  <c r="AS153" i="1"/>
  <c r="AR153" i="1"/>
  <c r="AT152" i="1"/>
  <c r="AS152" i="1"/>
  <c r="AT151" i="1"/>
  <c r="AS151" i="1"/>
  <c r="AT150" i="1"/>
  <c r="AS150" i="1"/>
  <c r="AR150" i="1"/>
  <c r="AT149" i="1"/>
  <c r="AS149" i="1"/>
  <c r="AR149" i="1"/>
  <c r="AT148" i="1"/>
  <c r="AS148" i="1"/>
  <c r="AR148" i="1"/>
  <c r="AT147" i="1"/>
  <c r="AS147" i="1"/>
  <c r="AR147" i="1"/>
  <c r="AT146" i="1"/>
  <c r="AS146" i="1"/>
  <c r="AR146" i="1"/>
  <c r="AT145" i="1"/>
  <c r="AS145" i="1"/>
  <c r="AT144" i="1"/>
  <c r="AS144" i="1"/>
  <c r="AR144" i="1"/>
  <c r="AT143" i="1"/>
  <c r="AS143" i="1"/>
  <c r="AR143" i="1"/>
  <c r="AT142" i="1"/>
  <c r="AS142" i="1"/>
  <c r="AR142" i="1"/>
  <c r="AT141" i="1"/>
  <c r="AS141" i="1"/>
  <c r="AT140" i="1"/>
  <c r="AS140" i="1"/>
  <c r="AR140" i="1"/>
  <c r="AT139" i="1"/>
  <c r="AS139" i="1"/>
  <c r="AR139" i="1"/>
  <c r="AT138" i="1"/>
  <c r="AS138" i="1"/>
  <c r="AR138" i="1"/>
  <c r="AT137" i="1"/>
  <c r="AS137" i="1"/>
  <c r="AR137" i="1"/>
  <c r="AT136" i="1"/>
  <c r="AS136" i="1"/>
  <c r="AR136" i="1"/>
  <c r="AT135" i="1"/>
  <c r="AS135" i="1"/>
  <c r="AR135" i="1"/>
  <c r="AT134" i="1"/>
  <c r="AS134" i="1"/>
  <c r="AT133" i="1"/>
  <c r="AS133" i="1"/>
  <c r="AT132" i="1"/>
  <c r="AS132" i="1"/>
  <c r="AR132" i="1"/>
  <c r="AT131" i="1"/>
  <c r="AS131" i="1"/>
  <c r="AR131" i="1"/>
  <c r="AT130" i="1"/>
  <c r="AS130" i="1"/>
  <c r="AR130" i="1"/>
  <c r="AT129" i="1"/>
  <c r="AS129" i="1"/>
  <c r="AR129" i="1"/>
  <c r="AT128" i="1"/>
  <c r="AS128" i="1"/>
  <c r="AR128" i="1"/>
  <c r="AT127" i="1"/>
  <c r="AS127" i="1"/>
  <c r="AR127" i="1"/>
  <c r="AT126" i="1"/>
  <c r="AS126" i="1"/>
  <c r="AR126" i="1"/>
  <c r="AT125" i="1"/>
  <c r="AS125" i="1"/>
  <c r="AR125" i="1"/>
  <c r="AT124" i="1"/>
  <c r="AS124" i="1"/>
  <c r="AR124" i="1"/>
  <c r="AT123" i="1"/>
  <c r="AS123" i="1"/>
  <c r="AR123" i="1"/>
  <c r="AT122" i="1"/>
  <c r="AS122" i="1"/>
  <c r="AR122" i="1"/>
  <c r="AT121" i="1"/>
  <c r="AS121" i="1"/>
  <c r="AT120" i="1"/>
  <c r="AS120" i="1"/>
  <c r="AR120" i="1"/>
  <c r="AT119" i="1"/>
  <c r="AS119" i="1"/>
  <c r="AR119" i="1"/>
  <c r="AT118" i="1"/>
  <c r="AS118" i="1"/>
  <c r="AR118" i="1"/>
  <c r="AT117" i="1"/>
  <c r="AS117" i="1"/>
  <c r="AR117" i="1"/>
  <c r="AT116" i="1"/>
  <c r="AS116" i="1"/>
  <c r="AT115" i="1"/>
  <c r="AS115" i="1"/>
  <c r="AR115" i="1"/>
  <c r="AT114" i="1"/>
  <c r="AS114" i="1"/>
  <c r="AR114" i="1"/>
  <c r="AT113" i="1"/>
  <c r="AS113" i="1"/>
  <c r="AT112" i="1"/>
  <c r="AS112" i="1"/>
  <c r="AT111" i="1"/>
  <c r="AS111" i="1"/>
  <c r="AT110" i="1"/>
  <c r="AS110" i="1"/>
  <c r="AR110" i="1"/>
  <c r="AT109" i="1"/>
  <c r="AS109" i="1"/>
  <c r="AT108" i="1"/>
  <c r="AS108" i="1"/>
  <c r="AR108" i="1"/>
  <c r="AT107" i="1"/>
  <c r="AS107" i="1"/>
  <c r="AR107" i="1"/>
  <c r="AT106" i="1"/>
  <c r="AS106" i="1"/>
  <c r="AR106" i="1"/>
  <c r="AT105" i="1"/>
  <c r="AS105" i="1"/>
  <c r="AR105" i="1"/>
  <c r="AT104" i="1"/>
  <c r="AS104" i="1"/>
  <c r="AR104" i="1"/>
  <c r="AT103" i="1"/>
  <c r="AS103" i="1"/>
  <c r="AR103" i="1"/>
  <c r="AT102" i="1"/>
  <c r="AS102" i="1"/>
  <c r="AR102" i="1"/>
  <c r="AT101" i="1"/>
  <c r="AS101" i="1"/>
  <c r="AR101" i="1"/>
  <c r="AT100" i="1"/>
  <c r="AS100" i="1"/>
  <c r="AR100" i="1"/>
  <c r="AT99" i="1"/>
  <c r="AS99" i="1"/>
  <c r="AR99" i="1"/>
  <c r="AT98" i="1"/>
  <c r="AS98" i="1"/>
  <c r="AR98" i="1"/>
  <c r="AT97" i="1"/>
  <c r="AS97" i="1"/>
  <c r="AR97" i="1"/>
  <c r="AT96" i="1"/>
  <c r="AS96" i="1"/>
  <c r="AR96" i="1"/>
  <c r="AT95" i="1"/>
  <c r="AS95" i="1"/>
  <c r="AT94" i="1"/>
  <c r="AS94" i="1"/>
  <c r="AR94" i="1"/>
  <c r="AT93" i="1"/>
  <c r="AS93" i="1"/>
  <c r="AR93" i="1"/>
  <c r="AT92" i="1"/>
  <c r="AS92" i="1"/>
  <c r="AR92" i="1"/>
  <c r="AT91" i="1"/>
  <c r="AS91" i="1"/>
  <c r="AR91" i="1"/>
  <c r="AT90" i="1"/>
  <c r="AS90" i="1"/>
  <c r="AR90" i="1"/>
  <c r="AT89" i="1"/>
  <c r="AS89" i="1"/>
  <c r="AR89" i="1"/>
  <c r="AT88" i="1"/>
  <c r="AS88" i="1"/>
  <c r="AR88" i="1"/>
  <c r="AT87" i="1"/>
  <c r="AS87" i="1"/>
  <c r="AR87" i="1"/>
  <c r="AT86" i="1"/>
  <c r="AS86" i="1"/>
  <c r="AR86" i="1"/>
  <c r="AT85" i="1"/>
  <c r="AS85" i="1"/>
  <c r="AT84" i="1"/>
  <c r="AS84" i="1"/>
  <c r="AT83" i="1"/>
  <c r="AS83" i="1"/>
  <c r="AT82" i="1"/>
  <c r="AS82" i="1"/>
  <c r="AT81" i="1"/>
  <c r="AS81" i="1"/>
  <c r="AR81" i="1"/>
  <c r="AT80" i="1"/>
  <c r="AS80" i="1"/>
  <c r="AR80" i="1"/>
  <c r="AT79" i="1"/>
  <c r="AS79" i="1"/>
  <c r="AR79" i="1"/>
  <c r="AT78" i="1"/>
  <c r="AS78" i="1"/>
  <c r="AR78" i="1"/>
  <c r="AT77" i="1"/>
  <c r="AS77" i="1"/>
  <c r="AR77" i="1"/>
  <c r="AT76" i="1"/>
  <c r="AS76" i="1"/>
  <c r="AR76" i="1"/>
  <c r="AT75" i="1"/>
  <c r="AS75" i="1"/>
  <c r="AR75" i="1"/>
  <c r="AT74" i="1"/>
  <c r="AS74" i="1"/>
  <c r="AR74" i="1"/>
  <c r="AT73" i="1"/>
  <c r="AS73" i="1"/>
  <c r="AT72" i="1"/>
  <c r="AS72" i="1"/>
  <c r="AR72" i="1"/>
  <c r="AT71" i="1"/>
  <c r="AS71" i="1"/>
  <c r="AT70" i="1"/>
  <c r="AS70" i="1"/>
  <c r="AT69" i="1"/>
  <c r="AS69" i="1"/>
  <c r="AT68" i="1"/>
  <c r="AS68" i="1"/>
  <c r="AR68" i="1"/>
  <c r="AT67" i="1"/>
  <c r="AS67" i="1"/>
  <c r="AR67" i="1"/>
  <c r="AT66" i="1"/>
  <c r="AS66" i="1"/>
  <c r="AT65" i="1"/>
  <c r="AS65" i="1"/>
  <c r="AR65" i="1"/>
  <c r="AT64" i="1"/>
  <c r="AS64" i="1"/>
  <c r="AR64" i="1"/>
  <c r="AT63" i="1"/>
  <c r="AS63" i="1"/>
  <c r="AR63" i="1"/>
  <c r="AT62" i="1"/>
  <c r="AS62" i="1"/>
  <c r="AT61" i="1"/>
  <c r="AS61" i="1"/>
  <c r="AT60" i="1"/>
  <c r="AS60" i="1"/>
  <c r="AR60" i="1"/>
  <c r="AT59" i="1"/>
  <c r="AS59" i="1"/>
  <c r="AR59" i="1"/>
  <c r="AT58" i="1"/>
  <c r="AS58" i="1"/>
  <c r="AR58" i="1"/>
  <c r="AT57" i="1"/>
  <c r="AS57" i="1"/>
  <c r="AR57" i="1"/>
  <c r="AT56" i="1"/>
  <c r="AS56" i="1"/>
  <c r="AR56" i="1"/>
  <c r="AT55" i="1"/>
  <c r="AS55" i="1"/>
  <c r="AT54" i="1"/>
  <c r="AS54" i="1"/>
  <c r="AT53" i="1"/>
  <c r="AS53" i="1"/>
  <c r="AR53" i="1"/>
  <c r="AT52" i="1"/>
  <c r="AS52" i="1"/>
  <c r="AR52" i="1"/>
  <c r="AT51" i="1"/>
  <c r="AS51" i="1"/>
  <c r="AR51" i="1"/>
  <c r="AT50" i="1"/>
  <c r="AS50" i="1"/>
  <c r="AR50" i="1"/>
  <c r="AT49" i="1"/>
  <c r="AS49" i="1"/>
  <c r="AR49" i="1"/>
  <c r="AT48" i="1"/>
  <c r="AS48" i="1"/>
  <c r="AR48" i="1"/>
  <c r="AT47" i="1"/>
  <c r="AS47" i="1"/>
  <c r="AR47" i="1"/>
  <c r="AT46" i="1"/>
  <c r="AS46" i="1"/>
  <c r="AR46" i="1"/>
  <c r="AT45" i="1"/>
  <c r="AS45" i="1"/>
  <c r="AT44" i="1"/>
  <c r="AS44" i="1"/>
  <c r="AR44" i="1"/>
  <c r="AT43" i="1"/>
  <c r="AS43" i="1"/>
  <c r="AR43" i="1"/>
  <c r="AT42" i="1"/>
  <c r="AS42" i="1"/>
  <c r="AR42" i="1"/>
  <c r="AT41" i="1"/>
  <c r="AS41" i="1"/>
  <c r="AR41" i="1"/>
  <c r="AT40" i="1"/>
  <c r="AS40" i="1"/>
  <c r="AR40" i="1"/>
  <c r="AT39" i="1"/>
  <c r="AS39" i="1"/>
  <c r="AR39" i="1"/>
  <c r="AT38" i="1"/>
  <c r="AS38" i="1"/>
  <c r="AR38" i="1"/>
  <c r="AT37" i="1"/>
  <c r="AS37" i="1"/>
  <c r="AR37" i="1"/>
  <c r="AT36" i="1"/>
  <c r="AS36" i="1"/>
  <c r="AR36" i="1"/>
  <c r="AT35" i="1"/>
  <c r="AS35" i="1"/>
  <c r="AR35" i="1"/>
  <c r="AT34" i="1"/>
  <c r="AS34" i="1"/>
  <c r="AT33" i="1"/>
  <c r="AS33" i="1"/>
  <c r="AR33" i="1"/>
  <c r="AT32" i="1"/>
  <c r="AS32" i="1"/>
  <c r="AR32" i="1"/>
  <c r="AT31" i="1"/>
  <c r="AS31" i="1"/>
  <c r="AR31" i="1"/>
  <c r="AT30" i="1"/>
  <c r="AS30" i="1"/>
  <c r="AT29" i="1"/>
  <c r="AS29" i="1"/>
  <c r="AR29" i="1"/>
  <c r="AT28" i="1"/>
  <c r="AS28" i="1"/>
  <c r="AR28" i="1"/>
  <c r="AT27" i="1"/>
  <c r="AS27" i="1"/>
  <c r="AR27" i="1"/>
  <c r="AT26" i="1"/>
  <c r="AS26" i="1"/>
  <c r="AR26" i="1"/>
  <c r="AT25" i="1"/>
  <c r="AS25" i="1"/>
  <c r="AR25" i="1"/>
  <c r="AT24" i="1"/>
  <c r="AS24" i="1"/>
  <c r="AR24" i="1"/>
  <c r="AT23" i="1"/>
  <c r="AS23" i="1"/>
  <c r="AR23" i="1"/>
  <c r="AT22" i="1"/>
  <c r="AS22" i="1"/>
  <c r="AR22" i="1"/>
  <c r="AT21" i="1"/>
  <c r="AS21" i="1"/>
  <c r="AR21" i="1"/>
  <c r="AT20" i="1"/>
  <c r="AS20" i="1"/>
  <c r="AT19" i="1"/>
  <c r="AS19" i="1"/>
  <c r="AT18" i="1"/>
  <c r="AS18" i="1"/>
  <c r="AR18" i="1"/>
  <c r="AT17" i="1"/>
  <c r="AS17" i="1"/>
  <c r="AT16" i="1"/>
  <c r="AS16" i="1"/>
  <c r="AR16" i="1"/>
  <c r="AT15" i="1"/>
  <c r="AS15" i="1"/>
  <c r="AR15" i="1"/>
  <c r="AT14" i="1"/>
  <c r="AS14" i="1"/>
  <c r="AT13" i="1"/>
  <c r="AS13" i="1"/>
  <c r="AR13" i="1"/>
  <c r="AT12" i="1"/>
  <c r="AS12" i="1"/>
  <c r="AR12" i="1"/>
  <c r="AT11" i="1"/>
  <c r="AS11" i="1"/>
  <c r="AR11" i="1"/>
  <c r="AT10" i="1"/>
  <c r="AS10" i="1"/>
  <c r="AR10" i="1"/>
  <c r="AT9" i="1"/>
  <c r="AS9" i="1"/>
  <c r="AR9" i="1"/>
  <c r="AT8" i="1"/>
  <c r="AS8" i="1"/>
  <c r="AT7" i="1"/>
  <c r="AS7" i="1"/>
  <c r="AT6" i="1"/>
  <c r="AS6" i="1"/>
  <c r="AR6" i="1"/>
  <c r="AT5" i="1"/>
  <c r="AS5" i="1"/>
  <c r="AR5" i="1"/>
  <c r="AT4" i="1"/>
  <c r="AS4" i="1"/>
  <c r="AR4" i="1"/>
  <c r="AT3" i="1"/>
  <c r="AS3" i="1"/>
  <c r="AR3" i="1"/>
  <c r="AT2" i="1"/>
  <c r="AS2" i="1"/>
</calcChain>
</file>

<file path=xl/sharedStrings.xml><?xml version="1.0" encoding="utf-8"?>
<sst xmlns="http://schemas.openxmlformats.org/spreadsheetml/2006/main" count="14350" uniqueCount="5873">
  <si>
    <t>Display Call Number</t>
  </si>
  <si>
    <t>Display Call Number Normalized</t>
  </si>
  <si>
    <t>Title</t>
  </si>
  <si>
    <t>Enumeration</t>
  </si>
  <si>
    <t>Possible Multi-Volume Set</t>
  </si>
  <si>
    <t>Copy Number</t>
  </si>
  <si>
    <t>Possible Duplicate</t>
  </si>
  <si>
    <t>Multi-Edition Title</t>
  </si>
  <si>
    <t>Number of Related Ebooks</t>
  </si>
  <si>
    <t>Author</t>
  </si>
  <si>
    <t>Publisher</t>
  </si>
  <si>
    <t>Publication Year</t>
  </si>
  <si>
    <t>Edition</t>
  </si>
  <si>
    <t>Primary Language</t>
  </si>
  <si>
    <t>Place of Publication</t>
  </si>
  <si>
    <t>Series</t>
  </si>
  <si>
    <t>LC Subclass</t>
  </si>
  <si>
    <t>Recorded Uses - Item</t>
  </si>
  <si>
    <t>Recorded Uses - Title</t>
  </si>
  <si>
    <t>Last Charge Date - Item</t>
  </si>
  <si>
    <t>Last Charge Date - Title</t>
  </si>
  <si>
    <t>Last Add Date - Item</t>
  </si>
  <si>
    <t>Last Add Date - Title</t>
  </si>
  <si>
    <t>Global Holdings - Same Edition</t>
  </si>
  <si>
    <t>US Holdings - Same Edition</t>
  </si>
  <si>
    <t>US Holdings</t>
  </si>
  <si>
    <t>Nebraska Holdings - Same Edition</t>
  </si>
  <si>
    <t>Nebraska Holdings</t>
  </si>
  <si>
    <t>All Comparator Library Holdings - Same Edition</t>
  </si>
  <si>
    <t>All Comparator Library Holdings</t>
  </si>
  <si>
    <t>Affinity Libraries - Same Edition</t>
  </si>
  <si>
    <t>Affinity Libraries - Any Edition</t>
  </si>
  <si>
    <t>Big East - Same Edition</t>
  </si>
  <si>
    <t>Big East - Any Edition</t>
  </si>
  <si>
    <t>AJCU - Same Edition</t>
  </si>
  <si>
    <t>AJCU - Any Edition</t>
  </si>
  <si>
    <t>Nebraska Colleges &amp; Universities - Same Edition</t>
  </si>
  <si>
    <t>Nebraska Colleges &amp; Universities - Any Edition</t>
  </si>
  <si>
    <t>MALLCO - Same Edition</t>
  </si>
  <si>
    <t>MALLCO - Any Edition</t>
  </si>
  <si>
    <t>HathiTrust Public Domain</t>
  </si>
  <si>
    <t>HathiTrust In Copyright</t>
  </si>
  <si>
    <t>HathiTrust URL</t>
  </si>
  <si>
    <t>OPAC URL</t>
  </si>
  <si>
    <t>WorldCat URL</t>
  </si>
  <si>
    <t>OCLC Work ID</t>
  </si>
  <si>
    <t>WorldCat OCLC Number</t>
  </si>
  <si>
    <t>Bib Record Number</t>
  </si>
  <si>
    <t>Bib Control Number</t>
  </si>
  <si>
    <t>Item Control Number</t>
  </si>
  <si>
    <t>Item Type Code</t>
  </si>
  <si>
    <t>Item Status Code</t>
  </si>
  <si>
    <t>ISBN</t>
  </si>
  <si>
    <t>Barcode</t>
  </si>
  <si>
    <t>SCS Item ID</t>
  </si>
  <si>
    <t>QU 4 B265e 1982</t>
  </si>
  <si>
    <t>0                      QU 0004000B  265e        1982</t>
  </si>
  <si>
    <t>Essentials of clinical biochemistry / D.N. Baron.</t>
  </si>
  <si>
    <t>No</t>
  </si>
  <si>
    <t>1</t>
  </si>
  <si>
    <t>0</t>
  </si>
  <si>
    <t>Baron, D. N. (Denis Neville)</t>
  </si>
  <si>
    <t>New York : Elsevier Biomedical, c1982.</t>
  </si>
  <si>
    <t>1982</t>
  </si>
  <si>
    <t>eng</t>
  </si>
  <si>
    <t>xxu</t>
  </si>
  <si>
    <t xml:space="preserve">QU </t>
  </si>
  <si>
    <t>1995-04-06</t>
  </si>
  <si>
    <t>1988-01-20</t>
  </si>
  <si>
    <t>3858252:eng</t>
  </si>
  <si>
    <t>9220392</t>
  </si>
  <si>
    <t>991000861739702656</t>
  </si>
  <si>
    <t>2267341320002656</t>
  </si>
  <si>
    <t>BOOK</t>
  </si>
  <si>
    <t>30001000139263</t>
  </si>
  <si>
    <t>893455222</t>
  </si>
  <si>
    <t>QU 4 B575b 1974</t>
  </si>
  <si>
    <t>0                      QU 0004000B  575b        1974</t>
  </si>
  <si>
    <t>Biochemistry : a comprehensive review / [by] N. V. Bhagavan.</t>
  </si>
  <si>
    <t>Bhagavan, N. V.</t>
  </si>
  <si>
    <t>Philadelphia : Lippincott, 1974.</t>
  </si>
  <si>
    <t>1974</t>
  </si>
  <si>
    <t>pau</t>
  </si>
  <si>
    <t>1993-11-17</t>
  </si>
  <si>
    <t>1990-07-13</t>
  </si>
  <si>
    <t>Yes</t>
  </si>
  <si>
    <t>1786038:eng</t>
  </si>
  <si>
    <t>841611</t>
  </si>
  <si>
    <t>991001503839702656</t>
  </si>
  <si>
    <t>2265021800002656</t>
  </si>
  <si>
    <t>9780397520633</t>
  </si>
  <si>
    <t>30001001927450</t>
  </si>
  <si>
    <t>893358671</t>
  </si>
  <si>
    <t>QU 4 B6158s 1983 v.2-3</t>
  </si>
  <si>
    <t>0                      QU 0004000B  6158s       1983                                        v.2-3</t>
  </si>
  <si>
    <t>Biochemistry of smooth muscle / editor, Newman L. Stephens.</t>
  </si>
  <si>
    <t>V. 2</t>
  </si>
  <si>
    <t>Boca Raton, Fla. : CRC Press, c1983.</t>
  </si>
  <si>
    <t>1983</t>
  </si>
  <si>
    <t>2005-07-07</t>
  </si>
  <si>
    <t>1988-03-23</t>
  </si>
  <si>
    <t>3372339530:eng</t>
  </si>
  <si>
    <t>8553453</t>
  </si>
  <si>
    <t>991000861809702656</t>
  </si>
  <si>
    <t>2256492070002656</t>
  </si>
  <si>
    <t>9780849365751</t>
  </si>
  <si>
    <t>30001000139388</t>
  </si>
  <si>
    <t>893820644</t>
  </si>
  <si>
    <t>V. 3</t>
  </si>
  <si>
    <t>1994-09-29</t>
  </si>
  <si>
    <t>30001000139370</t>
  </si>
  <si>
    <t>893834417</t>
  </si>
  <si>
    <t>QU 4 B616 1992</t>
  </si>
  <si>
    <t>0                      QU 0004000B  616         1992</t>
  </si>
  <si>
    <t>Biosynthesis / [edited by] C.A. Smith and E.J. Wood.</t>
  </si>
  <si>
    <t>New York : Chapman and Hall, c1992.</t>
  </si>
  <si>
    <t>1992</t>
  </si>
  <si>
    <t>nyu</t>
  </si>
  <si>
    <t>Molecular and cell biochemistry</t>
  </si>
  <si>
    <t>1998-11-20</t>
  </si>
  <si>
    <t>1991-10-10</t>
  </si>
  <si>
    <t>152286473:eng</t>
  </si>
  <si>
    <t>23355630</t>
  </si>
  <si>
    <t>991001012859702656</t>
  </si>
  <si>
    <t>2272757160002656</t>
  </si>
  <si>
    <t>9780412407604</t>
  </si>
  <si>
    <t>30001002240101</t>
  </si>
  <si>
    <t>893273601</t>
  </si>
  <si>
    <t>QU4 C189b 2003</t>
  </si>
  <si>
    <t>0                      QU 0004000C  189b        2003</t>
  </si>
  <si>
    <t>Biochemistry / Mary Campbell and Shawn Farrell.</t>
  </si>
  <si>
    <t>Campbell, Mary, 1917-2002.</t>
  </si>
  <si>
    <t>Pacific Grove, Calif. : London : Brooks/Cole, 2002.</t>
  </si>
  <si>
    <t>2002</t>
  </si>
  <si>
    <t>4th ed.</t>
  </si>
  <si>
    <t>enk</t>
  </si>
  <si>
    <t>2004-12-10</t>
  </si>
  <si>
    <t>2002-08-23</t>
  </si>
  <si>
    <t>5453818970:eng</t>
  </si>
  <si>
    <t>49833218</t>
  </si>
  <si>
    <t>991000328299702656</t>
  </si>
  <si>
    <t>2258601810002656</t>
  </si>
  <si>
    <t>9780030348495</t>
  </si>
  <si>
    <t>30001004239838</t>
  </si>
  <si>
    <t>893264124</t>
  </si>
  <si>
    <t>QU4 C189b 2006</t>
  </si>
  <si>
    <t>0                      QU 0004000C  189b        2006</t>
  </si>
  <si>
    <t>Biochemistry / Mary K. Campbell, Shawn O. Farrell.</t>
  </si>
  <si>
    <t>Campbell, Mary K.</t>
  </si>
  <si>
    <t>Pacific Grove, Calif. : Brooks/Cole, 2006.</t>
  </si>
  <si>
    <t>2006</t>
  </si>
  <si>
    <t>5th international student ed.</t>
  </si>
  <si>
    <t>cau</t>
  </si>
  <si>
    <t>2006-12-07</t>
  </si>
  <si>
    <t>2005-08-17</t>
  </si>
  <si>
    <t>283580580:eng</t>
  </si>
  <si>
    <t>59130150</t>
  </si>
  <si>
    <t>991000442339702656</t>
  </si>
  <si>
    <t>2270638070002656</t>
  </si>
  <si>
    <t>9780534394998</t>
  </si>
  <si>
    <t>30001005420544</t>
  </si>
  <si>
    <t>893811509</t>
  </si>
  <si>
    <t>QU 4 C229b 1975</t>
  </si>
  <si>
    <t>0                      QU 0004000C  229b        1975</t>
  </si>
  <si>
    <t>Clinical biochemistry / Cantarow and Trumper ; with a chapter on hormone assay and endocrine function by Reginald Hall and Gordon M. Besser.</t>
  </si>
  <si>
    <t>Cantarow, Abraham, 1901-1979.</t>
  </si>
  <si>
    <t>Philadelphia : Saunders, c1975.</t>
  </si>
  <si>
    <t>1975</t>
  </si>
  <si>
    <t>7th ed. / Albert L. Latner.</t>
  </si>
  <si>
    <t>1991-11-25</t>
  </si>
  <si>
    <t>1988-01-23</t>
  </si>
  <si>
    <t>5608781320:eng</t>
  </si>
  <si>
    <t>1194918</t>
  </si>
  <si>
    <t>991000862289702656</t>
  </si>
  <si>
    <t>2260637140002656</t>
  </si>
  <si>
    <t>9780721656373</t>
  </si>
  <si>
    <t>30001000139669</t>
  </si>
  <si>
    <t>893648622</t>
  </si>
  <si>
    <t>QU 4 C641 1987</t>
  </si>
  <si>
    <t>0                      QU 0004000C  641         1987</t>
  </si>
  <si>
    <t>Clinical studies in medical biochemistry / edited by Robert H. Glew and Stephen P. Peters.</t>
  </si>
  <si>
    <t>New York : Oxford University Press, c1987.</t>
  </si>
  <si>
    <t>1987</t>
  </si>
  <si>
    <t>1997-10-14</t>
  </si>
  <si>
    <t>1988-08-30</t>
  </si>
  <si>
    <t>866295860:eng</t>
  </si>
  <si>
    <t>14413523</t>
  </si>
  <si>
    <t>991001423119702656</t>
  </si>
  <si>
    <t>2264160460002656</t>
  </si>
  <si>
    <t>9780195039214</t>
  </si>
  <si>
    <t>30001001183039</t>
  </si>
  <si>
    <t>893821201</t>
  </si>
  <si>
    <t>QU 4 C686b 1988</t>
  </si>
  <si>
    <t>0                      QU 0004000C  686b        1988</t>
  </si>
  <si>
    <t>Biochemistry and oral biology / A.S. Cole, J.E. Eastoe ; with contributions by John McGivan, M.L. Hayes, A.C. Smillie.</t>
  </si>
  <si>
    <t>Cole, Anne S.</t>
  </si>
  <si>
    <t>London ; Boston : Wright, c1988.</t>
  </si>
  <si>
    <t>1988</t>
  </si>
  <si>
    <t>2nd ed.</t>
  </si>
  <si>
    <t>1992-12-11</t>
  </si>
  <si>
    <t>1990-01-30</t>
  </si>
  <si>
    <t>10562526:eng</t>
  </si>
  <si>
    <t>17953974</t>
  </si>
  <si>
    <t>991001445669702656</t>
  </si>
  <si>
    <t>2259721720002656</t>
  </si>
  <si>
    <t>9780723608349</t>
  </si>
  <si>
    <t>30001001880436</t>
  </si>
  <si>
    <t>893451213</t>
  </si>
  <si>
    <t>QU 4 C753o 1976</t>
  </si>
  <si>
    <t>0                      QU 0004000C  753o        1976</t>
  </si>
  <si>
    <t>Outlines of biochemistry / Eric E. Conn and P. K. Stumpf.</t>
  </si>
  <si>
    <t>Conn, Eric E.</t>
  </si>
  <si>
    <t>New York : Wiley, c1976.</t>
  </si>
  <si>
    <t>1976</t>
  </si>
  <si>
    <t>1997-12-19</t>
  </si>
  <si>
    <t>1987-09-27</t>
  </si>
  <si>
    <t>1306986:eng</t>
  </si>
  <si>
    <t>1859736</t>
  </si>
  <si>
    <t>991000758549702656</t>
  </si>
  <si>
    <t>2266527480002656</t>
  </si>
  <si>
    <t>9780471168430</t>
  </si>
  <si>
    <t>30001000054777</t>
  </si>
  <si>
    <t>893731168</t>
  </si>
  <si>
    <t>QU 4 DE997VG v.5 1978</t>
  </si>
  <si>
    <t>0                      QU 0004000DE 997VG                                                   v.5 1978</t>
  </si>
  <si>
    <t>Cytochrome oxidase : proceedings of the Japanese-American Seminar on Cytochrome Oxidase held in Osaka, Japan on August 29-September 2, 1978 / edited by Tsoo E. King ... [et al.].</t>
  </si>
  <si>
    <t>V.5 1978 | V. 5</t>
  </si>
  <si>
    <t>Japanese-American Seminar on Cytochrome Oxidase (1978 : Osaka, Japan)</t>
  </si>
  <si>
    <t>Amsterdam ; New York : Elsevier/North Holland Biomedical Press ; New York : sole distributors for the U.S.A. and Canada, Elsevier North-Holland, c1979.</t>
  </si>
  <si>
    <t>1979</t>
  </si>
  <si>
    <t xml:space="preserve">ne </t>
  </si>
  <si>
    <t>Developments in biochemistry, 0165-1714 ; v. 5</t>
  </si>
  <si>
    <t>1997-03-24</t>
  </si>
  <si>
    <t>899616466:eng</t>
  </si>
  <si>
    <t>4593508</t>
  </si>
  <si>
    <t>991000861979702656</t>
  </si>
  <si>
    <t>2271322690002656</t>
  </si>
  <si>
    <t>9780444801005</t>
  </si>
  <si>
    <t>30001000139503</t>
  </si>
  <si>
    <t>893831586</t>
  </si>
  <si>
    <t>QU 4 F639c</t>
  </si>
  <si>
    <t>0                      QU 0004000F  639c</t>
  </si>
  <si>
    <t>Metabolism of cyclic compounds : metabolism of isoprenoids, steroid hormones, bile acids, flavonoids, tannins, lignins; secondary metabolites of fungi; alkaloids, and other nitrogenous secondary metabolites / edited by Marcel Florkin and Elmer H. Stotz.</t>
  </si>
  <si>
    <t>V.20</t>
  </si>
  <si>
    <t>Amsterdam ; New York : Elsevier, 1968.</t>
  </si>
  <si>
    <t>1968</t>
  </si>
  <si>
    <t>Comprehensive biochemistry ; 20. Section IV, Metabolism</t>
  </si>
  <si>
    <t>2002-11-14</t>
  </si>
  <si>
    <t>2002-04-15</t>
  </si>
  <si>
    <t>3855542232:eng</t>
  </si>
  <si>
    <t>2410119</t>
  </si>
  <si>
    <t>991000307539702656</t>
  </si>
  <si>
    <t>2265971410002656</t>
  </si>
  <si>
    <t>30001000139909</t>
  </si>
  <si>
    <t>893644196</t>
  </si>
  <si>
    <t>QU 4 F853</t>
  </si>
  <si>
    <t>0                      QU 0004000F  853</t>
  </si>
  <si>
    <t>Free radicals in biology / edited by William A. Pryor.</t>
  </si>
  <si>
    <t>V. 1</t>
  </si>
  <si>
    <t>New York : Academic Press, 1976.</t>
  </si>
  <si>
    <t>1997-08-22</t>
  </si>
  <si>
    <t>1988-03-26</t>
  </si>
  <si>
    <t>3372259736:eng</t>
  </si>
  <si>
    <t>1622078</t>
  </si>
  <si>
    <t>991000852559702656</t>
  </si>
  <si>
    <t>2270659320002656</t>
  </si>
  <si>
    <t>9780125665018</t>
  </si>
  <si>
    <t>30001000134207</t>
  </si>
  <si>
    <t>893815794</t>
  </si>
  <si>
    <t>30001000134199</t>
  </si>
  <si>
    <t>893815793</t>
  </si>
  <si>
    <t>QU 4 L524p 1982</t>
  </si>
  <si>
    <t>0                      QU 0004000L  524p        1982</t>
  </si>
  <si>
    <t>Principles of biochemistry / Albert L. Lehninger.</t>
  </si>
  <si>
    <t>Lehninger, Albert L.</t>
  </si>
  <si>
    <t>New York, N.Y. : Worth Publishers, c1982.</t>
  </si>
  <si>
    <t>2002-11-13</t>
  </si>
  <si>
    <t>3901048175:eng</t>
  </si>
  <si>
    <t>10628559</t>
  </si>
  <si>
    <t>991000494769702656</t>
  </si>
  <si>
    <t>2261541830002656</t>
  </si>
  <si>
    <t>30001000046328</t>
  </si>
  <si>
    <t>893365756</t>
  </si>
  <si>
    <t>QU 4 M145b 1983</t>
  </si>
  <si>
    <t>0                      QU 0004000M  145b        1983</t>
  </si>
  <si>
    <t>Biochemistry, a functional approach / Robert W. McGilvery, in collaboration with Gerald W. Goldstein.</t>
  </si>
  <si>
    <t>McGilvery, Robert W.</t>
  </si>
  <si>
    <t>Philadelphia : Saunders, c1983.</t>
  </si>
  <si>
    <t>3rd ed.</t>
  </si>
  <si>
    <t>1997-10-25</t>
  </si>
  <si>
    <t>1988-01-26</t>
  </si>
  <si>
    <t>1285815:eng</t>
  </si>
  <si>
    <t>8865386</t>
  </si>
  <si>
    <t>991000855039702656</t>
  </si>
  <si>
    <t>2260843900002656</t>
  </si>
  <si>
    <t>9780721659138</t>
  </si>
  <si>
    <t>30001000134835</t>
  </si>
  <si>
    <t>893740503</t>
  </si>
  <si>
    <t>QU 4 M154b 1996</t>
  </si>
  <si>
    <t>0                      QU 0004000M  154b        1996</t>
  </si>
  <si>
    <t>Biochemistry / Trudy McKee, James R. McKee.</t>
  </si>
  <si>
    <t>McKee, Trudy.</t>
  </si>
  <si>
    <t>Dubuque, IA : Wm. C. Brown, c1996.</t>
  </si>
  <si>
    <t>1996</t>
  </si>
  <si>
    <t>iau</t>
  </si>
  <si>
    <t>2006-01-10</t>
  </si>
  <si>
    <t>1997-01-17</t>
  </si>
  <si>
    <t>3768982863:eng</t>
  </si>
  <si>
    <t>34371369</t>
  </si>
  <si>
    <t>991001558409702656</t>
  </si>
  <si>
    <t>2271590630002656</t>
  </si>
  <si>
    <t>9780697211590</t>
  </si>
  <si>
    <t>30001003474055</t>
  </si>
  <si>
    <t>893727765</t>
  </si>
  <si>
    <t>QU 4 M346b 1996</t>
  </si>
  <si>
    <t>0                      QU 0004000M  346b        1996</t>
  </si>
  <si>
    <t>Basic medical biochemistry : a clinical approach / Dawn B. Marks, Allan D. Marks, Colleen M. Smith.</t>
  </si>
  <si>
    <t>Marks, Dawn B.</t>
  </si>
  <si>
    <t>Baltimore : Williams &amp; Wilkins, c1996.</t>
  </si>
  <si>
    <t>mdu</t>
  </si>
  <si>
    <t>2007-12-04</t>
  </si>
  <si>
    <t>2002-07-26</t>
  </si>
  <si>
    <t>3901762739:eng</t>
  </si>
  <si>
    <t>33105353</t>
  </si>
  <si>
    <t>991000326649702656</t>
  </si>
  <si>
    <t>2263230610002656</t>
  </si>
  <si>
    <t>9780683055955</t>
  </si>
  <si>
    <t>30001004377562</t>
  </si>
  <si>
    <t>893737224</t>
  </si>
  <si>
    <t>QU4 M429b 2000</t>
  </si>
  <si>
    <t>0                      QU 0004000M  429b        2000</t>
  </si>
  <si>
    <t>Biochemistry / Christopher K. Mathews, K.E. van Holde, Kevin G. Ahern.</t>
  </si>
  <si>
    <t>Mathews, Christopher K., 1937-</t>
  </si>
  <si>
    <t>San Francisco, Calif. : Benjamin Cummings, c2000.</t>
  </si>
  <si>
    <t>2000</t>
  </si>
  <si>
    <t>2010-10-28</t>
  </si>
  <si>
    <t>2002-09-25</t>
  </si>
  <si>
    <t>7371584449:eng</t>
  </si>
  <si>
    <t>42290721</t>
  </si>
  <si>
    <t>991000329579702656</t>
  </si>
  <si>
    <t>2259554760002656</t>
  </si>
  <si>
    <t>9780805330663</t>
  </si>
  <si>
    <t>30001004441251</t>
  </si>
  <si>
    <t>893269357</t>
  </si>
  <si>
    <t>QU 4 M788b 1996</t>
  </si>
  <si>
    <t>0                      QU 0004000M  788b        1996</t>
  </si>
  <si>
    <t>Biochemistry : a case-oriented approach / Rex Montgomery, Thomas W. Conway, Arthur A. Spector, David Chappell.</t>
  </si>
  <si>
    <t>Montgomery, Rex.</t>
  </si>
  <si>
    <t>St. Louis : Mosby, c1996.</t>
  </si>
  <si>
    <t>6th ed.</t>
  </si>
  <si>
    <t>mou</t>
  </si>
  <si>
    <t>2009-09-09</t>
  </si>
  <si>
    <t>1996-09-03</t>
  </si>
  <si>
    <t>376054194:eng</t>
  </si>
  <si>
    <t>35267963</t>
  </si>
  <si>
    <t>991000835389702656</t>
  </si>
  <si>
    <t>2259667850002656</t>
  </si>
  <si>
    <t>9780815164838</t>
  </si>
  <si>
    <t>30001003441567</t>
  </si>
  <si>
    <t>893459961</t>
  </si>
  <si>
    <t>QU 4 M848b 1994</t>
  </si>
  <si>
    <t>0                      QU 0004000M  848b        1994</t>
  </si>
  <si>
    <t>Biochemistry / Laurence A. Moran ... [et al.].</t>
  </si>
  <si>
    <t>Moran, Laurence A., 1956-</t>
  </si>
  <si>
    <t>Englewood Cliffs, NJ : Neil Patterson Publishers, c1994.</t>
  </si>
  <si>
    <t>1994</t>
  </si>
  <si>
    <t>nju</t>
  </si>
  <si>
    <t>2000-03-20</t>
  </si>
  <si>
    <t>1995-10-23</t>
  </si>
  <si>
    <t>5218429888:eng</t>
  </si>
  <si>
    <t>29702569</t>
  </si>
  <si>
    <t>991001495619702656</t>
  </si>
  <si>
    <t>2261280750002656</t>
  </si>
  <si>
    <t>9780138144432</t>
  </si>
  <si>
    <t>30001003261429</t>
  </si>
  <si>
    <t>893460644</t>
  </si>
  <si>
    <t>QU 4 M848b 1994 Suppl.</t>
  </si>
  <si>
    <t>0                      QU 0004000M  848b        1994                                        Suppl.</t>
  </si>
  <si>
    <t>Biochemistry resource book / Laurence A. Moran, K. Gray Scrimgeour ; contributing authors, R. Roy Baker ... [et al. ; Charlotte W. Pratt, principal editor].</t>
  </si>
  <si>
    <t>Suppl.*</t>
  </si>
  <si>
    <t>Englewood Cliffs, NJ : Neil Patterson Publishers/Prentice Hall, c1994.</t>
  </si>
  <si>
    <t>2006-08-30</t>
  </si>
  <si>
    <t>3980207537:eng</t>
  </si>
  <si>
    <t>31910072</t>
  </si>
  <si>
    <t>991001495119702656</t>
  </si>
  <si>
    <t>2258329770002656</t>
  </si>
  <si>
    <t>9780138166793</t>
  </si>
  <si>
    <t>30001003261411</t>
  </si>
  <si>
    <t>893546763</t>
  </si>
  <si>
    <t>QU 4 MO195T 1971 no.10</t>
  </si>
  <si>
    <t>0                      QU 0004000MO 195T        1971                                        no.10</t>
  </si>
  <si>
    <t>Chemistry of fungicidal action / R.J. Lukens.</t>
  </si>
  <si>
    <t>no.10*</t>
  </si>
  <si>
    <t>Lukens, Raymond J.</t>
  </si>
  <si>
    <t>Berlin ; New York : Springer-Verlag, 1971.</t>
  </si>
  <si>
    <t>1971</t>
  </si>
  <si>
    <t xml:space="preserve">gw </t>
  </si>
  <si>
    <t>Molecular biology, biochemistry, and biophysics ; 10</t>
  </si>
  <si>
    <t>1995-11-19</t>
  </si>
  <si>
    <t>1988-03-03</t>
  </si>
  <si>
    <t>1323983:eng</t>
  </si>
  <si>
    <t>221192</t>
  </si>
  <si>
    <t>991000853779702656</t>
  </si>
  <si>
    <t>2258260880002656</t>
  </si>
  <si>
    <t>30001000134587</t>
  </si>
  <si>
    <t>893450557</t>
  </si>
  <si>
    <t>QU 4 N813 1982</t>
  </si>
  <si>
    <t>0                      QU 0004000N  813         1982</t>
  </si>
  <si>
    <t>Noninvasive probes of tissue metabolism / Jack S. Cohen, editor.</t>
  </si>
  <si>
    <t>New York : Wiley, c1982.</t>
  </si>
  <si>
    <t>Wiley-Interscience publication</t>
  </si>
  <si>
    <t>1989-05-03</t>
  </si>
  <si>
    <t>28820775:eng</t>
  </si>
  <si>
    <t>7572690</t>
  </si>
  <si>
    <t>991000917889702656</t>
  </si>
  <si>
    <t>2260943250002656</t>
  </si>
  <si>
    <t>9780471088936</t>
  </si>
  <si>
    <t>30001000179996</t>
  </si>
  <si>
    <t>893740580</t>
  </si>
  <si>
    <t>QU 4 NE372F 1985 v.12</t>
  </si>
  <si>
    <t>0                      QU 0004000NE 372F        1985                                        v.12</t>
  </si>
  <si>
    <t>Sterols and bile acids / editors, Henry Danielsson and Jan Sjövall.</t>
  </si>
  <si>
    <t>V.12</t>
  </si>
  <si>
    <t>Amsterdam ; New York : Elsevier ; New York, NY, (U.S.A.) : Sole distributors for the U.S.A. and Canada, Elsevier Science Pub. Co., c1985.</t>
  </si>
  <si>
    <t>1985</t>
  </si>
  <si>
    <t>New comprehensive biochemistry ; v. 12</t>
  </si>
  <si>
    <t>1989-04-06</t>
  </si>
  <si>
    <t>1989-02-24</t>
  </si>
  <si>
    <t>355679600:eng</t>
  </si>
  <si>
    <t>12614074</t>
  </si>
  <si>
    <t>991001240229702656</t>
  </si>
  <si>
    <t>2271735380002656</t>
  </si>
  <si>
    <t>9780444806703</t>
  </si>
  <si>
    <t>30001001675406</t>
  </si>
  <si>
    <t>893358388</t>
  </si>
  <si>
    <t>QU 4 NE372F 1987 v.16</t>
  </si>
  <si>
    <t>0                      QU 0004000NE 372F        1987                                        v.16</t>
  </si>
  <si>
    <t>Hydrolytic enzymes / editors, A. Neuberger and K. Brocklehurst.</t>
  </si>
  <si>
    <t>V.16</t>
  </si>
  <si>
    <t>Amsterdam ; New York : Elsevier/North-Holland Biomedical Press ; New York, NY : Sole distributors for the U.S.A. and Canada, Elsevier/North-Holland, c1987.</t>
  </si>
  <si>
    <t>New comprehensive biochemistry ; v. 16</t>
  </si>
  <si>
    <t>694458525:eng</t>
  </si>
  <si>
    <t>18782154</t>
  </si>
  <si>
    <t>991001240059702656</t>
  </si>
  <si>
    <t>2267798490002656</t>
  </si>
  <si>
    <t>9780444803030</t>
  </si>
  <si>
    <t>30001001675380</t>
  </si>
  <si>
    <t>893821062</t>
  </si>
  <si>
    <t>QU 4 O78b 1982</t>
  </si>
  <si>
    <t>0                      QU 0004000O  78b         1982</t>
  </si>
  <si>
    <t>Human biochemistry / James M. Orten, Otto W. Neuhaus.</t>
  </si>
  <si>
    <t>Orten, James M., 1904-</t>
  </si>
  <si>
    <t>St. Louis : Mosby, c1982.</t>
  </si>
  <si>
    <t>10th ed.</t>
  </si>
  <si>
    <t>1996-09-13</t>
  </si>
  <si>
    <t>1662048:eng</t>
  </si>
  <si>
    <t>7774051</t>
  </si>
  <si>
    <t>991000758649702656</t>
  </si>
  <si>
    <t>2272670980002656</t>
  </si>
  <si>
    <t>9780801637308</t>
  </si>
  <si>
    <t>30001000054819</t>
  </si>
  <si>
    <t>893632035</t>
  </si>
  <si>
    <t>QU 4 OU94B 1981</t>
  </si>
  <si>
    <t>0                      QU 0004000OU 94B         1981</t>
  </si>
  <si>
    <t>Brain biochemistry / H.S. Bachelard.</t>
  </si>
  <si>
    <t>Bachelard, H. S.</t>
  </si>
  <si>
    <t>London ; New York : Chapman and Hall, c1981.</t>
  </si>
  <si>
    <t>1981</t>
  </si>
  <si>
    <t>Outline studies in biology.</t>
  </si>
  <si>
    <t>1989-01-03</t>
  </si>
  <si>
    <t>1759727:eng</t>
  </si>
  <si>
    <t>7815574</t>
  </si>
  <si>
    <t>991000854309702656</t>
  </si>
  <si>
    <t>2272425160002656</t>
  </si>
  <si>
    <t>9780412234705</t>
  </si>
  <si>
    <t>30001000134694</t>
  </si>
  <si>
    <t>893648582</t>
  </si>
  <si>
    <t>QU 4 OU94F 1977</t>
  </si>
  <si>
    <t>0                      QU 0004000OU 94F         1977</t>
  </si>
  <si>
    <t>A biochemical approach to nutrition / R.A. Freedland and Stephanie Briggs.</t>
  </si>
  <si>
    <t>Freedland, Richard A. (Richard Allan)</t>
  </si>
  <si>
    <t>London : Chapman and Hall ; New York : distributed by Halsted Press, 1980 reprinting, c1977.</t>
  </si>
  <si>
    <t>1977</t>
  </si>
  <si>
    <t>1988-12-02</t>
  </si>
  <si>
    <t>5187107:eng</t>
  </si>
  <si>
    <t>2508313</t>
  </si>
  <si>
    <t>991000854489702656</t>
  </si>
  <si>
    <t>2255087980002656</t>
  </si>
  <si>
    <t>9780470989852</t>
  </si>
  <si>
    <t>30001000134728</t>
  </si>
  <si>
    <t>893120600</t>
  </si>
  <si>
    <t>QU 4 OU94FC 1984</t>
  </si>
  <si>
    <t>0                      QU 0004000OU 94FC        1984</t>
  </si>
  <si>
    <t>The cytoskeleton : cellular architecture and choreography / Alice Fulton.</t>
  </si>
  <si>
    <t>Fulton, Alice.</t>
  </si>
  <si>
    <t>London ; New York : Chapman and Hall, c1984.</t>
  </si>
  <si>
    <t>1984</t>
  </si>
  <si>
    <t>1993-07-16</t>
  </si>
  <si>
    <t>3943266692:eng</t>
  </si>
  <si>
    <t>10752379</t>
  </si>
  <si>
    <t>991000854239702656</t>
  </si>
  <si>
    <t>2265160690002656</t>
  </si>
  <si>
    <t>9780412255106</t>
  </si>
  <si>
    <t>30001000134678</t>
  </si>
  <si>
    <t>893648581</t>
  </si>
  <si>
    <t>QU 4 OU94M 1975</t>
  </si>
  <si>
    <t>0                      QU 0004000OU 94M         1975</t>
  </si>
  <si>
    <t>Hormone action / A. M. Malkinson.</t>
  </si>
  <si>
    <t>Malkinson, Alvin M. (Alvin Maynard), 1941-</t>
  </si>
  <si>
    <t>London : Chapman and Hall ; New York : Wiley, 1978 reprint, c1975.</t>
  </si>
  <si>
    <t>1998-05-04</t>
  </si>
  <si>
    <t>1989-06-17</t>
  </si>
  <si>
    <t>31956474:eng</t>
  </si>
  <si>
    <t>1529522</t>
  </si>
  <si>
    <t>991000855109702656</t>
  </si>
  <si>
    <t>2256728080002656</t>
  </si>
  <si>
    <t>9780470565780</t>
  </si>
  <si>
    <t>30001000134843</t>
  </si>
  <si>
    <t>893133900</t>
  </si>
  <si>
    <t>QU 4 OU94S 1984</t>
  </si>
  <si>
    <t>0                      QU 0004000OU 94S         1984</t>
  </si>
  <si>
    <t>Antibodies, their structure and function / M.W. Steward.</t>
  </si>
  <si>
    <t>Steward, M. W. (Michael W.), 1940-</t>
  </si>
  <si>
    <t>Outline studies in biology</t>
  </si>
  <si>
    <t>2002-10-04</t>
  </si>
  <si>
    <t>3473170:eng</t>
  </si>
  <si>
    <t>10185345</t>
  </si>
  <si>
    <t>991000854279702656</t>
  </si>
  <si>
    <t>2267640340002656</t>
  </si>
  <si>
    <t>9780412256400</t>
  </si>
  <si>
    <t>30001000134702</t>
  </si>
  <si>
    <t>893455217</t>
  </si>
  <si>
    <t>QU 4 OU94SJ 1982</t>
  </si>
  <si>
    <t>0                      QU 0004000OU 94SJ        1982</t>
  </si>
  <si>
    <t>Membrane biochemistry / E. Sim.</t>
  </si>
  <si>
    <t>Sim, E. (Edith)</t>
  </si>
  <si>
    <t>London ; New York : Chapman and Hall, 1982.</t>
  </si>
  <si>
    <t>478366:eng</t>
  </si>
  <si>
    <t>8533499</t>
  </si>
  <si>
    <t>991000854059702656</t>
  </si>
  <si>
    <t>2254704100002656</t>
  </si>
  <si>
    <t>9780412238109</t>
  </si>
  <si>
    <t>30001000134652</t>
  </si>
  <si>
    <t>893374003</t>
  </si>
  <si>
    <t>QU 4 OU94W 1983</t>
  </si>
  <si>
    <t>0                      QU 0004000OU 94W         1983</t>
  </si>
  <si>
    <t>The biochemistry of membrane transport / I.C. West.</t>
  </si>
  <si>
    <t>West, I. C. (Ian Charles)</t>
  </si>
  <si>
    <t>London ; New York : Chapman and Hall, c1983.</t>
  </si>
  <si>
    <t>20310902:eng</t>
  </si>
  <si>
    <t>9686853</t>
  </si>
  <si>
    <t>991000854019702656</t>
  </si>
  <si>
    <t>2269558980002656</t>
  </si>
  <si>
    <t>9780412241901</t>
  </si>
  <si>
    <t>30001000134645</t>
  </si>
  <si>
    <t>893267652</t>
  </si>
  <si>
    <t>QU 4 P2905i 1979</t>
  </si>
  <si>
    <t>0                      QU 0004000P  2905i       1979</t>
  </si>
  <si>
    <t>An introduction to human biochemistry / C.A. Pasternak.</t>
  </si>
  <si>
    <t>Pasternak, Charles A. (Charles Alexander)</t>
  </si>
  <si>
    <t>Oxford ; New York : Oxford Univ. Press, c1979.</t>
  </si>
  <si>
    <t>Oxford medical publications</t>
  </si>
  <si>
    <t>2003-10-02</t>
  </si>
  <si>
    <t>14608284:eng</t>
  </si>
  <si>
    <t>4193535</t>
  </si>
  <si>
    <t>991000854709702656</t>
  </si>
  <si>
    <t>2259272330002656</t>
  </si>
  <si>
    <t>9780192611277</t>
  </si>
  <si>
    <t>30001000134785</t>
  </si>
  <si>
    <t>893551851</t>
  </si>
  <si>
    <t>QU 4 P576 1975</t>
  </si>
  <si>
    <t>0                      QU 0004000P  576         1975</t>
  </si>
  <si>
    <t>Physiological and pharmacological biochemistry / edited by H. K. F. Blaschko.</t>
  </si>
  <si>
    <t>V. 12</t>
  </si>
  <si>
    <t>Blaschko, H. K. F., 1900-1993.</t>
  </si>
  <si>
    <t>London, Butterworths; Baltimore, University Park Press [1975]</t>
  </si>
  <si>
    <t>Biochemistry, series one, v. 12</t>
  </si>
  <si>
    <t>1992-01-27</t>
  </si>
  <si>
    <t>1987-09-18</t>
  </si>
  <si>
    <t>1929399:eng</t>
  </si>
  <si>
    <t>1009536</t>
  </si>
  <si>
    <t>991001487129702656</t>
  </si>
  <si>
    <t>2263681130002656</t>
  </si>
  <si>
    <t>9780839110767</t>
  </si>
  <si>
    <t>30001000575417</t>
  </si>
  <si>
    <t>893279156</t>
  </si>
  <si>
    <t>QU 4 P954 1983</t>
  </si>
  <si>
    <t>0                      QU 0004000P  954         1983</t>
  </si>
  <si>
    <t>Principles of biochemistry : mammalian biochemistry / Emil L. Smith ... [et al.].</t>
  </si>
  <si>
    <t>New York : McGraw-Hill, c1983.</t>
  </si>
  <si>
    <t>7th ed.</t>
  </si>
  <si>
    <t>5576707301:eng</t>
  </si>
  <si>
    <t>8669492</t>
  </si>
  <si>
    <t>991000758699702656</t>
  </si>
  <si>
    <t>2269945120002656</t>
  </si>
  <si>
    <t>9780070697638</t>
  </si>
  <si>
    <t>30001000054827</t>
  </si>
  <si>
    <t>893464636</t>
  </si>
  <si>
    <t>QU 4 P954g 1983</t>
  </si>
  <si>
    <t>0                      QU 0004000P  954g        1983</t>
  </si>
  <si>
    <t>Principles of biochemistry, general aspects / Emil L. Smith ... [et al.].</t>
  </si>
  <si>
    <t>2004-03-08</t>
  </si>
  <si>
    <t>4929126305:eng</t>
  </si>
  <si>
    <t>8669486</t>
  </si>
  <si>
    <t>991000758749702656</t>
  </si>
  <si>
    <t>2269946510002656</t>
  </si>
  <si>
    <t>9780070697621</t>
  </si>
  <si>
    <t>30001000054835</t>
  </si>
  <si>
    <t>893825631</t>
  </si>
  <si>
    <t>QU 4 R261b 1989</t>
  </si>
  <si>
    <t>0                      QU 0004000R  261b        1989</t>
  </si>
  <si>
    <t>Biochemistry / J. David Rawn.</t>
  </si>
  <si>
    <t>Rawn, J. David, 1944-</t>
  </si>
  <si>
    <t>Burlington, N.C. : N. Patterson Publishers, c1989.</t>
  </si>
  <si>
    <t>1989</t>
  </si>
  <si>
    <t>ncu</t>
  </si>
  <si>
    <t>1998-11-14</t>
  </si>
  <si>
    <t>1989-11-20</t>
  </si>
  <si>
    <t>21370490:eng</t>
  </si>
  <si>
    <t>19815180</t>
  </si>
  <si>
    <t>991001367059702656</t>
  </si>
  <si>
    <t>2267738630002656</t>
  </si>
  <si>
    <t>9780892784004</t>
  </si>
  <si>
    <t>30001001797283</t>
  </si>
  <si>
    <t>893821146</t>
  </si>
  <si>
    <t>QU 4 RE232GL 1977 v.2</t>
  </si>
  <si>
    <t>0                      QU 0004000RE 232GL       1977                                        v.2</t>
  </si>
  <si>
    <t>Proteinases in mammalian cells and tissues / editor, A.J. Barrett.</t>
  </si>
  <si>
    <t>V.2</t>
  </si>
  <si>
    <t>Amsterdam ; New York : North-Holland Pub. Co. ; New York : sole distributors for the U.S.A. and Canada, Elsevier/North-Holland, 1977.</t>
  </si>
  <si>
    <t>Research monographs in cell and tissue physiology ; v. 2</t>
  </si>
  <si>
    <t>1995-03-21</t>
  </si>
  <si>
    <t>309450708:eng</t>
  </si>
  <si>
    <t>2967592</t>
  </si>
  <si>
    <t>991000854959702656</t>
  </si>
  <si>
    <t>2269557780002656</t>
  </si>
  <si>
    <t>9780720406191</t>
  </si>
  <si>
    <t>30001000134819</t>
  </si>
  <si>
    <t>893374004</t>
  </si>
  <si>
    <t>QU 4 S121c 1997</t>
  </si>
  <si>
    <t>0                      QU 0004000S  121c        1997</t>
  </si>
  <si>
    <t>Chemistry for the health sciences / George I. Sackheim, Dennis D. Lehman.</t>
  </si>
  <si>
    <t>Sackheim, George I.</t>
  </si>
  <si>
    <t>Upper Saddle River, N.J. : Prentice Hall, c1998, [i.e. 1997]</t>
  </si>
  <si>
    <t>1997</t>
  </si>
  <si>
    <t>8th ed.</t>
  </si>
  <si>
    <t>2002-09-30</t>
  </si>
  <si>
    <t>1563191:eng</t>
  </si>
  <si>
    <t>37031282</t>
  </si>
  <si>
    <t>991001140209702656</t>
  </si>
  <si>
    <t>2254937440002656</t>
  </si>
  <si>
    <t>9780137443192</t>
  </si>
  <si>
    <t>30001003629344</t>
  </si>
  <si>
    <t>893831938</t>
  </si>
  <si>
    <t>QU 4 S325r 1973</t>
  </si>
  <si>
    <t>0                      QU 0004000S  325r        1973</t>
  </si>
  <si>
    <t>Regulation of amino acid metabolism in mammals / Bernard Schepartz.</t>
  </si>
  <si>
    <t>Schepartz, Bernard.</t>
  </si>
  <si>
    <t>Philadelphia : Saunders, c1973.</t>
  </si>
  <si>
    <t>1973</t>
  </si>
  <si>
    <t>Physiological chemistry ; 5</t>
  </si>
  <si>
    <t>1993-10-08</t>
  </si>
  <si>
    <t>1785041:eng</t>
  </si>
  <si>
    <t>737231</t>
  </si>
  <si>
    <t>991000854999702656</t>
  </si>
  <si>
    <t>2256698200002656</t>
  </si>
  <si>
    <t>9780721679556</t>
  </si>
  <si>
    <t>30001000134827</t>
  </si>
  <si>
    <t>893120601</t>
  </si>
  <si>
    <t>QU 4 S348c 1982</t>
  </si>
  <si>
    <t>0                      QU 0004000S  348c        1982</t>
  </si>
  <si>
    <t>The chemical basis of life : general organic and biological chemistry / George H. Schmid.</t>
  </si>
  <si>
    <t>Schmid, George H.</t>
  </si>
  <si>
    <t>Boston : Little, Brown, c1982.</t>
  </si>
  <si>
    <t xml:space="preserve">xx </t>
  </si>
  <si>
    <t>1995-09-25</t>
  </si>
  <si>
    <t>1008633089:eng</t>
  </si>
  <si>
    <t>8330633</t>
  </si>
  <si>
    <t>991000855079702656</t>
  </si>
  <si>
    <t>2261559090002656</t>
  </si>
  <si>
    <t>30001000134850</t>
  </si>
  <si>
    <t>893820638</t>
  </si>
  <si>
    <t>QU 4 S392e 1988</t>
  </si>
  <si>
    <t>0                      QU 0004000S  392e        1988</t>
  </si>
  <si>
    <t>Essentials of biochemistry / Dorothy E. Schumm.</t>
  </si>
  <si>
    <t>Schumm, Dorothy E., 1943-</t>
  </si>
  <si>
    <t>Philadelphia : Davis, c1988.</t>
  </si>
  <si>
    <t>Essentials of medical education series</t>
  </si>
  <si>
    <t>11806177:eng</t>
  </si>
  <si>
    <t>16092682</t>
  </si>
  <si>
    <t>991001367799702656</t>
  </si>
  <si>
    <t>2263274340002656</t>
  </si>
  <si>
    <t>9780803677616</t>
  </si>
  <si>
    <t>30001001797374</t>
  </si>
  <si>
    <t>893832122</t>
  </si>
  <si>
    <t>QU 4 S454b 1976</t>
  </si>
  <si>
    <t>0                      QU 0004000S  454b        1976</t>
  </si>
  <si>
    <t>Biochemical calculations : how to solve mathematical problems in general biochemistry / Irwin H. Segel.</t>
  </si>
  <si>
    <t>Segel, Irwin H., 1935-</t>
  </si>
  <si>
    <t>1998-02-03</t>
  </si>
  <si>
    <t>808608574:eng</t>
  </si>
  <si>
    <t>1531968</t>
  </si>
  <si>
    <t>991000855139702656</t>
  </si>
  <si>
    <t>2271868430002656</t>
  </si>
  <si>
    <t>9780471774211</t>
  </si>
  <si>
    <t>30001000134868</t>
  </si>
  <si>
    <t>893267653</t>
  </si>
  <si>
    <t>QU 4 S592c 1992</t>
  </si>
  <si>
    <t>0                      QU 0004000S  592c        1992</t>
  </si>
  <si>
    <t>Chemistry of biomolecules : an introduction / Richard J. Simmonds.</t>
  </si>
  <si>
    <t>Simmonds, Richard J.</t>
  </si>
  <si>
    <t>Cambridge : Royal Society of Chemistry, c1992.</t>
  </si>
  <si>
    <t>1996-06-08</t>
  </si>
  <si>
    <t>1992-08-19</t>
  </si>
  <si>
    <t>836743839:eng</t>
  </si>
  <si>
    <t>28029183</t>
  </si>
  <si>
    <t>991001340139702656</t>
  </si>
  <si>
    <t>2264314280002656</t>
  </si>
  <si>
    <t>9780851868837</t>
  </si>
  <si>
    <t>30001002455345</t>
  </si>
  <si>
    <t>893364016</t>
  </si>
  <si>
    <t>QU 4 S727b 1990</t>
  </si>
  <si>
    <t>0                      QU 0004000S  727b        1990</t>
  </si>
  <si>
    <t>Biochemistry / William M. Southerland.</t>
  </si>
  <si>
    <t>Southerland, William M.</t>
  </si>
  <si>
    <t>New York : Churchill Livingstone, c1990.</t>
  </si>
  <si>
    <t>1990</t>
  </si>
  <si>
    <t>Foundations of medicine</t>
  </si>
  <si>
    <t>1995-09-15</t>
  </si>
  <si>
    <t>1992-11-18</t>
  </si>
  <si>
    <t>21631339:eng</t>
  </si>
  <si>
    <t>20131051</t>
  </si>
  <si>
    <t>991001347229702656</t>
  </si>
  <si>
    <t>2264166570002656</t>
  </si>
  <si>
    <t>9780443085703</t>
  </si>
  <si>
    <t>30001002457796</t>
  </si>
  <si>
    <t>893279008</t>
  </si>
  <si>
    <t>QU 4 S825c 1993</t>
  </si>
  <si>
    <t>0                      QU 0004000S  825c        1993</t>
  </si>
  <si>
    <t>Core topics in biochemistry / J. Stenesh.</t>
  </si>
  <si>
    <t>Stenesh, J., 1927-</t>
  </si>
  <si>
    <t>Kalamazoo, Mich. : Cogno Press, c1993.</t>
  </si>
  <si>
    <t>1993</t>
  </si>
  <si>
    <t>miu</t>
  </si>
  <si>
    <t>1996-07-24</t>
  </si>
  <si>
    <t>1992-12-09</t>
  </si>
  <si>
    <t>385526:eng</t>
  </si>
  <si>
    <t>27124370</t>
  </si>
  <si>
    <t>991001348599702656</t>
  </si>
  <si>
    <t>2263097020002656</t>
  </si>
  <si>
    <t>9780963355201</t>
  </si>
  <si>
    <t>30001002458364</t>
  </si>
  <si>
    <t>893557870</t>
  </si>
  <si>
    <t>QU 4 S928b 1995</t>
  </si>
  <si>
    <t>0                      QU 0004000S  928b        1995</t>
  </si>
  <si>
    <t>Biochemistry / Lubert Stryer.</t>
  </si>
  <si>
    <t>2</t>
  </si>
  <si>
    <t>Stryer, Lubert.</t>
  </si>
  <si>
    <t>New York : W.H. Freeman, c1995.</t>
  </si>
  <si>
    <t>1995</t>
  </si>
  <si>
    <t>2005-08-10</t>
  </si>
  <si>
    <t>1999-10-14</t>
  </si>
  <si>
    <t>44253451:eng</t>
  </si>
  <si>
    <t>30893133</t>
  </si>
  <si>
    <t>991000797769702656</t>
  </si>
  <si>
    <t>2267246870002656</t>
  </si>
  <si>
    <t>9780716720096</t>
  </si>
  <si>
    <t>30001004080174</t>
  </si>
  <si>
    <t>893834339</t>
  </si>
  <si>
    <t>2002-05-23</t>
  </si>
  <si>
    <t>1995-06-22</t>
  </si>
  <si>
    <t>30001003148394</t>
  </si>
  <si>
    <t>893834338</t>
  </si>
  <si>
    <t>QU4  T355 2002</t>
  </si>
  <si>
    <t>0                      QU 0004000T  355         2002</t>
  </si>
  <si>
    <t>Textbook of biochemistry : with clinical correlations / edited by Thomas M. Devlin.</t>
  </si>
  <si>
    <t>New York : Wiley-Liss, c2002.</t>
  </si>
  <si>
    <t>5th ed.</t>
  </si>
  <si>
    <t>2002-10-22</t>
  </si>
  <si>
    <t>2002-10-17</t>
  </si>
  <si>
    <t>57236856:eng</t>
  </si>
  <si>
    <t>48802226</t>
  </si>
  <si>
    <t>991000331019702656</t>
  </si>
  <si>
    <t>2260347020002656</t>
  </si>
  <si>
    <t>9780471411369</t>
  </si>
  <si>
    <t>30001004500155</t>
  </si>
  <si>
    <t>893537071</t>
  </si>
  <si>
    <t>QU 4 T675b 1981</t>
  </si>
  <si>
    <t>0                      QU 0004000T  675b        1981</t>
  </si>
  <si>
    <t>Basic chemistry of life / Milton Toporek.</t>
  </si>
  <si>
    <t>Toporek, Milton, 1920-</t>
  </si>
  <si>
    <t>St. Louis : Mosby, 1981.</t>
  </si>
  <si>
    <t>1989-03-13</t>
  </si>
  <si>
    <t>1301036:eng</t>
  </si>
  <si>
    <t>6085333</t>
  </si>
  <si>
    <t>991000894449702656</t>
  </si>
  <si>
    <t>2260982040002656</t>
  </si>
  <si>
    <t>9780801650024</t>
  </si>
  <si>
    <t>30001000155137</t>
  </si>
  <si>
    <t>893815874</t>
  </si>
  <si>
    <t>QU 4 W494ea 1992</t>
  </si>
  <si>
    <t>0                      QU 0004000W  494ea       1992</t>
  </si>
  <si>
    <t>Essential biochemistry and molecular biology : a comprehensive review / Rudolf Werner.</t>
  </si>
  <si>
    <t>Werner, Rudolf, 1934-</t>
  </si>
  <si>
    <t>New York : Elsevier, c1992.</t>
  </si>
  <si>
    <t>1996-03-20</t>
  </si>
  <si>
    <t>1993-12-08</t>
  </si>
  <si>
    <t>478996980:eng</t>
  </si>
  <si>
    <t>24467827</t>
  </si>
  <si>
    <t>991000551329702656</t>
  </si>
  <si>
    <t>2267001450002656</t>
  </si>
  <si>
    <t>9780444016317</t>
  </si>
  <si>
    <t>30001002671388</t>
  </si>
  <si>
    <t>893158149</t>
  </si>
  <si>
    <t>QU 4 W582p 1973</t>
  </si>
  <si>
    <t>0                      QU 0004000W  582p        1973</t>
  </si>
  <si>
    <t>Principles of biochemistry / Abraham White, Philip Handler and Emil L. Smith.</t>
  </si>
  <si>
    <t>White, Abraham, 1908-1980.</t>
  </si>
  <si>
    <t>New York, McGraw-Hill c1973.</t>
  </si>
  <si>
    <t>1994-09-15</t>
  </si>
  <si>
    <t>684228</t>
  </si>
  <si>
    <t>991000758789702656</t>
  </si>
  <si>
    <t>2265945860002656</t>
  </si>
  <si>
    <t>9780070697584</t>
  </si>
  <si>
    <t>30001000054926</t>
  </si>
  <si>
    <t>893648082</t>
  </si>
  <si>
    <t>QU 4 Z93b 1998</t>
  </si>
  <si>
    <t>0                      QU 0004000Z  93b         1998</t>
  </si>
  <si>
    <t>Biochemistry / Geoffrey Zubay.</t>
  </si>
  <si>
    <t>Zubay, Geoffrey L.</t>
  </si>
  <si>
    <t>Dubuque, IA : Wm.C. Brown Publishers, c1998.</t>
  </si>
  <si>
    <t>1998</t>
  </si>
  <si>
    <t>2003-10-24</t>
  </si>
  <si>
    <t>347999:eng</t>
  </si>
  <si>
    <t>36785145</t>
  </si>
  <si>
    <t>991000326729702656</t>
  </si>
  <si>
    <t>2255610950002656</t>
  </si>
  <si>
    <t>9780697219008</t>
  </si>
  <si>
    <t>30001004377224</t>
  </si>
  <si>
    <t>893274967</t>
  </si>
  <si>
    <t>QU 11.1 J93e 1979</t>
  </si>
  <si>
    <t>0                      QU 0011100J  93e         1979</t>
  </si>
  <si>
    <t>The eighth day of creation : makers of the revolution in biology / by Horace Freeland Judson.</t>
  </si>
  <si>
    <t>Judson, Horace Freeland.</t>
  </si>
  <si>
    <t>New York : Simon and Schuster, c1979.</t>
  </si>
  <si>
    <t>2000-12-27</t>
  </si>
  <si>
    <t>1990-08-23</t>
  </si>
  <si>
    <t>516870:eng</t>
  </si>
  <si>
    <t>4497375</t>
  </si>
  <si>
    <t>991000894089702656</t>
  </si>
  <si>
    <t>2255581150002656</t>
  </si>
  <si>
    <t>9780671225407</t>
  </si>
  <si>
    <t>30001000155053</t>
  </si>
  <si>
    <t>893467706</t>
  </si>
  <si>
    <t>QU 11.1 T262d 1992</t>
  </si>
  <si>
    <t>0                      QU 0011100T  262d        1992</t>
  </si>
  <si>
    <t>A documentary history of biochemistry, 1770-1940 / Mikuláš Teich with Dorothy M. Needham.</t>
  </si>
  <si>
    <t>Teich, Mikuláš.</t>
  </si>
  <si>
    <t>Rutherford [N.J.] : Fairleigh Dickinson University Press, c1992.</t>
  </si>
  <si>
    <t>1992-08-31</t>
  </si>
  <si>
    <t>30106094:eng</t>
  </si>
  <si>
    <t>24545758</t>
  </si>
  <si>
    <t>991001341359702656</t>
  </si>
  <si>
    <t>2264544920002656</t>
  </si>
  <si>
    <t>9780838634875</t>
  </si>
  <si>
    <t>30001002455899</t>
  </si>
  <si>
    <t>893369321</t>
  </si>
  <si>
    <t>QU 13 B864 1988</t>
  </si>
  <si>
    <t>0                      QU 0013000B  864         1988</t>
  </si>
  <si>
    <t>Concise encyclopedia biochemistry.</t>
  </si>
  <si>
    <t>Brockhaus ABC Biochemie. English.</t>
  </si>
  <si>
    <t>Berlin ; New York : De Gruyter, c1988.</t>
  </si>
  <si>
    <t>English language ed., 2nd ed. / revised and expanded by Thomas Scott and Mary Eagleson.</t>
  </si>
  <si>
    <t>1988-08-16</t>
  </si>
  <si>
    <t>1988-07-21</t>
  </si>
  <si>
    <t>1909289141:eng</t>
  </si>
  <si>
    <t>17677472</t>
  </si>
  <si>
    <t>991001418959702656</t>
  </si>
  <si>
    <t>2259918880002656</t>
  </si>
  <si>
    <t>9780899254579</t>
  </si>
  <si>
    <t>30001001181645</t>
  </si>
  <si>
    <t>893268485</t>
  </si>
  <si>
    <t>QU 13 F686 1994</t>
  </si>
  <si>
    <t>0                      QU 0013000F  686         1994</t>
  </si>
  <si>
    <t>Foods &amp; nutrition encyclopedia / Audrey H. Ensminger ... [et al.].</t>
  </si>
  <si>
    <t>Boca Raton : CRC Press, c1994.</t>
  </si>
  <si>
    <t>flu</t>
  </si>
  <si>
    <t>1993-12-01</t>
  </si>
  <si>
    <t>1993-10-25</t>
  </si>
  <si>
    <t>5481784818:eng</t>
  </si>
  <si>
    <t>28963802</t>
  </si>
  <si>
    <t>991001488419702656</t>
  </si>
  <si>
    <t>2255074100002656</t>
  </si>
  <si>
    <t>9780849389801</t>
  </si>
  <si>
    <t>30001002580001</t>
  </si>
  <si>
    <t>893121546</t>
  </si>
  <si>
    <t>30001002579987</t>
  </si>
  <si>
    <t>893162075</t>
  </si>
  <si>
    <t>QU 13 S825d 1989</t>
  </si>
  <si>
    <t>0                      QU 0013000S  825d        1989</t>
  </si>
  <si>
    <t>Dictionary of biochemistry and molecular biology / J. Stenesh.</t>
  </si>
  <si>
    <t>New York : Wiley, c1989.</t>
  </si>
  <si>
    <t>1991-06-27</t>
  </si>
  <si>
    <t>17089173:eng</t>
  </si>
  <si>
    <t>18988409</t>
  </si>
  <si>
    <t>991000940579702656</t>
  </si>
  <si>
    <t>2257914980002656</t>
  </si>
  <si>
    <t>9780471840893</t>
  </si>
  <si>
    <t>30001002192526</t>
  </si>
  <si>
    <t>893831765</t>
  </si>
  <si>
    <t>QU 18 C451b 1994</t>
  </si>
  <si>
    <t>0                      QU 0018000C  451b        1994</t>
  </si>
  <si>
    <t>Biochemistry / Pamela C. Champe, Richard A. Harvey ; technical consultant, F. Vella ; computer graphics, Michael Cooper.</t>
  </si>
  <si>
    <t>Champe, Pamela C.</t>
  </si>
  <si>
    <t>Philadelphia : J.B. Lippincott, c1994.</t>
  </si>
  <si>
    <t>Lippincott's illustrated reviews</t>
  </si>
  <si>
    <t>2009-03-02</t>
  </si>
  <si>
    <t>1995-04-04</t>
  </si>
  <si>
    <t>2908825681:eng</t>
  </si>
  <si>
    <t>29564488</t>
  </si>
  <si>
    <t>991001398729702656</t>
  </si>
  <si>
    <t>2255542050002656</t>
  </si>
  <si>
    <t>9780397510917</t>
  </si>
  <si>
    <t>30001003147081</t>
  </si>
  <si>
    <t>893149141</t>
  </si>
  <si>
    <t>QU 18 C686b 1985</t>
  </si>
  <si>
    <t>0                      QU 0018000C  686b        1985</t>
  </si>
  <si>
    <t>Biochemistry : a synopsis / Diane S. Colby.</t>
  </si>
  <si>
    <t>Colby, Diane S.</t>
  </si>
  <si>
    <t>Los Altos, Calif. : Lange Medical, c1985.</t>
  </si>
  <si>
    <t>Concise medical library for practitioner and student</t>
  </si>
  <si>
    <t>2001-10-16</t>
  </si>
  <si>
    <t>905888457:eng</t>
  </si>
  <si>
    <t>12984189</t>
  </si>
  <si>
    <t>991000895269702656</t>
  </si>
  <si>
    <t>2266221370002656</t>
  </si>
  <si>
    <t>9780870413308</t>
  </si>
  <si>
    <t>30001000155434</t>
  </si>
  <si>
    <t>893455251</t>
  </si>
  <si>
    <t>QU 18 H173b 1988</t>
  </si>
  <si>
    <t>0                      QU 0018000H  173b        1988</t>
  </si>
  <si>
    <t>Biochemistry / Ian D.K. Halkerston.</t>
  </si>
  <si>
    <t>Halkerston, Ian D. K.</t>
  </si>
  <si>
    <t>Media, Pa. : Harwal Pub. Co., c1988.</t>
  </si>
  <si>
    <t>The National medical series for independent study.</t>
  </si>
  <si>
    <t>2007-03-16</t>
  </si>
  <si>
    <t>1989-02-23</t>
  </si>
  <si>
    <t>5576749428:eng</t>
  </si>
  <si>
    <t>16872170</t>
  </si>
  <si>
    <t>991001238619702656</t>
  </si>
  <si>
    <t>2266617850002656</t>
  </si>
  <si>
    <t>9780471855545</t>
  </si>
  <si>
    <t>30001001675141</t>
  </si>
  <si>
    <t>893460380</t>
  </si>
  <si>
    <t>QU 18 H636b 1994</t>
  </si>
  <si>
    <t>0                      QU 0018000H  636b        1994</t>
  </si>
  <si>
    <t>Biochemistry for the medical sciences : an integrated case approach / S.J. Higgins, A.J. Turner &amp; E.J. Wood ; [foreword by Thomas Devlin].</t>
  </si>
  <si>
    <t>Higgins, S. J. (Steve J.)</t>
  </si>
  <si>
    <t>Harlow, Essex : Longman Scientific &amp; Technical ; New York : J. Wiley, c1994.</t>
  </si>
  <si>
    <t>2004-07-26</t>
  </si>
  <si>
    <t>1995-02-13</t>
  </si>
  <si>
    <t>836795548:eng</t>
  </si>
  <si>
    <t>28222755</t>
  </si>
  <si>
    <t>991001396779702656</t>
  </si>
  <si>
    <t>2261872190002656</t>
  </si>
  <si>
    <t>9780470221488</t>
  </si>
  <si>
    <t>30001003146273</t>
  </si>
  <si>
    <t>893287375</t>
  </si>
  <si>
    <t>QU 18 J78b 1980</t>
  </si>
  <si>
    <t>0                      QU 0018000J  78b         1980</t>
  </si>
  <si>
    <t>Blood gases and acid-base physiology / Norman L. Jones.</t>
  </si>
  <si>
    <t>Jones, Norman L.</t>
  </si>
  <si>
    <t>New York : Decker, c1980.</t>
  </si>
  <si>
    <t>1980</t>
  </si>
  <si>
    <t>1996-08-31</t>
  </si>
  <si>
    <t>10196621:eng</t>
  </si>
  <si>
    <t>5825081</t>
  </si>
  <si>
    <t>991000895209702656</t>
  </si>
  <si>
    <t>2259285340002656</t>
  </si>
  <si>
    <t>9780913258651</t>
  </si>
  <si>
    <t>30001000155384</t>
  </si>
  <si>
    <t>893546167</t>
  </si>
  <si>
    <t>QU 18 K17b 1990</t>
  </si>
  <si>
    <t>0                      QU 0018000K  17b         1990</t>
  </si>
  <si>
    <t>Biochemistry / [as developed by Stanley H. Kaplan].</t>
  </si>
  <si>
    <t>Stanley H. Kaplan Educational Center (New York, N.Y.)</t>
  </si>
  <si>
    <t>[New York, N.Y.] : S.H. Kaplan Educational Center, c1990.</t>
  </si>
  <si>
    <t>Basic medical science notes</t>
  </si>
  <si>
    <t>2004-12-07</t>
  </si>
  <si>
    <t>1993-05-07</t>
  </si>
  <si>
    <t>320120875:eng</t>
  </si>
  <si>
    <t>26048820</t>
  </si>
  <si>
    <t>991001508799702656</t>
  </si>
  <si>
    <t>2259965220002656</t>
  </si>
  <si>
    <t>30001002600288</t>
  </si>
  <si>
    <t>893377314</t>
  </si>
  <si>
    <t>QU 18 K96b 1993</t>
  </si>
  <si>
    <t>0                      QU 0018000K  96b         1993</t>
  </si>
  <si>
    <t>Biochemistry : review for new national boards / Ajit Kumar, Kurt E. Johnson.</t>
  </si>
  <si>
    <t>Kumar, Ajit.</t>
  </si>
  <si>
    <t>Alexandria, Va. : J&amp;S Pub. Co., c1993.</t>
  </si>
  <si>
    <t>vau</t>
  </si>
  <si>
    <t>1993-09-02</t>
  </si>
  <si>
    <t>228485828:eng</t>
  </si>
  <si>
    <t>27876325</t>
  </si>
  <si>
    <t>991001513969702656</t>
  </si>
  <si>
    <t>2257294570002656</t>
  </si>
  <si>
    <t>9780963287311</t>
  </si>
  <si>
    <t>30001002601427</t>
  </si>
  <si>
    <t>893460663</t>
  </si>
  <si>
    <t>QU 18 L947L 1995</t>
  </si>
  <si>
    <t>0                      QU 0018000L  947L        1995</t>
  </si>
  <si>
    <t>Learning biochemistry : 100 case oriented problems / Richard F. Ludueña.</t>
  </si>
  <si>
    <t>Ludueña, Richard F.</t>
  </si>
  <si>
    <t>New York : Wiley-Liss, c1995.</t>
  </si>
  <si>
    <t>1995-03-31</t>
  </si>
  <si>
    <t>2278770349:eng</t>
  </si>
  <si>
    <t>31515523</t>
  </si>
  <si>
    <t>991001398359702656</t>
  </si>
  <si>
    <t>2272036860002656</t>
  </si>
  <si>
    <t>9780471018872</t>
  </si>
  <si>
    <t>30001003146984</t>
  </si>
  <si>
    <t>893149140</t>
  </si>
  <si>
    <t>QU 18 M788q 1969</t>
  </si>
  <si>
    <t>0                      QU 0018000M  788q        1969</t>
  </si>
  <si>
    <t>Quantitative problems in the biochemical sciences / ex Montgomery, Charles A. Swenson.</t>
  </si>
  <si>
    <t>San Francisco : W. H. Freeman, [1969]</t>
  </si>
  <si>
    <t>1969</t>
  </si>
  <si>
    <t>1994-05-09</t>
  </si>
  <si>
    <t>1988-03-02</t>
  </si>
  <si>
    <t>447011:eng</t>
  </si>
  <si>
    <t>4477</t>
  </si>
  <si>
    <t>991000895179702656</t>
  </si>
  <si>
    <t>2266295010002656</t>
  </si>
  <si>
    <t>30001000155376</t>
  </si>
  <si>
    <t>893283992</t>
  </si>
  <si>
    <t>QU 25 B414g 1985</t>
  </si>
  <si>
    <t>0                      QU 0025000B  414g        1985</t>
  </si>
  <si>
    <t>Glycoprotein and proteoglycan techniques / J.G. Beeley.</t>
  </si>
  <si>
    <t>Beeley, J. G.</t>
  </si>
  <si>
    <t>Amsterdam ; New York : Elsevier ; New York, NY, USA : Sole distributors for the USA and Canada, Elsevier Science Pub. Co., 1985.</t>
  </si>
  <si>
    <t>Laboratory techniques in biochemistry and molecular biology ; v. 16</t>
  </si>
  <si>
    <t>2000-05-02</t>
  </si>
  <si>
    <t>5179415:eng</t>
  </si>
  <si>
    <t>15366308</t>
  </si>
  <si>
    <t>991000895059702656</t>
  </si>
  <si>
    <t>2259913740002656</t>
  </si>
  <si>
    <t>9780444806512</t>
  </si>
  <si>
    <t>30001000155301</t>
  </si>
  <si>
    <t>893273438</t>
  </si>
  <si>
    <t>QU 25 B651 1983</t>
  </si>
  <si>
    <t>0                      QU 0025000B  651         1983</t>
  </si>
  <si>
    <t>Biochemical research techniques : a practical introduction / edited by John M. Wrigglesworth.</t>
  </si>
  <si>
    <t>Chichester (Sussex) ; New York : Wiley, c1983.</t>
  </si>
  <si>
    <t>1995-01-24</t>
  </si>
  <si>
    <t>3769323933:eng</t>
  </si>
  <si>
    <t>8953922</t>
  </si>
  <si>
    <t>991000895709702656</t>
  </si>
  <si>
    <t>2269700910002656</t>
  </si>
  <si>
    <t>9780471103233</t>
  </si>
  <si>
    <t>30001000155731</t>
  </si>
  <si>
    <t>893120687</t>
  </si>
  <si>
    <t>QU 25 E21p 1991</t>
  </si>
  <si>
    <t>0                      QU 0025000E  21p         1991</t>
  </si>
  <si>
    <t>Protein methods / Stuart J. Edelstein, Daniel M. Bollag.</t>
  </si>
  <si>
    <t>Edelstein, Stuart J.</t>
  </si>
  <si>
    <t>New York, NY : Wiley-Liss, c1991.</t>
  </si>
  <si>
    <t>1991</t>
  </si>
  <si>
    <t>2010-01-12</t>
  </si>
  <si>
    <t>1991-04-24</t>
  </si>
  <si>
    <t>24548887:eng</t>
  </si>
  <si>
    <t>22490767</t>
  </si>
  <si>
    <t>991000933179702656</t>
  </si>
  <si>
    <t>2265200120002656</t>
  </si>
  <si>
    <t>9780471568711</t>
  </si>
  <si>
    <t>30001002190215</t>
  </si>
  <si>
    <t>893450621</t>
  </si>
  <si>
    <t>QU 25 G3215 1981</t>
  </si>
  <si>
    <t>0                      QU 0025000G  3215        1981</t>
  </si>
  <si>
    <t>Gel electrophoresis of proteins : a practical approach / edited by B.D. Hames, D. Rickwood.</t>
  </si>
  <si>
    <t>London ; Washington, D.C. : IRL Press, c1981.</t>
  </si>
  <si>
    <t>2001-08-27</t>
  </si>
  <si>
    <t>1989-09-08</t>
  </si>
  <si>
    <t>793877437:eng</t>
  </si>
  <si>
    <t>9043632</t>
  </si>
  <si>
    <t>991000895679702656</t>
  </si>
  <si>
    <t>2272328580002656</t>
  </si>
  <si>
    <t>9780904147223</t>
  </si>
  <si>
    <t>30001000155699</t>
  </si>
  <si>
    <t>893736000</t>
  </si>
  <si>
    <t>QU25 G5688 2000</t>
  </si>
  <si>
    <t>0                      QU 0025000G  5688        2000</t>
  </si>
  <si>
    <t>Glycoprotein methods and protocols : the mucins / edited by Anthony P. Corfield.</t>
  </si>
  <si>
    <t>Totowa, N.J. : Humana Press, c2000.</t>
  </si>
  <si>
    <t>Methods in molecular biology ; v. 125</t>
  </si>
  <si>
    <t>2005-02-09</t>
  </si>
  <si>
    <t>2004-11-10</t>
  </si>
  <si>
    <t>1034433755:eng</t>
  </si>
  <si>
    <t>40965001</t>
  </si>
  <si>
    <t>991000409549702656</t>
  </si>
  <si>
    <t>2267924730002656</t>
  </si>
  <si>
    <t>9780896037205</t>
  </si>
  <si>
    <t>30001004924926</t>
  </si>
  <si>
    <t>893275041</t>
  </si>
  <si>
    <t>QU 25 H121i 1984</t>
  </si>
  <si>
    <t>0                      QU 0025000H  121i        1984</t>
  </si>
  <si>
    <t>An introduction to recombinant DNA techniques : basic experiments in gene manipulation / Perry B. Hackett, James A. Fuchs, Joachim W. Messing.</t>
  </si>
  <si>
    <t>Hackett, Perry B.</t>
  </si>
  <si>
    <t>Menlo Park, Calif. : Benjamin/Cummings, c1984.</t>
  </si>
  <si>
    <t>Benjamin/Cummings series in the life sciences</t>
  </si>
  <si>
    <t>1998-05-06</t>
  </si>
  <si>
    <t>3784278:eng</t>
  </si>
  <si>
    <t>10046273</t>
  </si>
  <si>
    <t>991000895599702656</t>
  </si>
  <si>
    <t>2264978760002656</t>
  </si>
  <si>
    <t>9780805336726</t>
  </si>
  <si>
    <t>30001000155681</t>
  </si>
  <si>
    <t>893267688</t>
  </si>
  <si>
    <t>QU 25 I61 1980</t>
  </si>
  <si>
    <t>0                      QU 0025000I  61          1980</t>
  </si>
  <si>
    <t>An Introduction to spectroscopy for biochemists / edited by S.B. Brown.</t>
  </si>
  <si>
    <t>London ; New York : Academic Press, c1980.</t>
  </si>
  <si>
    <t>1993-05-04</t>
  </si>
  <si>
    <t>365237901:eng</t>
  </si>
  <si>
    <t>6806572</t>
  </si>
  <si>
    <t>991000895509702656</t>
  </si>
  <si>
    <t>2264060040002656</t>
  </si>
  <si>
    <t>9780121370800</t>
  </si>
  <si>
    <t>30001000155665</t>
  </si>
  <si>
    <t>893651798</t>
  </si>
  <si>
    <t>QU 25 K39h 1987</t>
  </si>
  <si>
    <t>0                      QU 0025000K  39h         1987</t>
  </si>
  <si>
    <t>High-resolution electrophoresis and immunofixation : techniques and interpretation / David F. Keren.</t>
  </si>
  <si>
    <t>Keren, David F.</t>
  </si>
  <si>
    <t>Boston : Butterworths, c1987.</t>
  </si>
  <si>
    <t>1994-03-04</t>
  </si>
  <si>
    <t>1987-12-10</t>
  </si>
  <si>
    <t>7761478:eng</t>
  </si>
  <si>
    <t>14187620</t>
  </si>
  <si>
    <t>991001533659702656</t>
  </si>
  <si>
    <t>2271448830002656</t>
  </si>
  <si>
    <t>9780409900217</t>
  </si>
  <si>
    <t>30001000622250</t>
  </si>
  <si>
    <t>893268586</t>
  </si>
  <si>
    <t>QU 25 L123 1983 v.11</t>
  </si>
  <si>
    <t>0                      QU 0025000L  123         1983                                        v.11</t>
  </si>
  <si>
    <t>Isoelectric focusing : theory, methodology, and applications / Pier Giorgio Righetti.</t>
  </si>
  <si>
    <t>V.11</t>
  </si>
  <si>
    <t>Righetti, P. G.</t>
  </si>
  <si>
    <t>Amsterdam ; New York : Elsevier Biomedical Press ; New York : Sole distributors for the U.S.A. and Canada, Elsevier-North Holland, 1983.</t>
  </si>
  <si>
    <t>Laboratory techniques in biochemistry and molecular biology ; v. 11</t>
  </si>
  <si>
    <t>1995-04-19</t>
  </si>
  <si>
    <t>42617709:eng</t>
  </si>
  <si>
    <t>9111532</t>
  </si>
  <si>
    <t>991000895459702656</t>
  </si>
  <si>
    <t>2255290910002656</t>
  </si>
  <si>
    <t>9780444804679</t>
  </si>
  <si>
    <t>30001000155616</t>
  </si>
  <si>
    <t>893546168</t>
  </si>
  <si>
    <t>QU 25 L123a 1987 v.17</t>
  </si>
  <si>
    <t>0                      QU 0025000L  123a        1987                                        v.17</t>
  </si>
  <si>
    <t>Applications of HPLC in biochemistry / A. Fallon, R.F.G. Booth, and L.D. Bell.</t>
  </si>
  <si>
    <t>V.17</t>
  </si>
  <si>
    <t>Fallon, A.</t>
  </si>
  <si>
    <t>Amsterdam ; New York : Elsevier ; New York, NY, U.S.A. : Sole distributors for the U.S.A. and Canada, Elsevier Science Pub. Co., c1987.</t>
  </si>
  <si>
    <t>Laboratory techniques in biochemistry and molecular biology ; v. 17</t>
  </si>
  <si>
    <t>2002-02-21</t>
  </si>
  <si>
    <t>10066605:eng</t>
  </si>
  <si>
    <t>15365150</t>
  </si>
  <si>
    <t>991001239739702656</t>
  </si>
  <si>
    <t>2261323360002656</t>
  </si>
  <si>
    <t>9780444808622</t>
  </si>
  <si>
    <t>30001001675307</t>
  </si>
  <si>
    <t>893161791</t>
  </si>
  <si>
    <t>QU 25 L123m 1988 v.18</t>
  </si>
  <si>
    <t>0                      QU 0025000L  123m        1988                                        v.18</t>
  </si>
  <si>
    <t>Methods of cell separation / Paul T. Sharpe.</t>
  </si>
  <si>
    <t>V.18</t>
  </si>
  <si>
    <t>Sharpe, Paul T.</t>
  </si>
  <si>
    <t>Amsterdam ; New York : Elsevier ; New York : Sole distributors for U.S.A. and Canada, Elsevier Science Pub. Co., c1988.</t>
  </si>
  <si>
    <t>Laboratory techniques in biochemistry and molecular biology ; v. 18</t>
  </si>
  <si>
    <t>1990-02-16</t>
  </si>
  <si>
    <t>21178535:eng</t>
  </si>
  <si>
    <t>19555123</t>
  </si>
  <si>
    <t>991001239779702656</t>
  </si>
  <si>
    <t>2260326310002656</t>
  </si>
  <si>
    <t>9780444809278</t>
  </si>
  <si>
    <t>30001001675323</t>
  </si>
  <si>
    <t>893273920</t>
  </si>
  <si>
    <t>QU 25 L123s 1988 v.19</t>
  </si>
  <si>
    <t>0                      QU 0025000L  123s        1988                                        v.19</t>
  </si>
  <si>
    <t>Synthetic polypeptides as antigens / M.H.V. Van Regenmortel ... [et al.].</t>
  </si>
  <si>
    <t>V.19</t>
  </si>
  <si>
    <t>Laboratory techniques in biochemistry and molecular biology ; v. 19</t>
  </si>
  <si>
    <t>1990-08-31</t>
  </si>
  <si>
    <t>766081708:eng</t>
  </si>
  <si>
    <t>20935990</t>
  </si>
  <si>
    <t>991001239599702656</t>
  </si>
  <si>
    <t>2266184270002656</t>
  </si>
  <si>
    <t>9780444809742</t>
  </si>
  <si>
    <t>30001001675281</t>
  </si>
  <si>
    <t>893648999</t>
  </si>
  <si>
    <t>QU 25 L764 1994</t>
  </si>
  <si>
    <t>0                      QU 0025000L  764         1994</t>
  </si>
  <si>
    <t>Lipid chromatographic analysis / edited by Takayuki Shibamoto.</t>
  </si>
  <si>
    <t>New York : Marcel Dekker, c1994.</t>
  </si>
  <si>
    <t>Chromatographic science series ; v. 65.</t>
  </si>
  <si>
    <t>2001-09-05</t>
  </si>
  <si>
    <t>1994-01-17</t>
  </si>
  <si>
    <t>55751141:eng</t>
  </si>
  <si>
    <t>28965002</t>
  </si>
  <si>
    <t>991000652159702656</t>
  </si>
  <si>
    <t>2256534280002656</t>
  </si>
  <si>
    <t>9780824789411</t>
  </si>
  <si>
    <t>30001002691261</t>
  </si>
  <si>
    <t>893160729</t>
  </si>
  <si>
    <t>QU 25 M5904 1983-84 v.1/2/5</t>
  </si>
  <si>
    <t>0                      QU 0025000M  5904        1983                                        -84 v.1 2 5</t>
  </si>
  <si>
    <t>Methods of enzymatic analysis / editor-in-chief, Hans Ulrich Bergmeyer, editors, Jürgen Bergmeyer and Marianne Grassl.</t>
  </si>
  <si>
    <t>Weinheim ; Deerfield Beach, Fla. : Verlag Chemie, c1983-c1984.</t>
  </si>
  <si>
    <t>1989-06-19</t>
  </si>
  <si>
    <t>1991-05-20</t>
  </si>
  <si>
    <t>1988-05-14</t>
  </si>
  <si>
    <t>10076538478:eng</t>
  </si>
  <si>
    <t>11371582</t>
  </si>
  <si>
    <t>991000895319702656</t>
  </si>
  <si>
    <t>2258767420002656</t>
  </si>
  <si>
    <t>9780895732316</t>
  </si>
  <si>
    <t>30001000155541</t>
  </si>
  <si>
    <t>893467708</t>
  </si>
  <si>
    <t>V. 5</t>
  </si>
  <si>
    <t>30001001087297</t>
  </si>
  <si>
    <t>893464975</t>
  </si>
  <si>
    <t>30001001087289</t>
  </si>
  <si>
    <t>893464976</t>
  </si>
  <si>
    <t>QU 25 M5904 1983-84 v.3-4</t>
  </si>
  <si>
    <t>0                      QU 0025000M  5904        1983                                        -84 v.3-4</t>
  </si>
  <si>
    <t>Methods of enzymatic analysis / editor-in-chief, Hans Ulrich Bergmeyer ; editors, Jürgen Bergmeyer and Marianne Grassl.</t>
  </si>
  <si>
    <t>Weinheim ; Deerfield Beach, Fla. : Verlag Chemie, c1983-84.</t>
  </si>
  <si>
    <t>2000-08-17</t>
  </si>
  <si>
    <t>1988-12-30</t>
  </si>
  <si>
    <t>991000895819702656</t>
  </si>
  <si>
    <t>2271932210002656</t>
  </si>
  <si>
    <t>30001000157034</t>
  </si>
  <si>
    <t>893551887</t>
  </si>
  <si>
    <t>V. 4</t>
  </si>
  <si>
    <t>30001000157042</t>
  </si>
  <si>
    <t>893557378</t>
  </si>
  <si>
    <t>QU 25 S422p 1994</t>
  </si>
  <si>
    <t>0                      QU 0025000S  422p        1994</t>
  </si>
  <si>
    <t>Protein purification : priciples and practice / Robert K. Scopes.</t>
  </si>
  <si>
    <t>Scopes, Robert K.</t>
  </si>
  <si>
    <t>New York : Springer-Verlag, c1994.</t>
  </si>
  <si>
    <t>Springer advanced texts in chemistry</t>
  </si>
  <si>
    <t>2009-03-06</t>
  </si>
  <si>
    <t>1993-11-23</t>
  </si>
  <si>
    <t>806855284:eng</t>
  </si>
  <si>
    <t>28678541</t>
  </si>
  <si>
    <t>991000544999702656</t>
  </si>
  <si>
    <t>2267146840002656</t>
  </si>
  <si>
    <t>9780387940724</t>
  </si>
  <si>
    <t>30001002669895</t>
  </si>
  <si>
    <t>893550106</t>
  </si>
  <si>
    <t>QU 25 T974 1999</t>
  </si>
  <si>
    <t>0                      QU 0025000T  974         1999</t>
  </si>
  <si>
    <t>2-D proteome analysis protocols / edited by Andrew J. Link.</t>
  </si>
  <si>
    <t>Totowa, N.J. : Humana Press, c1999.</t>
  </si>
  <si>
    <t>1999</t>
  </si>
  <si>
    <t>Methods in molecular biology ; v. 112</t>
  </si>
  <si>
    <t>2001-09-23</t>
  </si>
  <si>
    <t>1999-02-19</t>
  </si>
  <si>
    <t>766947812:eng</t>
  </si>
  <si>
    <t>39633795</t>
  </si>
  <si>
    <t>991001534749702656</t>
  </si>
  <si>
    <t>2268646360002656</t>
  </si>
  <si>
    <t>9780896035249</t>
  </si>
  <si>
    <t>30001003962422</t>
  </si>
  <si>
    <t>893465637</t>
  </si>
  <si>
    <t>QU 34 B255b 1956</t>
  </si>
  <si>
    <t>0                      QU 0034000B  255b        1956</t>
  </si>
  <si>
    <t>Bacterial fermentations.</t>
  </si>
  <si>
    <t>Barker, H. A. (Horace Albert), 1907-2000.</t>
  </si>
  <si>
    <t>New York, : Wiley, 1956.</t>
  </si>
  <si>
    <t>1956</t>
  </si>
  <si>
    <t>Ciba lectures in microbial biochemistry ; 1956</t>
  </si>
  <si>
    <t>1994-01-16</t>
  </si>
  <si>
    <t>1987-12-23</t>
  </si>
  <si>
    <t>322553094:eng</t>
  </si>
  <si>
    <t>557622</t>
  </si>
  <si>
    <t>991000896299702656</t>
  </si>
  <si>
    <t>2261502800002656</t>
  </si>
  <si>
    <t>30001000157216</t>
  </si>
  <si>
    <t>893460105</t>
  </si>
  <si>
    <t>QU 34 B935i 1964</t>
  </si>
  <si>
    <t>0                      QU 0034000B  935i        1964</t>
  </si>
  <si>
    <t>An introduction to physical biochemistry / Henry B. Bull.</t>
  </si>
  <si>
    <t>Bull, Henry B. (Henry Bolivar), 1905-1982.</t>
  </si>
  <si>
    <t>Philadelphia : F.A. Davis Co., 1964.</t>
  </si>
  <si>
    <t>1964</t>
  </si>
  <si>
    <t>1988-12-20</t>
  </si>
  <si>
    <t>3855432417:eng</t>
  </si>
  <si>
    <t>485562</t>
  </si>
  <si>
    <t>991000896259702656</t>
  </si>
  <si>
    <t>2257486090002656</t>
  </si>
  <si>
    <t>30001000157190</t>
  </si>
  <si>
    <t>893464977</t>
  </si>
  <si>
    <t>QU 34 D611 1985</t>
  </si>
  <si>
    <t>0                      QU 0034000D  611         1985</t>
  </si>
  <si>
    <t>Disease processes / edited by Roland C. Aloia and Joan M. Boggs.</t>
  </si>
  <si>
    <t>Orlando : Academic Press, c1985.</t>
  </si>
  <si>
    <t>Membrane fluidity in biology ; v. 3</t>
  </si>
  <si>
    <t>1990-12-18</t>
  </si>
  <si>
    <t>3855320887:eng</t>
  </si>
  <si>
    <t>10723818</t>
  </si>
  <si>
    <t>991000896229702656</t>
  </si>
  <si>
    <t>2255648710002656</t>
  </si>
  <si>
    <t>9780120530038</t>
  </si>
  <si>
    <t>30001000157182</t>
  </si>
  <si>
    <t>893161434</t>
  </si>
  <si>
    <t>QU 34 H238b 1997</t>
  </si>
  <si>
    <t>0                      QU 0034000H  238b        1997</t>
  </si>
  <si>
    <t>Biomacromolecules--from 3-D to applications / Thirty-fourth Hanford Symposium on Health and the Environment, October 23-26, 1995, Pasco, Washington, U.S.A. ; edited by Rick L. Ornstein.</t>
  </si>
  <si>
    <t>Hanford Symposium on Health and the Environment (34th : 1995 : Pasco, Wash.)</t>
  </si>
  <si>
    <t>Columbus, OH : Battelle Press, c1997.</t>
  </si>
  <si>
    <t>ohu</t>
  </si>
  <si>
    <t>1998-02-27</t>
  </si>
  <si>
    <t>138809106:eng</t>
  </si>
  <si>
    <t>35172551</t>
  </si>
  <si>
    <t>991001295579702656</t>
  </si>
  <si>
    <t>2257226780002656</t>
  </si>
  <si>
    <t>9781574770193</t>
  </si>
  <si>
    <t>30001003741982</t>
  </si>
  <si>
    <t>893455672</t>
  </si>
  <si>
    <t>QU 34 K66 1972</t>
  </si>
  <si>
    <t>0                      QU 0034000K  66          1972</t>
  </si>
  <si>
    <t>Introduction to chemical thermodynamics / Irving M. Klotz , Robert M. Rosenberg ; with advice and suggestions from Thomas Fraser Young.</t>
  </si>
  <si>
    <t>Klotz, Irving M. (Irving Myron), 1916-2005.</t>
  </si>
  <si>
    <t>Menlo Park, Calif. : W. A. Benjamin, 1972</t>
  </si>
  <si>
    <t>1972</t>
  </si>
  <si>
    <t>-- 2d ed. --</t>
  </si>
  <si>
    <t>1999-09-10</t>
  </si>
  <si>
    <t>3855446744:eng</t>
  </si>
  <si>
    <t>410490</t>
  </si>
  <si>
    <t>991000896199702656</t>
  </si>
  <si>
    <t>2262529050002656</t>
  </si>
  <si>
    <t>30001000157166</t>
  </si>
  <si>
    <t>893283994</t>
  </si>
  <si>
    <t>QU 34 K96a 1982</t>
  </si>
  <si>
    <t>0                      QU 0034000K  96a         1982</t>
  </si>
  <si>
    <t>Allosteric enzymes : kinetic behaviour / B.I. Kurganov ; translated by R.F. Brookes ; editor in chief, V.A. Yakovlev.</t>
  </si>
  <si>
    <t>Kurganov, B. I. (Boris Ivanovich)</t>
  </si>
  <si>
    <t>Chichester ; New York : J. Wiley, c1982.</t>
  </si>
  <si>
    <t>1991-04-14</t>
  </si>
  <si>
    <t>9141715:eng</t>
  </si>
  <si>
    <t>8034927</t>
  </si>
  <si>
    <t>991000896169702656</t>
  </si>
  <si>
    <t>2269980270002656</t>
  </si>
  <si>
    <t>9780471101956</t>
  </si>
  <si>
    <t>30001000157158</t>
  </si>
  <si>
    <t>893557379</t>
  </si>
  <si>
    <t>QU 34 O81e 2003</t>
  </si>
  <si>
    <t>0                      QU 0034000O  81e         2003</t>
  </si>
  <si>
    <t>Energy medicine in therapeutics and human performance / James L. Oschman ; foreword by Karl Maret.</t>
  </si>
  <si>
    <t>Oschman, James L.</t>
  </si>
  <si>
    <t>Amsterdam ; Boston : Butterworth Heinemann, c2003.</t>
  </si>
  <si>
    <t>2003</t>
  </si>
  <si>
    <t>2005-02-27</t>
  </si>
  <si>
    <t>2004-09-24</t>
  </si>
  <si>
    <t>746467:eng</t>
  </si>
  <si>
    <t>51172070</t>
  </si>
  <si>
    <t>991000396729702656</t>
  </si>
  <si>
    <t>2263353670002656</t>
  </si>
  <si>
    <t>9780750654005</t>
  </si>
  <si>
    <t>30001004978690</t>
  </si>
  <si>
    <t>893354272</t>
  </si>
  <si>
    <t>QU 34 P578 1984</t>
  </si>
  <si>
    <t>0                      QU 0034000P  578         1984</t>
  </si>
  <si>
    <t>Physiology of membrane fluidity / editor, Meir Shinitzky.</t>
  </si>
  <si>
    <t>Boca Raton, Fla. : CRC Press, c1984.</t>
  </si>
  <si>
    <t>1994-02-09</t>
  </si>
  <si>
    <t>9964635462:eng</t>
  </si>
  <si>
    <t>10229664</t>
  </si>
  <si>
    <t>991000896129702656</t>
  </si>
  <si>
    <t>2264663550002656</t>
  </si>
  <si>
    <t>9780849361418</t>
  </si>
  <si>
    <t>30001000157133</t>
  </si>
  <si>
    <t>893267690</t>
  </si>
  <si>
    <t>30001000157141</t>
  </si>
  <si>
    <t>893267691</t>
  </si>
  <si>
    <t>QU 34 P957 1993</t>
  </si>
  <si>
    <t>0                      QU 0034000P  957         1993</t>
  </si>
  <si>
    <t>Principles of exercise biochemistry / volume editor, J.R. Poortmans.</t>
  </si>
  <si>
    <t>Basel ; New York : Karger, c1993.</t>
  </si>
  <si>
    <t>2nd rev. ed.</t>
  </si>
  <si>
    <t xml:space="preserve">sz </t>
  </si>
  <si>
    <t>Medicine and sport science ; vol. 38</t>
  </si>
  <si>
    <t>1997-06-12</t>
  </si>
  <si>
    <t>1993-11-10</t>
  </si>
  <si>
    <t>4061424617:eng</t>
  </si>
  <si>
    <t>28294845</t>
  </si>
  <si>
    <t>991000242029702656</t>
  </si>
  <si>
    <t>2258524830002656</t>
  </si>
  <si>
    <t>9783805557788</t>
  </si>
  <si>
    <t>30001002601971</t>
  </si>
  <si>
    <t>893737094</t>
  </si>
  <si>
    <t>QU 34 RE107KE 1984 v.1</t>
  </si>
  <si>
    <t>0                      QU 0034000RE 107KE       1984                                        v.1</t>
  </si>
  <si>
    <t>Membranes, detergents, and receptor solubilization / editors, J. Craig Venter, Len C. Harrison.</t>
  </si>
  <si>
    <t>V.1</t>
  </si>
  <si>
    <t>New York : A.R. Liss, c1984.</t>
  </si>
  <si>
    <t>Receptor biochemistry and methodology ; v. 1</t>
  </si>
  <si>
    <t>1992-03-13</t>
  </si>
  <si>
    <t>355793962:eng</t>
  </si>
  <si>
    <t>9830354</t>
  </si>
  <si>
    <t>991000896069702656</t>
  </si>
  <si>
    <t>2256519250002656</t>
  </si>
  <si>
    <t>9780845137000</t>
  </si>
  <si>
    <t>30001000157125</t>
  </si>
  <si>
    <t>893267689</t>
  </si>
  <si>
    <t>QU 34 RE107KE 1984 v.2</t>
  </si>
  <si>
    <t>0                      QU 0034000RE 107KE       1984                                        v.2</t>
  </si>
  <si>
    <t>Receptor purification procedures / editors, J. Craig Venter, Len C. Harrison.</t>
  </si>
  <si>
    <t>Receptor biochemistry and methodology ; v. 2</t>
  </si>
  <si>
    <t>1992-12-04</t>
  </si>
  <si>
    <t>355917133:eng</t>
  </si>
  <si>
    <t>9828960</t>
  </si>
  <si>
    <t>991001211639702656</t>
  </si>
  <si>
    <t>22101749360002656</t>
  </si>
  <si>
    <t>9780845137017</t>
  </si>
  <si>
    <t>30001000990020</t>
  </si>
  <si>
    <t>893648982</t>
  </si>
  <si>
    <t>QU 34 RE107KE 1984 v.3</t>
  </si>
  <si>
    <t>0                      QU 0034000RE 107KE       1984                                        v.3</t>
  </si>
  <si>
    <t>Molecular and chemical characterization of membrane receptors / editors, J. Craig Venter, Len Harrison.</t>
  </si>
  <si>
    <t>V.3</t>
  </si>
  <si>
    <t>Receptor biochemistry and methodology ; v. 3</t>
  </si>
  <si>
    <t>1995-06-15</t>
  </si>
  <si>
    <t>355793971:eng</t>
  </si>
  <si>
    <t>9830276</t>
  </si>
  <si>
    <t>991000896019702656</t>
  </si>
  <si>
    <t>2256470780002656</t>
  </si>
  <si>
    <t>9780845137024</t>
  </si>
  <si>
    <t>30001000157117</t>
  </si>
  <si>
    <t>893133946</t>
  </si>
  <si>
    <t>QU 34 RE107KE 1987 v.6</t>
  </si>
  <si>
    <t>0                      QU 0034000RE 107KE       1987                                        v.6</t>
  </si>
  <si>
    <t>Perspectives on receptor classification / editors, J.W. Black, D.H. Jenkinson, V.P. Gerskowitch.</t>
  </si>
  <si>
    <t>V.6</t>
  </si>
  <si>
    <t>New York : A.R. Liss, c1987.</t>
  </si>
  <si>
    <t>Receptor biochemistry and methodology ; v. 6</t>
  </si>
  <si>
    <t>1993-03-01</t>
  </si>
  <si>
    <t>1987-11-17</t>
  </si>
  <si>
    <t>439690373:eng</t>
  </si>
  <si>
    <t>13793106</t>
  </si>
  <si>
    <t>991001202149702656</t>
  </si>
  <si>
    <t>2272034880002656</t>
  </si>
  <si>
    <t>9780845137055</t>
  </si>
  <si>
    <t>30001000317232</t>
  </si>
  <si>
    <t>893736315</t>
  </si>
  <si>
    <t>QU 34 RE107KE 1987 v.9</t>
  </si>
  <si>
    <t>0                      QU 0034000RE 107KE       1987                                        v.9</t>
  </si>
  <si>
    <t>Structure and physiology of the slow inward calcium channel / editors, J. Craig Venter, David Triggle.</t>
  </si>
  <si>
    <t>V.9</t>
  </si>
  <si>
    <t>New York : Liss, c1987.</t>
  </si>
  <si>
    <t>Receptor biochemistry and methodology ; v. 9</t>
  </si>
  <si>
    <t>1990-04-30</t>
  </si>
  <si>
    <t>1987-10-27</t>
  </si>
  <si>
    <t>353781346:eng</t>
  </si>
  <si>
    <t>15415033</t>
  </si>
  <si>
    <t>991001529849702656</t>
  </si>
  <si>
    <t>2265136380002656</t>
  </si>
  <si>
    <t>9780845137086</t>
  </si>
  <si>
    <t>30001000621161</t>
  </si>
  <si>
    <t>893268581</t>
  </si>
  <si>
    <t>QU 34 RE107KE 1992</t>
  </si>
  <si>
    <t>0                      QU 0034000RE 107KE       1992</t>
  </si>
  <si>
    <t>The Histamine receptor / editor, Jean-Charles Schwartz, Helmut L. Haas.</t>
  </si>
  <si>
    <t>New York, N.Y. : Wiley-Liss, c1991.</t>
  </si>
  <si>
    <t>Receptor biochemistry and methodology ; v. 16</t>
  </si>
  <si>
    <t>2003-02-15</t>
  </si>
  <si>
    <t>1992-04-08</t>
  </si>
  <si>
    <t>352039206:eng</t>
  </si>
  <si>
    <t>24246509</t>
  </si>
  <si>
    <t>991001301509702656</t>
  </si>
  <si>
    <t>2263998650002656</t>
  </si>
  <si>
    <t>9780471561262</t>
  </si>
  <si>
    <t>30001002411991</t>
  </si>
  <si>
    <t>893651953</t>
  </si>
  <si>
    <t>QU 34 S644b 1991</t>
  </si>
  <si>
    <t>0                      QU 0034000S  644b        1991</t>
  </si>
  <si>
    <t>Biological molecules / C.A. Smith and E. Wood.</t>
  </si>
  <si>
    <t>Smith, C. A. (Chris A.)</t>
  </si>
  <si>
    <t>London : Chapman &amp; Hall, c1991.</t>
  </si>
  <si>
    <t>1997-05-01</t>
  </si>
  <si>
    <t>1995-01-31</t>
  </si>
  <si>
    <t>151502201:eng</t>
  </si>
  <si>
    <t>23286854</t>
  </si>
  <si>
    <t>991000686029702656</t>
  </si>
  <si>
    <t>2272159360002656</t>
  </si>
  <si>
    <t>9780412407802</t>
  </si>
  <si>
    <t>30001002699033</t>
  </si>
  <si>
    <t>893450086</t>
  </si>
  <si>
    <t>QU 34 S733p 1980</t>
  </si>
  <si>
    <t>0                      QU 0034000S  733p        1980</t>
  </si>
  <si>
    <t>The physical behaviour of macromolecules with biological functions / by S. P. Spragg.</t>
  </si>
  <si>
    <t>Spragg, S. P.</t>
  </si>
  <si>
    <t>Chichester [Eng.] ; New York : J. Wiley, c1980.</t>
  </si>
  <si>
    <t>Monographs in biophysics and biochemistry</t>
  </si>
  <si>
    <t>1993-10-24</t>
  </si>
  <si>
    <t>19888621:eng</t>
  </si>
  <si>
    <t>6447761</t>
  </si>
  <si>
    <t>991000895959702656</t>
  </si>
  <si>
    <t>2256973250002656</t>
  </si>
  <si>
    <t>9780471277842</t>
  </si>
  <si>
    <t>30001000157083</t>
  </si>
  <si>
    <t>893450593</t>
  </si>
  <si>
    <t>QU 39 C911 1988</t>
  </si>
  <si>
    <t>0                      QU 0039000C  911         1988</t>
  </si>
  <si>
    <t>CRC handbook of immunoblotting of proteins / editors, Ole J. Bjerrum, Niels H.H. Heegaard.</t>
  </si>
  <si>
    <t>Boca Raton, FL : CRC Press, c1988.</t>
  </si>
  <si>
    <t>1998-10-15</t>
  </si>
  <si>
    <t>2001-08-09</t>
  </si>
  <si>
    <t>1988-12-14</t>
  </si>
  <si>
    <t>5453654220:eng</t>
  </si>
  <si>
    <t>16581743</t>
  </si>
  <si>
    <t>991001105549702656</t>
  </si>
  <si>
    <t>2267323720002656</t>
  </si>
  <si>
    <t>9780849305481</t>
  </si>
  <si>
    <t>30001001610866</t>
  </si>
  <si>
    <t>893820910</t>
  </si>
  <si>
    <t>30001001610882</t>
  </si>
  <si>
    <t>893831920</t>
  </si>
  <si>
    <t>QU39 H23578 2004</t>
  </si>
  <si>
    <t>0                      QU 0039000H  23578       2004</t>
  </si>
  <si>
    <t>Handbook of nutrition and immunity / edited by M. Eric Gershwin, Penelope Nestel, Carl L. Keen.</t>
  </si>
  <si>
    <t>Totowa, N.J. : Humana Press, c2004.</t>
  </si>
  <si>
    <t>2004</t>
  </si>
  <si>
    <t>2005-10-28</t>
  </si>
  <si>
    <t>766945185:eng</t>
  </si>
  <si>
    <t>53955397</t>
  </si>
  <si>
    <t>991000446579702656</t>
  </si>
  <si>
    <t>2272233120002656</t>
  </si>
  <si>
    <t>9781588293084</t>
  </si>
  <si>
    <t>30001004913820</t>
  </si>
  <si>
    <t>893123158</t>
  </si>
  <si>
    <t>QU 39 L764 1984</t>
  </si>
  <si>
    <t>0                      QU 0039000L  764         1984</t>
  </si>
  <si>
    <t>Lipids / editor, Helmut K. Mangold.</t>
  </si>
  <si>
    <t>CRC handbook of chromatography</t>
  </si>
  <si>
    <t>1989-10-10</t>
  </si>
  <si>
    <t>1990-08-30</t>
  </si>
  <si>
    <t>1989-08-29</t>
  </si>
  <si>
    <t>4916599898:eng</t>
  </si>
  <si>
    <t>9197614</t>
  </si>
  <si>
    <t>991001314019702656</t>
  </si>
  <si>
    <t>2266617430002656</t>
  </si>
  <si>
    <t>9780849330377</t>
  </si>
  <si>
    <t>30001001752106</t>
  </si>
  <si>
    <t>893552349</t>
  </si>
  <si>
    <t>30001001752098</t>
  </si>
  <si>
    <t>893546567</t>
  </si>
  <si>
    <t>QU 39 P895 1989</t>
  </si>
  <si>
    <t>0                      QU 0039000P  895         1989</t>
  </si>
  <si>
    <t>Practical handbook of biochemistry and molecular biology / edited by Gerald D. Fasman.</t>
  </si>
  <si>
    <t>Boca Raton, Fla. : CRC Press, c1989.</t>
  </si>
  <si>
    <t>1995-02-02</t>
  </si>
  <si>
    <t>1991-07-23</t>
  </si>
  <si>
    <t>3863763715:eng</t>
  </si>
  <si>
    <t>18907242</t>
  </si>
  <si>
    <t>991000943989702656</t>
  </si>
  <si>
    <t>2265409780002656</t>
  </si>
  <si>
    <t>9780849337055</t>
  </si>
  <si>
    <t>30001002193250</t>
  </si>
  <si>
    <t>893148731</t>
  </si>
  <si>
    <t>QU 55 A614 1992</t>
  </si>
  <si>
    <t>0                      QU 0055000A  614         1992</t>
  </si>
  <si>
    <t>The Annexins / edited by Stephen E. Moss.</t>
  </si>
  <si>
    <t>London ; Chapel Hill, NC : Portland Press, c1992.</t>
  </si>
  <si>
    <t>Portland Press research monograph ; 2</t>
  </si>
  <si>
    <t>2007-11-19</t>
  </si>
  <si>
    <t>1993-02-18</t>
  </si>
  <si>
    <t>55670480:eng</t>
  </si>
  <si>
    <t>27357754</t>
  </si>
  <si>
    <t>991001429109702656</t>
  </si>
  <si>
    <t>2264330140002656</t>
  </si>
  <si>
    <t>9781855780088</t>
  </si>
  <si>
    <t>30001002528380</t>
  </si>
  <si>
    <t>893287415</t>
  </si>
  <si>
    <t>QU 55 B368c 1943</t>
  </si>
  <si>
    <t>0                      QU 0055000B  368c        1943</t>
  </si>
  <si>
    <t>Creatine and creatinine metabolism / Howard H. Beard.</t>
  </si>
  <si>
    <t>Beard, Howard H.</t>
  </si>
  <si>
    <t>Brooklyn, N.Y. : Chemical Publiching Co., Inc. c1943.</t>
  </si>
  <si>
    <t>1943</t>
  </si>
  <si>
    <t xml:space="preserve">bu </t>
  </si>
  <si>
    <t>2006-07-11</t>
  </si>
  <si>
    <t>2433043:eng</t>
  </si>
  <si>
    <t>9806687</t>
  </si>
  <si>
    <t>991000896719702656</t>
  </si>
  <si>
    <t>2265521980002656</t>
  </si>
  <si>
    <t>30001000157398</t>
  </si>
  <si>
    <t>893363510</t>
  </si>
  <si>
    <t>QU 55 B615 1980</t>
  </si>
  <si>
    <t>0                      QU 0055000B  615         1980</t>
  </si>
  <si>
    <t>The Biochemistry of glycoproteins and proteoglycans / edited by William J. Lennarz.</t>
  </si>
  <si>
    <t>New York : Plenum Press, c1980.</t>
  </si>
  <si>
    <t>2000-08-01</t>
  </si>
  <si>
    <t>54302912:eng</t>
  </si>
  <si>
    <t>5101904</t>
  </si>
  <si>
    <t>991000896629702656</t>
  </si>
  <si>
    <t>2259108890002656</t>
  </si>
  <si>
    <t>9780306402432</t>
  </si>
  <si>
    <t>30001000157372</t>
  </si>
  <si>
    <t>893820696</t>
  </si>
  <si>
    <t>QU 55 B6179 1987</t>
  </si>
  <si>
    <t>0                      QU 0055000B  6179        1987</t>
  </si>
  <si>
    <t>Biology of proteoglycans / edited by Thomas N. Wight, Robert P. Mecham.</t>
  </si>
  <si>
    <t>Orlando : Academic Press, c1987.</t>
  </si>
  <si>
    <t>Biology of extracellular matrix</t>
  </si>
  <si>
    <t>1989-05-16</t>
  </si>
  <si>
    <t>1988-05-17</t>
  </si>
  <si>
    <t>358576494:eng</t>
  </si>
  <si>
    <t>14518817</t>
  </si>
  <si>
    <t>991001191689702656</t>
  </si>
  <si>
    <t>2271224010002656</t>
  </si>
  <si>
    <t>9780127506500</t>
  </si>
  <si>
    <t>30001000979460</t>
  </si>
  <si>
    <t>893284541</t>
  </si>
  <si>
    <t>QU 55 B817i 1999</t>
  </si>
  <si>
    <t>0                      QU 0055000B  817i        1999</t>
  </si>
  <si>
    <t>Introduction to protein structure / Carl Branden, John Tooze.</t>
  </si>
  <si>
    <t>Brändén, Carl-Ivar, 1934-</t>
  </si>
  <si>
    <t>New York : Garland Pub., c1999.</t>
  </si>
  <si>
    <t>2010-06-23</t>
  </si>
  <si>
    <t>1999-11-18</t>
  </si>
  <si>
    <t>906209:eng</t>
  </si>
  <si>
    <t>39508201</t>
  </si>
  <si>
    <t>991001409999702656</t>
  </si>
  <si>
    <t>2268234800002656</t>
  </si>
  <si>
    <t>9780815323044</t>
  </si>
  <si>
    <t>30001003830595</t>
  </si>
  <si>
    <t>893633024</t>
  </si>
  <si>
    <t>QU 55 C1438 1986</t>
  </si>
  <si>
    <t>0                      QU 0055000C  1438        1986</t>
  </si>
  <si>
    <t>Calcium and calcium binding proteins : molecular and functional aspects / Ch. Gerday, L. Bolis, R. Gilles (eds.).</t>
  </si>
  <si>
    <t>Berlin ; New York : Springer Verlag, c1988.</t>
  </si>
  <si>
    <t>Proceedings in life sciences</t>
  </si>
  <si>
    <t>1992-11-05</t>
  </si>
  <si>
    <t>1989-04-28</t>
  </si>
  <si>
    <t>808348708:eng</t>
  </si>
  <si>
    <t>17105848</t>
  </si>
  <si>
    <t>991001245669702656</t>
  </si>
  <si>
    <t>2269904950002656</t>
  </si>
  <si>
    <t>9780387184340</t>
  </si>
  <si>
    <t>30001001677147</t>
  </si>
  <si>
    <t>893149006</t>
  </si>
  <si>
    <t>QU 55 C144 1980-82 v.1,3</t>
  </si>
  <si>
    <t>0                      QU 0055000C  144         1980                                        -82 v.1,3</t>
  </si>
  <si>
    <t>Calcium and cell function : Volume I, Volume III / edited by Wai Yiu Cheung.</t>
  </si>
  <si>
    <t>New York : Academic Press, c1980-1982.</t>
  </si>
  <si>
    <t>Molecular biology</t>
  </si>
  <si>
    <t>1994-09-13</t>
  </si>
  <si>
    <t>10678421178:eng</t>
  </si>
  <si>
    <t>6760962</t>
  </si>
  <si>
    <t>991000896469702656</t>
  </si>
  <si>
    <t>2264011130002656</t>
  </si>
  <si>
    <t>9780121714017</t>
  </si>
  <si>
    <t>30001000157315</t>
  </si>
  <si>
    <t>893287084</t>
  </si>
  <si>
    <t>QU55 C144 1982</t>
  </si>
  <si>
    <t>0                      QU 0055000C  144         1982</t>
  </si>
  <si>
    <t>1989-08-07</t>
  </si>
  <si>
    <t>30001000157307</t>
  </si>
  <si>
    <t>893273439</t>
  </si>
  <si>
    <t>QU 55 C163 1988</t>
  </si>
  <si>
    <t>0                      QU 0055000C  163         1988</t>
  </si>
  <si>
    <t>Calmodulin / edited by Philip Cohen and Claude B. Klee.</t>
  </si>
  <si>
    <t>Amsterdam ; New York : Elsevier, c1988.</t>
  </si>
  <si>
    <t>Molecular aspects of cellular regulation ; v. 5</t>
  </si>
  <si>
    <t>1995-03-15</t>
  </si>
  <si>
    <t>55069501:eng</t>
  </si>
  <si>
    <t>17549574</t>
  </si>
  <si>
    <t>991001240269702656</t>
  </si>
  <si>
    <t>2255008660002656</t>
  </si>
  <si>
    <t>9780444809452</t>
  </si>
  <si>
    <t>30001001675422</t>
  </si>
  <si>
    <t>893284590</t>
  </si>
  <si>
    <t>QU 55 C6965 1988</t>
  </si>
  <si>
    <t>0                      QU 0055000C  6965        1988</t>
  </si>
  <si>
    <t>Collagen / editor, Marcel E. Nimni.</t>
  </si>
  <si>
    <t>Boca Raton, Fla. : CRC Press, c1988.</t>
  </si>
  <si>
    <t>1993-02-12</t>
  </si>
  <si>
    <t>2005-12-27</t>
  </si>
  <si>
    <t>1988-03-30</t>
  </si>
  <si>
    <t>5609358429:eng</t>
  </si>
  <si>
    <t>16524269</t>
  </si>
  <si>
    <t>991001184219702656</t>
  </si>
  <si>
    <t>2260911550002656</t>
  </si>
  <si>
    <t>9780849346002</t>
  </si>
  <si>
    <t>30001000977597</t>
  </si>
  <si>
    <t>893273853</t>
  </si>
  <si>
    <t>30001000977589</t>
  </si>
  <si>
    <t>893278848</t>
  </si>
  <si>
    <t>30001000977605</t>
  </si>
  <si>
    <t>893284534</t>
  </si>
  <si>
    <t>QU 55 C6965 1989 v.4</t>
  </si>
  <si>
    <t>0                      QU 0055000C  6965        1989                                        v.4</t>
  </si>
  <si>
    <t>V.4</t>
  </si>
  <si>
    <t>2005-08-03</t>
  </si>
  <si>
    <t>1989-05-12</t>
  </si>
  <si>
    <t>991001246289702656</t>
  </si>
  <si>
    <t>2259378210002656</t>
  </si>
  <si>
    <t>30001001677360</t>
  </si>
  <si>
    <t>893284596</t>
  </si>
  <si>
    <t>QU 55 C911 1992</t>
  </si>
  <si>
    <t>0                      QU 0055000C  911         1992</t>
  </si>
  <si>
    <t>CRC handbook of endoglycosidases and glycoamidases / edited by Noriko Takahashi and Takashi Muramatsu.</t>
  </si>
  <si>
    <t>Boca Raton : CRC Press, c1992.</t>
  </si>
  <si>
    <t>1993-01-19</t>
  </si>
  <si>
    <t>1993-01-06</t>
  </si>
  <si>
    <t>364463073:eng</t>
  </si>
  <si>
    <t>25025099</t>
  </si>
  <si>
    <t>991001349489702656</t>
  </si>
  <si>
    <t>2264046690002656</t>
  </si>
  <si>
    <t>9780849336188</t>
  </si>
  <si>
    <t>30001002458844</t>
  </si>
  <si>
    <t>893546607</t>
  </si>
  <si>
    <t>QU 55 D772p 1994</t>
  </si>
  <si>
    <t>0                      QU 0055000D  772p        1994</t>
  </si>
  <si>
    <t>Principles of protein X-ray crystallography / Jan Drenth.</t>
  </si>
  <si>
    <t>Drenth, Jan.</t>
  </si>
  <si>
    <t>2008-06-10</t>
  </si>
  <si>
    <t>1994-05-19</t>
  </si>
  <si>
    <t>30968207:eng</t>
  </si>
  <si>
    <t>28710276</t>
  </si>
  <si>
    <t>991001195299702656</t>
  </si>
  <si>
    <t>2265803320002656</t>
  </si>
  <si>
    <t>9780387940915</t>
  </si>
  <si>
    <t>30001002984377</t>
  </si>
  <si>
    <t>893374332</t>
  </si>
  <si>
    <t>QU 55 F296 1984</t>
  </si>
  <si>
    <t>0                      QU 0055000F  296         1984</t>
  </si>
  <si>
    <t>Methods of protein analysis / edited by István Kerese ; translation editor, R.A. Chalmers.</t>
  </si>
  <si>
    <t>Fehérjevizsgálati módszerek. English.</t>
  </si>
  <si>
    <t>Chichester [West Sussex] : E. Horwood ; New York : Halsted Press, c1984.</t>
  </si>
  <si>
    <t>1989-06-15</t>
  </si>
  <si>
    <t>48738094:eng</t>
  </si>
  <si>
    <t>9920222</t>
  </si>
  <si>
    <t>991000896879702656</t>
  </si>
  <si>
    <t>2264221050002656</t>
  </si>
  <si>
    <t>9780853121763</t>
  </si>
  <si>
    <t>30001000157547</t>
  </si>
  <si>
    <t>893374070</t>
  </si>
  <si>
    <t>QU 55 F411s 1999</t>
  </si>
  <si>
    <t>0                      QU 0055000F  411s        1999</t>
  </si>
  <si>
    <t>Structure and mechanism in protein science : a guide to enzyme catalysis and protein folding / Alan Fersht.</t>
  </si>
  <si>
    <t>Fersht, Alan, 1943-</t>
  </si>
  <si>
    <t>New York : W.H. Freeman, c1999</t>
  </si>
  <si>
    <t>2009-02-17</t>
  </si>
  <si>
    <t>2000-04-18</t>
  </si>
  <si>
    <t>197492149:eng</t>
  </si>
  <si>
    <t>39606488</t>
  </si>
  <si>
    <t>991001445879702656</t>
  </si>
  <si>
    <t>2259913680002656</t>
  </si>
  <si>
    <t>9780716732686</t>
  </si>
  <si>
    <t>30001003884451</t>
  </si>
  <si>
    <t>893168202</t>
  </si>
  <si>
    <t>QU 55 F771 1990</t>
  </si>
  <si>
    <t>0                      QU 0055000F  771         1990</t>
  </si>
  <si>
    <t>Fundamentals of protein biotechnology / edited by Stanley Stein.</t>
  </si>
  <si>
    <t>New York : M. Dekker, c1990.</t>
  </si>
  <si>
    <t>Bioprocess technology ; v. 7</t>
  </si>
  <si>
    <t>2004-04-14</t>
  </si>
  <si>
    <t>1991-02-16</t>
  </si>
  <si>
    <t>23853731:eng</t>
  </si>
  <si>
    <t>21597598</t>
  </si>
  <si>
    <t>991000819309702656</t>
  </si>
  <si>
    <t>2263788820002656</t>
  </si>
  <si>
    <t>9780824783464</t>
  </si>
  <si>
    <t>30001002087262</t>
  </si>
  <si>
    <t>893735834</t>
  </si>
  <si>
    <t>QU 55 G1051 1994</t>
  </si>
  <si>
    <t>0                      QU 0055000G  1051        1994</t>
  </si>
  <si>
    <t>G proteins / Allen M. Spiegel ... [et al.].</t>
  </si>
  <si>
    <t>Austin, TX : R.G. Landes Co., c1994.</t>
  </si>
  <si>
    <t>txu</t>
  </si>
  <si>
    <t>Molecular biology intelligence unit</t>
  </si>
  <si>
    <t>1995-02-21</t>
  </si>
  <si>
    <t>1995-01-23</t>
  </si>
  <si>
    <t>55825034:eng</t>
  </si>
  <si>
    <t>30474067</t>
  </si>
  <si>
    <t>991001393679702656</t>
  </si>
  <si>
    <t>2263965260002656</t>
  </si>
  <si>
    <t>9781570590245</t>
  </si>
  <si>
    <t>30001003145390</t>
  </si>
  <si>
    <t>893460519</t>
  </si>
  <si>
    <t>QU 55 G1113 1998</t>
  </si>
  <si>
    <t>0                      QU 0055000G  1113        1998</t>
  </si>
  <si>
    <t>G proteins, receptors, and disease / edited by Allen M. Spiegel.</t>
  </si>
  <si>
    <t>Totowa, N.J. : Humana Press, c1998.</t>
  </si>
  <si>
    <t>Contemporary endocrinology ; 6</t>
  </si>
  <si>
    <t>2000-03-08</t>
  </si>
  <si>
    <t>2000-03-03</t>
  </si>
  <si>
    <t>650876:eng</t>
  </si>
  <si>
    <t>38121160</t>
  </si>
  <si>
    <t>991001442059702656</t>
  </si>
  <si>
    <t>2264863990002656</t>
  </si>
  <si>
    <t>9780896034303</t>
  </si>
  <si>
    <t>30001003882687</t>
  </si>
  <si>
    <t>893465545</t>
  </si>
  <si>
    <t>QU 55 G3215 1990</t>
  </si>
  <si>
    <t>0                      QU 0055000G  3215        1990</t>
  </si>
  <si>
    <t>Gel electrophoresis of proteins : a practical approach / edited by B.D. Hames and D. Rickwood.</t>
  </si>
  <si>
    <t>Oxford ; New York : IRL Press at Oxford University Press, c1990.</t>
  </si>
  <si>
    <t>The Practical approach series.</t>
  </si>
  <si>
    <t>2003-02-24</t>
  </si>
  <si>
    <t>1991-02-14</t>
  </si>
  <si>
    <t>21759842</t>
  </si>
  <si>
    <t>991000818959702656</t>
  </si>
  <si>
    <t>2264659570002656</t>
  </si>
  <si>
    <t>9780199630752</t>
  </si>
  <si>
    <t>30001002087197</t>
  </si>
  <si>
    <t>893648273</t>
  </si>
  <si>
    <t>QU 55 G5685 1993</t>
  </si>
  <si>
    <t>0                      QU 0055000G  5685        1993</t>
  </si>
  <si>
    <t>Glycobiology : a practical approach / edited by Minoru Fukuda and Akira Kobata.</t>
  </si>
  <si>
    <t>Oxford : IRL Press at Oxford University Press, c1993.</t>
  </si>
  <si>
    <t>The Practical approach series ; 125.</t>
  </si>
  <si>
    <t>2005-10-02</t>
  </si>
  <si>
    <t>1994-07-19</t>
  </si>
  <si>
    <t>4160757510:eng</t>
  </si>
  <si>
    <t>30029373</t>
  </si>
  <si>
    <t>991001191399702656</t>
  </si>
  <si>
    <t>2261780350002656</t>
  </si>
  <si>
    <t>9780199633715</t>
  </si>
  <si>
    <t>30001002983395</t>
  </si>
  <si>
    <t>893648961</t>
  </si>
  <si>
    <t>QU 55 G776c 1994</t>
  </si>
  <si>
    <t>0                      QU 0055000G  776c        1994</t>
  </si>
  <si>
    <t>Co- and post-translational modification of proteins : chemical principles and biological effects / Donald J. Graves, Bruce L. Martin, Jerry H. Wang.</t>
  </si>
  <si>
    <t>Graves, Donald J.</t>
  </si>
  <si>
    <t>New York : Oxford University Press, c1994.</t>
  </si>
  <si>
    <t>2005-09-12</t>
  </si>
  <si>
    <t>365299038:eng</t>
  </si>
  <si>
    <t>26263735</t>
  </si>
  <si>
    <t>991001191309702656</t>
  </si>
  <si>
    <t>2268752730002656</t>
  </si>
  <si>
    <t>9780195055498</t>
  </si>
  <si>
    <t>30001002983379</t>
  </si>
  <si>
    <t>893148957</t>
  </si>
  <si>
    <t>QU 55 G946 1993</t>
  </si>
  <si>
    <t>0                      QU 0055000G  946         1993</t>
  </si>
  <si>
    <t>Guidebook to the extracellular matrix and adhesion proteins / edited by Thomas Kreis and Ronald Vale.</t>
  </si>
  <si>
    <t>Oxford ; New York : Oxford University Press, c1993.</t>
  </si>
  <si>
    <t>1998-08-07</t>
  </si>
  <si>
    <t>350625007:eng</t>
  </si>
  <si>
    <t>27726992</t>
  </si>
  <si>
    <t>991001191059702656</t>
  </si>
  <si>
    <t>2265114200002656</t>
  </si>
  <si>
    <t>9780198599333</t>
  </si>
  <si>
    <t>30001002983338</t>
  </si>
  <si>
    <t>893161754</t>
  </si>
  <si>
    <t>QU 55 H6383 1982</t>
  </si>
  <si>
    <t>0                      QU 0055000H  6383        1982</t>
  </si>
  <si>
    <t>High performance liquid chromatography of proteins and peptides : proceedings of the first international symposium / edited by Milton T.W. Hearn, Fred E. Regnier, C. Timothy Wehr.</t>
  </si>
  <si>
    <t>New York : Academic Press, c1983.</t>
  </si>
  <si>
    <t>2002-01-13</t>
  </si>
  <si>
    <t>836719665:eng</t>
  </si>
  <si>
    <t>9393051</t>
  </si>
  <si>
    <t>991000896969702656</t>
  </si>
  <si>
    <t>2263555030002656</t>
  </si>
  <si>
    <t>9780123357809</t>
  </si>
  <si>
    <t>30001000157638</t>
  </si>
  <si>
    <t>893743556</t>
  </si>
  <si>
    <t>QU 55 H772p 1996</t>
  </si>
  <si>
    <t>0                      QU 0055000H  772p        1996</t>
  </si>
  <si>
    <t>Protein trafficking along the exocytotic pathway / Wanjin Hong.</t>
  </si>
  <si>
    <t>Hong, Wanjin.</t>
  </si>
  <si>
    <t>Austin : R.G. Landes Co. ; New York : North American distributor, Chapman &amp; Hall, c1996.</t>
  </si>
  <si>
    <t>2006-04-21</t>
  </si>
  <si>
    <t>1997-06-20</t>
  </si>
  <si>
    <t>40048660:eng</t>
  </si>
  <si>
    <t>34772054</t>
  </si>
  <si>
    <t>991001256119702656</t>
  </si>
  <si>
    <t>2263219770002656</t>
  </si>
  <si>
    <t>9780412110719</t>
  </si>
  <si>
    <t>30001003684828</t>
  </si>
  <si>
    <t>893284606</t>
  </si>
  <si>
    <t>QU 55 I33 1982 v.2</t>
  </si>
  <si>
    <t>0                      QU 0055000I  33          1982                                        v.2</t>
  </si>
  <si>
    <t>Immunochemistry of the extracellular matrix / editor, Heinz Furthmayr.</t>
  </si>
  <si>
    <t>Boca Raton, Fla. : CRC Press, c1982-</t>
  </si>
  <si>
    <t>2000-08-28</t>
  </si>
  <si>
    <t>1987-12-31</t>
  </si>
  <si>
    <t>2864599425:eng</t>
  </si>
  <si>
    <t>7998320</t>
  </si>
  <si>
    <t>991000897009702656</t>
  </si>
  <si>
    <t>2266583580002656</t>
  </si>
  <si>
    <t>30001000157653</t>
  </si>
  <si>
    <t>893148564</t>
  </si>
  <si>
    <t>1996-08-12</t>
  </si>
  <si>
    <t>30001000157646</t>
  </si>
  <si>
    <t>893161435</t>
  </si>
  <si>
    <t>QU 55 I61b 1991 v.1</t>
  </si>
  <si>
    <t>0                      QU 0055000I  61b         1991                                        v.1</t>
  </si>
  <si>
    <t>The Biology of nitric oxide.</t>
  </si>
  <si>
    <t>V.1 P1</t>
  </si>
  <si>
    <t>International Meeting on the Biology of Nitric Oxide (2nd : 1991 : London, England)</t>
  </si>
  <si>
    <t>London : Portland Press, c1992.</t>
  </si>
  <si>
    <t>1996-08-26</t>
  </si>
  <si>
    <t>5611601706:eng</t>
  </si>
  <si>
    <t>27107143</t>
  </si>
  <si>
    <t>991001429019702656</t>
  </si>
  <si>
    <t>2260976180002656</t>
  </si>
  <si>
    <t>9781855780125</t>
  </si>
  <si>
    <t>30001002528323</t>
  </si>
  <si>
    <t>893826740</t>
  </si>
  <si>
    <t>QU 55 I61b 1991 v.2</t>
  </si>
  <si>
    <t>0                      QU 0055000I  61b         1991                                        v.2</t>
  </si>
  <si>
    <t>The biology of nitric oxide.</t>
  </si>
  <si>
    <t>V.2 P2</t>
  </si>
  <si>
    <t>London : Portland, c1992.</t>
  </si>
  <si>
    <t>1996-01-28</t>
  </si>
  <si>
    <t>478384699:eng</t>
  </si>
  <si>
    <t>29356699</t>
  </si>
  <si>
    <t>991001429089702656</t>
  </si>
  <si>
    <t>2264124930002656</t>
  </si>
  <si>
    <t>9781855780132</t>
  </si>
  <si>
    <t>30001002528349</t>
  </si>
  <si>
    <t>893731995</t>
  </si>
  <si>
    <t>QU 55 I61p 1988</t>
  </si>
  <si>
    <t>0                      QU 0055000I  61p         1988</t>
  </si>
  <si>
    <t>Protein-dye interactions : developments and applications / edited by M.A. Vijayalakshmi and O. Bertrand.</t>
  </si>
  <si>
    <t>International Conference on "Modern Aspects of Protein-Dye Interaction Role in Downstream Processing" (1st : 1988 : Compiègne, France)</t>
  </si>
  <si>
    <t>London ; New York : Elsevier Applied Science, c1989.</t>
  </si>
  <si>
    <t>1992-10-07</t>
  </si>
  <si>
    <t>1989-10-21</t>
  </si>
  <si>
    <t>836840173:eng</t>
  </si>
  <si>
    <t>19127535</t>
  </si>
  <si>
    <t>991001355319702656</t>
  </si>
  <si>
    <t>2272375050002656</t>
  </si>
  <si>
    <t>30001001795840</t>
  </si>
  <si>
    <t>893816328</t>
  </si>
  <si>
    <t>QU 55 I6738s 1986</t>
  </si>
  <si>
    <t>0                      QU 0055000I  6738s       1986</t>
  </si>
  <si>
    <t>Structure and dynamics of nucleic acids, proteins, and membranes / edited by E. Clementi and S. Chin.</t>
  </si>
  <si>
    <t>International Symposium on Structure and Dynamics of Nucleic Acids, Proteins, and Membranes (1986 : Riva, Italy)</t>
  </si>
  <si>
    <t>New York : Plenum Press, c1987.</t>
  </si>
  <si>
    <t>2007-12-08</t>
  </si>
  <si>
    <t>138576766:eng</t>
  </si>
  <si>
    <t>15281536</t>
  </si>
  <si>
    <t>991001265649702656</t>
  </si>
  <si>
    <t>2268802200002656</t>
  </si>
  <si>
    <t>9780306425530</t>
  </si>
  <si>
    <t>30001000352775</t>
  </si>
  <si>
    <t>893651933</t>
  </si>
  <si>
    <t>QU 55 J65 1976</t>
  </si>
  <si>
    <t>0                      QU 0055000J  65          1976</t>
  </si>
  <si>
    <t>Structure-function relationships of proteins : proceedings of the Third John Innes Symposium held in Norwich, July 1976 / editors, Roy Markham, R.W. Horne.</t>
  </si>
  <si>
    <t>John Innes Symposium (3rd : 1976 : Norwich, England)</t>
  </si>
  <si>
    <t>Amsterdam ; New York : North-Holland, c1976.</t>
  </si>
  <si>
    <t>909579555:eng</t>
  </si>
  <si>
    <t>3362475</t>
  </si>
  <si>
    <t>991000897219702656</t>
  </si>
  <si>
    <t>2256901150002656</t>
  </si>
  <si>
    <t>9780720406139</t>
  </si>
  <si>
    <t>30001000157794</t>
  </si>
  <si>
    <t>893363511</t>
  </si>
  <si>
    <t>QU 55 J65p 1988</t>
  </si>
  <si>
    <t>0                      QU 0055000J  65p         1988</t>
  </si>
  <si>
    <t>Protein targeting : proceedings of the eighth John Innes Symposium, Norwich, 1988 / edited by K.F. Chater ... [et al.].</t>
  </si>
  <si>
    <t>John Innes Symposium (8th : 1988 : Norwich, England)</t>
  </si>
  <si>
    <t>Cambridge [Eng.] : Company of Biologists, c1989.</t>
  </si>
  <si>
    <t>Journal of cell science. Supplement ; 11</t>
  </si>
  <si>
    <t>1989-10-13</t>
  </si>
  <si>
    <t>24672857:eng</t>
  </si>
  <si>
    <t>22547829</t>
  </si>
  <si>
    <t>991001353459702656</t>
  </si>
  <si>
    <t>2256543490002656</t>
  </si>
  <si>
    <t>9780948601217</t>
  </si>
  <si>
    <t>30001001795253</t>
  </si>
  <si>
    <t>893358503</t>
  </si>
  <si>
    <t>QU 55 K99m 1995</t>
  </si>
  <si>
    <t>0                      QU 0055000K  99m         1995</t>
  </si>
  <si>
    <t>Mechanism in protein chemistry / Jack Kyte.</t>
  </si>
  <si>
    <t>Kyte, Jack.</t>
  </si>
  <si>
    <t>New York : Garland Pub., c1995.</t>
  </si>
  <si>
    <t>2006-09-15</t>
  </si>
  <si>
    <t>1995-10-10</t>
  </si>
  <si>
    <t>36584624:eng</t>
  </si>
  <si>
    <t>32666458</t>
  </si>
  <si>
    <t>991001494499702656</t>
  </si>
  <si>
    <t>2265161960002656</t>
  </si>
  <si>
    <t>9780815317005</t>
  </si>
  <si>
    <t>30001003261155</t>
  </si>
  <si>
    <t>893638389</t>
  </si>
  <si>
    <t>QU 55 L962t 1995</t>
  </si>
  <si>
    <t>0                      QU 0055000L  962t        1995</t>
  </si>
  <si>
    <t>Techniques in protein modification / by Roger L. Lundblad.</t>
  </si>
  <si>
    <t>Lundblad, Roger L.</t>
  </si>
  <si>
    <t>Boca Raton, FL : CRC Press, c1994.</t>
  </si>
  <si>
    <t>1997-11-11</t>
  </si>
  <si>
    <t>1994-12-02</t>
  </si>
  <si>
    <t>32135699:eng</t>
  </si>
  <si>
    <t>30074448</t>
  </si>
  <si>
    <t>991000682519702656</t>
  </si>
  <si>
    <t>2258326290002656</t>
  </si>
  <si>
    <t>9780849326066</t>
  </si>
  <si>
    <t>30001002697979</t>
  </si>
  <si>
    <t>893459683</t>
  </si>
  <si>
    <t>QU 55 M265 1977</t>
  </si>
  <si>
    <t>0                      QU 0055000M  265         1977</t>
  </si>
  <si>
    <t>Mammalian glycoproteins and glycolipids / edited by Martin I. Horowitz, Ward Pigman.</t>
  </si>
  <si>
    <t>-- New York : Academic Press, 1977-</t>
  </si>
  <si>
    <t>The Glycoconjugates ; v. 1</t>
  </si>
  <si>
    <t>11929361:eng</t>
  </si>
  <si>
    <t>3637139</t>
  </si>
  <si>
    <t>991000897339702656</t>
  </si>
  <si>
    <t>2262451320002656</t>
  </si>
  <si>
    <t>30001000157877</t>
  </si>
  <si>
    <t>893455252</t>
  </si>
  <si>
    <t>QU 55 M438p 1991</t>
  </si>
  <si>
    <t>0                      QU 0055000M  438p        1991</t>
  </si>
  <si>
    <t>Protein absorption : development and present state of the subject / David M. Matthews.</t>
  </si>
  <si>
    <t>Matthews, David M. (David Morling)</t>
  </si>
  <si>
    <t>New York : Wiley-Liss, c1991.</t>
  </si>
  <si>
    <t>1991-10-28</t>
  </si>
  <si>
    <t>1991-09-13</t>
  </si>
  <si>
    <t>226702166:eng</t>
  </si>
  <si>
    <t>21871695</t>
  </si>
  <si>
    <t>991001014419702656</t>
  </si>
  <si>
    <t>2269825820002656</t>
  </si>
  <si>
    <t>9780471568513</t>
  </si>
  <si>
    <t>30001002240465</t>
  </si>
  <si>
    <t>893834526</t>
  </si>
  <si>
    <t>QU 55 M486 1994</t>
  </si>
  <si>
    <t>0                      QU 0055000M  486         1994</t>
  </si>
  <si>
    <t>Mechanisms of protein folding / edited by Roger H. Pain.</t>
  </si>
  <si>
    <t>Oxford ; New York : IRL Press, c1994.</t>
  </si>
  <si>
    <t>Frontiers in molecular biology</t>
  </si>
  <si>
    <t>2001-10-09</t>
  </si>
  <si>
    <t>55784355:eng</t>
  </si>
  <si>
    <t>29595367</t>
  </si>
  <si>
    <t>991001191279702656</t>
  </si>
  <si>
    <t>2261256790002656</t>
  </si>
  <si>
    <t>30001002983353</t>
  </si>
  <si>
    <t>893268187</t>
  </si>
  <si>
    <t>QU 55 M5313 1994</t>
  </si>
  <si>
    <t>0                      QU 0055000M  5313        1994</t>
  </si>
  <si>
    <t>Membrane protein structure : experimental approaches / edited by Stephen H. White.</t>
  </si>
  <si>
    <t>Methods in physiology series</t>
  </si>
  <si>
    <t>2000-07-11</t>
  </si>
  <si>
    <t>1995-02-20</t>
  </si>
  <si>
    <t>798920291:eng</t>
  </si>
  <si>
    <t>28510499</t>
  </si>
  <si>
    <t>991001396939702656</t>
  </si>
  <si>
    <t>2256515080002656</t>
  </si>
  <si>
    <t>30001003146307</t>
  </si>
  <si>
    <t>893284751</t>
  </si>
  <si>
    <t>QU 55 M533 1992</t>
  </si>
  <si>
    <t>0                      QU 0055000M  533         1992</t>
  </si>
  <si>
    <t>Membrane biogenesis and protein targeting / editors, Walter Neupert and Roland Lill.</t>
  </si>
  <si>
    <t>Amsterdam ; New York : Elsevier, c1992.</t>
  </si>
  <si>
    <t>New comprehensive biochemistry ; v. 22</t>
  </si>
  <si>
    <t>1993-05-14</t>
  </si>
  <si>
    <t>1993-03-16</t>
  </si>
  <si>
    <t>693161329:eng</t>
  </si>
  <si>
    <t>26218211</t>
  </si>
  <si>
    <t>991001481639702656</t>
  </si>
  <si>
    <t>2268243350002656</t>
  </si>
  <si>
    <t>30001002570010</t>
  </si>
  <si>
    <t>893832230</t>
  </si>
  <si>
    <t>QU 55 M53443 2003</t>
  </si>
  <si>
    <t>0                      QU 0055000M  53443       2003</t>
  </si>
  <si>
    <t>Membrane transporter diseases / edited by Stefan Breoer and Carsten A. Wagner.</t>
  </si>
  <si>
    <t>New York : Kluwer Academic/Plenum Publishers, c2003.</t>
  </si>
  <si>
    <t>2004-09-22</t>
  </si>
  <si>
    <t>351535264:eng</t>
  </si>
  <si>
    <t>52623534</t>
  </si>
  <si>
    <t>991000394419702656</t>
  </si>
  <si>
    <t>2270884290002656</t>
  </si>
  <si>
    <t>9780306478833</t>
  </si>
  <si>
    <t>30001004978666</t>
  </si>
  <si>
    <t>893359526</t>
  </si>
  <si>
    <t>QU 55 M592</t>
  </si>
  <si>
    <t>0                      QU 0055000M  592</t>
  </si>
  <si>
    <t>Methods of protein separation / edited by Nicholas Catsimpoolas.</t>
  </si>
  <si>
    <t>New York : Plenum Press, [1975-</t>
  </si>
  <si>
    <t>Biological separations</t>
  </si>
  <si>
    <t>2002-08-06</t>
  </si>
  <si>
    <t>1987-12-30</t>
  </si>
  <si>
    <t>3376876411:eng</t>
  </si>
  <si>
    <t>1502368</t>
  </si>
  <si>
    <t>991000897379702656</t>
  </si>
  <si>
    <t>2263414160002656</t>
  </si>
  <si>
    <t>30001000157885</t>
  </si>
  <si>
    <t>893460106</t>
  </si>
  <si>
    <t>QU 55 M7145 1992</t>
  </si>
  <si>
    <t>0                      QU 0055000M  7145        1992</t>
  </si>
  <si>
    <t>Molecular aspects of transport proteins / editor, J.J.H.H.M. De Pont.</t>
  </si>
  <si>
    <t>New comprehensive biochemistry ; v. 21</t>
  </si>
  <si>
    <t>1998-09-29</t>
  </si>
  <si>
    <t>1993-08-27</t>
  </si>
  <si>
    <t>693145894:eng</t>
  </si>
  <si>
    <t>25867238</t>
  </si>
  <si>
    <t>991001510579702656</t>
  </si>
  <si>
    <t>2256144660002656</t>
  </si>
  <si>
    <t>30001002600742</t>
  </si>
  <si>
    <t>893638402</t>
  </si>
  <si>
    <t>QU 55 M718 1993</t>
  </si>
  <si>
    <t>0                      QU 0055000M  718         1993</t>
  </si>
  <si>
    <t>The Molecules of transport : ion channels / Florian Lang, ed.</t>
  </si>
  <si>
    <t>Basel ; New York : S. Karger, 1993.</t>
  </si>
  <si>
    <t>Cellular physiology and biochemistry ; v. 3, no. 5-6, 1993</t>
  </si>
  <si>
    <t>2003-12-01</t>
  </si>
  <si>
    <t>55851608:eng</t>
  </si>
  <si>
    <t>31091239</t>
  </si>
  <si>
    <t>991001515919702656</t>
  </si>
  <si>
    <t>2272407350002656</t>
  </si>
  <si>
    <t>9783805558488</t>
  </si>
  <si>
    <t>30001002602219</t>
  </si>
  <si>
    <t>893816487</t>
  </si>
  <si>
    <t>QU 55 M96085 2007</t>
  </si>
  <si>
    <t>0                      QU 0055000M  96085       2007</t>
  </si>
  <si>
    <t>Multidrug resistance-associated proteins / Christopher V. Aiello, editor.</t>
  </si>
  <si>
    <t>New York : Nova Science Publishers, c2007.</t>
  </si>
  <si>
    <t>2007</t>
  </si>
  <si>
    <t>2007-11-16</t>
  </si>
  <si>
    <t>2007-11-15</t>
  </si>
  <si>
    <t>54194119:eng</t>
  </si>
  <si>
    <t>70119707</t>
  </si>
  <si>
    <t>991000661869702656</t>
  </si>
  <si>
    <t>2270569500002656</t>
  </si>
  <si>
    <t>9781600212987</t>
  </si>
  <si>
    <t>30001005272861</t>
  </si>
  <si>
    <t>893357275</t>
  </si>
  <si>
    <t>QU 55 ME587 1985 v.6-7</t>
  </si>
  <si>
    <t>0                      QU 0055000ME 587         1985                                        v.6-7</t>
  </si>
  <si>
    <t>Metalloproteins / edited by Pauline M. Harrison.</t>
  </si>
  <si>
    <t>V. 7</t>
  </si>
  <si>
    <t>Weinheim ; Deerfield Beach, Fla. : Verlag Chemie, c1985.</t>
  </si>
  <si>
    <t>Topics in molecular and structural biology ; 6-7</t>
  </si>
  <si>
    <t>1995-05-08</t>
  </si>
  <si>
    <t>54716500:eng</t>
  </si>
  <si>
    <t>12219670</t>
  </si>
  <si>
    <t>991000897419702656</t>
  </si>
  <si>
    <t>2269410990002656</t>
  </si>
  <si>
    <t>9780895732101</t>
  </si>
  <si>
    <t>30001000157927</t>
  </si>
  <si>
    <t>893368869</t>
  </si>
  <si>
    <t>V. 6</t>
  </si>
  <si>
    <t>30001000157919</t>
  </si>
  <si>
    <t>893357988</t>
  </si>
  <si>
    <t>QU 55 N2857s 1986</t>
  </si>
  <si>
    <t>0                      QU 0055000N  2857s       1986</t>
  </si>
  <si>
    <t>Signal transduction and protein phosphorylation / edited by L.M.G. Heilmeyer.</t>
  </si>
  <si>
    <t>NATO/FEBS Summer School on Signal Transduction and Protein Phosphorylation (1986 : Korgialenios School)</t>
  </si>
  <si>
    <t>NATO ASI series. Series A, Life sciences ; v. 135</t>
  </si>
  <si>
    <t>356158944:eng</t>
  </si>
  <si>
    <t>16091707</t>
  </si>
  <si>
    <t>991001245589702656</t>
  </si>
  <si>
    <t>2263156690002656</t>
  </si>
  <si>
    <t>9780306426155</t>
  </si>
  <si>
    <t>30001001677121</t>
  </si>
  <si>
    <t>893377157</t>
  </si>
  <si>
    <t>QU 55 N468p 1984</t>
  </si>
  <si>
    <t>0                      QU 0055000N  468p        1984</t>
  </si>
  <si>
    <t>Protein phosphorylation in the nervous system / Eric J. Nestler, Paul Greengard.</t>
  </si>
  <si>
    <t>Nestler, Eric J.</t>
  </si>
  <si>
    <t>New York : Wiley, c1984.</t>
  </si>
  <si>
    <t>Neurosciences Institute monograph series</t>
  </si>
  <si>
    <t>1991-10-15</t>
  </si>
  <si>
    <t>3270003:eng</t>
  </si>
  <si>
    <t>10375770</t>
  </si>
  <si>
    <t>991000897459702656</t>
  </si>
  <si>
    <t>2254941320002656</t>
  </si>
  <si>
    <t>9780471805588</t>
  </si>
  <si>
    <t>30001000157943</t>
  </si>
  <si>
    <t>893826143</t>
  </si>
  <si>
    <t>QU 55 N937 1991</t>
  </si>
  <si>
    <t>0                      QU 0055000N  937         1991</t>
  </si>
  <si>
    <t>Novel calcium-binding proteins : fundamentals and clinical implications / Claus W. Heizmann (ed).</t>
  </si>
  <si>
    <t>Berlin ; New York : Springer-Verlag, c1991.</t>
  </si>
  <si>
    <t>1998-04-23</t>
  </si>
  <si>
    <t>1991-09-19</t>
  </si>
  <si>
    <t>865287574:eng</t>
  </si>
  <si>
    <t>23016364</t>
  </si>
  <si>
    <t>991001016719702656</t>
  </si>
  <si>
    <t>2264645820002656</t>
  </si>
  <si>
    <t>9780387532776</t>
  </si>
  <si>
    <t>30001002240796</t>
  </si>
  <si>
    <t>893374207</t>
  </si>
  <si>
    <t>QU 55 P4242 1990</t>
  </si>
  <si>
    <t>0                      QU 0055000P  4242        1990</t>
  </si>
  <si>
    <t>Peptides and protein phosphorylation / editor, Bruce E. Kemp.</t>
  </si>
  <si>
    <t>Boca Raton, Fla. : CRC Press, c1990.</t>
  </si>
  <si>
    <t>1990-06-29</t>
  </si>
  <si>
    <t>1990-06-15</t>
  </si>
  <si>
    <t>22618889:eng</t>
  </si>
  <si>
    <t>20489626</t>
  </si>
  <si>
    <t>991001449019702656</t>
  </si>
  <si>
    <t>2264953380002656</t>
  </si>
  <si>
    <t>9780849365300</t>
  </si>
  <si>
    <t>30001001882192</t>
  </si>
  <si>
    <t>893557997</t>
  </si>
  <si>
    <t>QU 55 P451L 1993</t>
  </si>
  <si>
    <t>0                      QU 0055000P  451L        1993</t>
  </si>
  <si>
    <t>Luminescent spectroscopy of proteins / author, Eugene A. Permyakov.</t>
  </si>
  <si>
    <t>Permi͡akov, E. A. (Evgeniĭ Anatolʹevich)</t>
  </si>
  <si>
    <t>Boca Raton, Fla. : CRC Press, c1993.</t>
  </si>
  <si>
    <t>1993-01-28</t>
  </si>
  <si>
    <t>1992-12-22</t>
  </si>
  <si>
    <t>28551408:eng</t>
  </si>
  <si>
    <t>25916331</t>
  </si>
  <si>
    <t>991001349619702656</t>
  </si>
  <si>
    <t>2271222610002656</t>
  </si>
  <si>
    <t>9780849345531</t>
  </si>
  <si>
    <t>30001002458885</t>
  </si>
  <si>
    <t>893821136</t>
  </si>
  <si>
    <t>QU 55 P471m 1990</t>
  </si>
  <si>
    <t>0                      QU 0055000P  471m        1990</t>
  </si>
  <si>
    <t>Mechanisms of cooperativity and allosteric regulation in proteins / Max Perutz.</t>
  </si>
  <si>
    <t>Perutz, Max F.</t>
  </si>
  <si>
    <t>Cambridge ; New York : Cambridge University Press, c1990.</t>
  </si>
  <si>
    <t>2001-04-18</t>
  </si>
  <si>
    <t>1991-04-05</t>
  </si>
  <si>
    <t>22346299:eng</t>
  </si>
  <si>
    <t>20722094</t>
  </si>
  <si>
    <t>991000827159702656</t>
  </si>
  <si>
    <t>2265154550002656</t>
  </si>
  <si>
    <t>9780521386487</t>
  </si>
  <si>
    <t>30001002089292</t>
  </si>
  <si>
    <t>893287036</t>
  </si>
  <si>
    <t>QU 55 P471p 1992</t>
  </si>
  <si>
    <t>0                      QU 0055000P  471p        1992</t>
  </si>
  <si>
    <t>Protein structure : new approaches to disease and therapy / Max Perutz.</t>
  </si>
  <si>
    <t>New York : W.H. Freeman and Co., c1992.</t>
  </si>
  <si>
    <t>1995-03-23</t>
  </si>
  <si>
    <t>1992-08-03</t>
  </si>
  <si>
    <t>836865252:eng</t>
  </si>
  <si>
    <t>25200956</t>
  </si>
  <si>
    <t>991001305839702656</t>
  </si>
  <si>
    <t>2265970530002656</t>
  </si>
  <si>
    <t>9780716723103</t>
  </si>
  <si>
    <t>30001002413823</t>
  </si>
  <si>
    <t>893278970</t>
  </si>
  <si>
    <t>QU 55 P716 1985</t>
  </si>
  <si>
    <t>0                      QU 0055000P  716         1985</t>
  </si>
  <si>
    <t>Platelet membrane glycoproteins / edited by James N. George, Alan T. Nurden, and David R. Phillips.</t>
  </si>
  <si>
    <t>New York : Plenum Press, c1985.</t>
  </si>
  <si>
    <t>355499896:eng</t>
  </si>
  <si>
    <t>11785625</t>
  </si>
  <si>
    <t>991000897509702656</t>
  </si>
  <si>
    <t>2261268410002656</t>
  </si>
  <si>
    <t>9780306418570</t>
  </si>
  <si>
    <t>30001000158024</t>
  </si>
  <si>
    <t>893278397</t>
  </si>
  <si>
    <t>QU 55 P9641 1998</t>
  </si>
  <si>
    <t>0                      QU 0055000P  9641        1998</t>
  </si>
  <si>
    <t>Prolyl hydroxylase, protein disulfide isomerase, and other structurally related proteins / edited by Norberto A. Guzman.</t>
  </si>
  <si>
    <t>New York : Marcel Dekker, c1998.</t>
  </si>
  <si>
    <t>1998-04-14</t>
  </si>
  <si>
    <t>56191726:eng</t>
  </si>
  <si>
    <t>37211201</t>
  </si>
  <si>
    <t>991000740929702656</t>
  </si>
  <si>
    <t>2258914190002656</t>
  </si>
  <si>
    <t>9780824798314</t>
  </si>
  <si>
    <t>30001004051332</t>
  </si>
  <si>
    <t>893454793</t>
  </si>
  <si>
    <t>QU 55 P966245 1992</t>
  </si>
  <si>
    <t>0                      QU 0055000P  966245      1992</t>
  </si>
  <si>
    <t>Protein engineering : a practical approach / edited by Anthony R. Rees, Michael J.E. Sternberg, and Ronald Wetzel.</t>
  </si>
  <si>
    <t>Oxford ; New York : IRL Press at Oxford University Press, c1992.</t>
  </si>
  <si>
    <t>1st ed.</t>
  </si>
  <si>
    <t>2001-11-10</t>
  </si>
  <si>
    <t>806836208:eng</t>
  </si>
  <si>
    <t>26505481</t>
  </si>
  <si>
    <t>991001482159702656</t>
  </si>
  <si>
    <t>2255377210002656</t>
  </si>
  <si>
    <t>9780199631384</t>
  </si>
  <si>
    <t>30001002570192</t>
  </si>
  <si>
    <t>893649260</t>
  </si>
  <si>
    <t>QU 55 P9663 1979</t>
  </si>
  <si>
    <t>0                      QU 0055000P  9663        1979</t>
  </si>
  <si>
    <t>Protein folding : proceedings of the 28th Conference of the German Biochemical Society, held at the University of Regensburg, Regensburg, West Germany, September 10-12, 1979 / edited by Ranier Jaenicke.</t>
  </si>
  <si>
    <t>Amsterdam ; New York : Elsevier/North-Holland Biomedical Press, c1980.</t>
  </si>
  <si>
    <t>1991-04-22</t>
  </si>
  <si>
    <t>899615651:eng</t>
  </si>
  <si>
    <t>7731657</t>
  </si>
  <si>
    <t>991000897629702656</t>
  </si>
  <si>
    <t>2271235090002656</t>
  </si>
  <si>
    <t>9780444801975</t>
  </si>
  <si>
    <t>30001000158065</t>
  </si>
  <si>
    <t>893637750</t>
  </si>
  <si>
    <t>QU 55 P9664 1996</t>
  </si>
  <si>
    <t>0                      QU 0055000P  9664        1996</t>
  </si>
  <si>
    <t>Protein folds : a distance-based approach / edited by Henrik Bohr and Søren Brunak.</t>
  </si>
  <si>
    <t>Boca Raton : CRC Press, c1996.</t>
  </si>
  <si>
    <t>1997-06-09</t>
  </si>
  <si>
    <t>836969116:eng</t>
  </si>
  <si>
    <t>32891073</t>
  </si>
  <si>
    <t>991001560709702656</t>
  </si>
  <si>
    <t>2256648100002656</t>
  </si>
  <si>
    <t>9780849340093</t>
  </si>
  <si>
    <t>30001003672534</t>
  </si>
  <si>
    <t>893284907</t>
  </si>
  <si>
    <t>QU 55 P967 1989</t>
  </si>
  <si>
    <t>0                      QU 0055000P  967         1989</t>
  </si>
  <si>
    <t>Protein purification methods : a practical approach / edited by E.L.V. Harris and S. Angal.</t>
  </si>
  <si>
    <t>Oxford ; New York : IRL Press at Oxford University Press, c1989.</t>
  </si>
  <si>
    <t>2003-05-30</t>
  </si>
  <si>
    <t>1991-01-14</t>
  </si>
  <si>
    <t>798432485:eng</t>
  </si>
  <si>
    <t>19321742</t>
  </si>
  <si>
    <t>991000761639702656</t>
  </si>
  <si>
    <t>2261747410002656</t>
  </si>
  <si>
    <t>9780199630035</t>
  </si>
  <si>
    <t>30001002060269</t>
  </si>
  <si>
    <t>893831207</t>
  </si>
  <si>
    <t>QU 55 P967 1991</t>
  </si>
  <si>
    <t>0                      QU 0055000P  967         1991</t>
  </si>
  <si>
    <t>Protein structure determination / edited by Clarence H. Suelter.</t>
  </si>
  <si>
    <t>New York : Wiley, c1991</t>
  </si>
  <si>
    <t>Methods of biochemical analysis ; v. 35</t>
  </si>
  <si>
    <t>43793943:eng</t>
  </si>
  <si>
    <t>25096868</t>
  </si>
  <si>
    <t>991001014379702656</t>
  </si>
  <si>
    <t>2254910820002656</t>
  </si>
  <si>
    <t>9780471513261</t>
  </si>
  <si>
    <t>30001002240457</t>
  </si>
  <si>
    <t>893278629</t>
  </si>
  <si>
    <t>QU55 P967 1992</t>
  </si>
  <si>
    <t>0                      QU 0055000P  967         1992</t>
  </si>
  <si>
    <t>Protein targeting : a practical approach / edited by Anthony I. Magee and Thomas Wileman.</t>
  </si>
  <si>
    <t>2002-07-02</t>
  </si>
  <si>
    <t>803177567:eng</t>
  </si>
  <si>
    <t>25164064</t>
  </si>
  <si>
    <t>991001482079702656</t>
  </si>
  <si>
    <t>2263767150002656</t>
  </si>
  <si>
    <t>9780199632060</t>
  </si>
  <si>
    <t>30001002570176</t>
  </si>
  <si>
    <t>893455841</t>
  </si>
  <si>
    <t>QU 55 P967 1993</t>
  </si>
  <si>
    <t>0                      QU 0055000P  967         1993</t>
  </si>
  <si>
    <t>Protein phosphorylation : a practical approach / edited by D. Grahame Hardie.</t>
  </si>
  <si>
    <t>The Practical approach series</t>
  </si>
  <si>
    <t>1997-03-21</t>
  </si>
  <si>
    <t>793878447:eng</t>
  </si>
  <si>
    <t>27311140</t>
  </si>
  <si>
    <t>991000837989702656</t>
  </si>
  <si>
    <t>22101749350002656</t>
  </si>
  <si>
    <t>9780199633050</t>
  </si>
  <si>
    <t>30001003442599</t>
  </si>
  <si>
    <t>893120574</t>
  </si>
  <si>
    <t>QU 55 P967 1994</t>
  </si>
  <si>
    <t>0                      QU 0055000P  967         1994</t>
  </si>
  <si>
    <t>The Protein folding problem and tertiary structure prediction / Kenneth M. Merz, Jr., Scott M. Le Grand, editors.</t>
  </si>
  <si>
    <t>Boston : Birkhäuser, c1994.</t>
  </si>
  <si>
    <t>mau</t>
  </si>
  <si>
    <t>1994-12-05</t>
  </si>
  <si>
    <t>350539365:eng</t>
  </si>
  <si>
    <t>29358337</t>
  </si>
  <si>
    <t>991000682789702656</t>
  </si>
  <si>
    <t>2268533640002656</t>
  </si>
  <si>
    <t>9780817636937</t>
  </si>
  <si>
    <t>30001002698043</t>
  </si>
  <si>
    <t>893834149</t>
  </si>
  <si>
    <t>QU 55 P967 1996</t>
  </si>
  <si>
    <t>0                      QU 0055000P  967         1996</t>
  </si>
  <si>
    <t>Protein targeting / edited by Stella M. Hurtley.</t>
  </si>
  <si>
    <t>Oxford ; New York : IRL Press, c1996.</t>
  </si>
  <si>
    <t>Frontiers in molecular biology ; 16</t>
  </si>
  <si>
    <t>2001-08-24</t>
  </si>
  <si>
    <t>1998-02-05</t>
  </si>
  <si>
    <t>39803321:eng</t>
  </si>
  <si>
    <t>34284614</t>
  </si>
  <si>
    <t>991001296139702656</t>
  </si>
  <si>
    <t>2260998150002656</t>
  </si>
  <si>
    <t>9780199635610</t>
  </si>
  <si>
    <t>30001003742998</t>
  </si>
  <si>
    <t>893363938</t>
  </si>
  <si>
    <t>QU 55 P9672 1997</t>
  </si>
  <si>
    <t>0                      QU 0055000P  9672        1997</t>
  </si>
  <si>
    <t>Protein structure : a practical approach / edited by T.E. Creighton.</t>
  </si>
  <si>
    <t>Oxford ; New York : IRL Press at Oxford University Press, c1997.</t>
  </si>
  <si>
    <t>Practical approach series ; 174</t>
  </si>
  <si>
    <t>1998-02-16</t>
  </si>
  <si>
    <t>34639106:eng</t>
  </si>
  <si>
    <t>37464591</t>
  </si>
  <si>
    <t>991001260789702656</t>
  </si>
  <si>
    <t>2256461540002656</t>
  </si>
  <si>
    <t>9780199636181</t>
  </si>
  <si>
    <t>30001003691104</t>
  </si>
  <si>
    <t>893369266</t>
  </si>
  <si>
    <t>QU 55 P9673 1989</t>
  </si>
  <si>
    <t>0                      QU 0055000P  9673        1989</t>
  </si>
  <si>
    <t>Protein-nucleic acid interaction / edited by Wolfram Saenger and Udo Heinemann.</t>
  </si>
  <si>
    <t>Topics in molecular and structural biology, 0265-4377</t>
  </si>
  <si>
    <t>2005-01-19</t>
  </si>
  <si>
    <t>1991-03-02</t>
  </si>
  <si>
    <t>356300194:eng</t>
  </si>
  <si>
    <t>19814349</t>
  </si>
  <si>
    <t>991000823769702656</t>
  </si>
  <si>
    <t>2271005760002656</t>
  </si>
  <si>
    <t>9780849371134</t>
  </si>
  <si>
    <t>30001002088203</t>
  </si>
  <si>
    <t>893540659</t>
  </si>
  <si>
    <t>QU 55 P9675 1976-82 v.2-5</t>
  </si>
  <si>
    <t>0                      QU 0055000P  9675        1976                                        -82 v.2-5</t>
  </si>
  <si>
    <t>The proteins / edited by Hans Neurath, Robert L. Hill.</t>
  </si>
  <si>
    <t>New York : Academic Press, c1976-1982.</t>
  </si>
  <si>
    <t>2003-03-05</t>
  </si>
  <si>
    <t>3893625784:eng</t>
  </si>
  <si>
    <t>980216</t>
  </si>
  <si>
    <t>991000897669702656</t>
  </si>
  <si>
    <t>2271389130002656</t>
  </si>
  <si>
    <t>30001000158107</t>
  </si>
  <si>
    <t>893740538</t>
  </si>
  <si>
    <t>30001000158081</t>
  </si>
  <si>
    <t>893727057</t>
  </si>
  <si>
    <t>30001000158073</t>
  </si>
  <si>
    <t>893740537</t>
  </si>
  <si>
    <t>1999-08-29</t>
  </si>
  <si>
    <t>30001000158099</t>
  </si>
  <si>
    <t>893743557</t>
  </si>
  <si>
    <t>QU55 P9675 1990</t>
  </si>
  <si>
    <t>0                      QU 0055000P  9675        1990</t>
  </si>
  <si>
    <t>Proteins : form and function / edited by Ralph A. Bradshaw and Mary Purton.</t>
  </si>
  <si>
    <t>Cambridge, [Eng.] : Elsevier Trends Journals ; New York, NY, USA : Sole distributors for the USA and Canada, Elsevier Science Pub. Co., c1990.</t>
  </si>
  <si>
    <t>1992-08-17</t>
  </si>
  <si>
    <t>1992-04-22</t>
  </si>
  <si>
    <t>836713938:eng</t>
  </si>
  <si>
    <t>21931647</t>
  </si>
  <si>
    <t>991001299599702656</t>
  </si>
  <si>
    <t>2270911720002656</t>
  </si>
  <si>
    <t>9781851665129</t>
  </si>
  <si>
    <t>30001002411348</t>
  </si>
  <si>
    <t>893546555</t>
  </si>
  <si>
    <t>QU 55 P96805 1981</t>
  </si>
  <si>
    <t>0                      QU 0055000P  96805       1981</t>
  </si>
  <si>
    <t>Protein-protein interactions / edited by C. Frieden, L.W. Nichol.</t>
  </si>
  <si>
    <t>New York : Wiley, c1981.</t>
  </si>
  <si>
    <t>1997-06-07</t>
  </si>
  <si>
    <t>1987-11-13</t>
  </si>
  <si>
    <t>355683403:eng</t>
  </si>
  <si>
    <t>7178723</t>
  </si>
  <si>
    <t>991000897759702656</t>
  </si>
  <si>
    <t>2267597160002656</t>
  </si>
  <si>
    <t>9780471049791</t>
  </si>
  <si>
    <t>30001000158123</t>
  </si>
  <si>
    <t>893551888</t>
  </si>
  <si>
    <t>QU 55 P9688 1990</t>
  </si>
  <si>
    <t>0                      QU 0055000P  9688        1990</t>
  </si>
  <si>
    <t>Protein function : a practical approach / edited by T.E. Creighton.</t>
  </si>
  <si>
    <t>Oxford ; New York : IRL Press, c1990.</t>
  </si>
  <si>
    <t>Corr. ed.</t>
  </si>
  <si>
    <t>1996-04-24</t>
  </si>
  <si>
    <t>1993-02-04</t>
  </si>
  <si>
    <t>353994863:eng</t>
  </si>
  <si>
    <t>23812971</t>
  </si>
  <si>
    <t>991001428649702656</t>
  </si>
  <si>
    <t>2266866200002656</t>
  </si>
  <si>
    <t>30001002527903</t>
  </si>
  <si>
    <t>893731992</t>
  </si>
  <si>
    <t>QU 55 P969011 1998</t>
  </si>
  <si>
    <t>0                      QU 0055000P  969011      1998</t>
  </si>
  <si>
    <t>Protein synthesis : methods and protocols / edited by Robin Martin.</t>
  </si>
  <si>
    <t>Methods in molecular biology ; 77</t>
  </si>
  <si>
    <t>2003-03-19</t>
  </si>
  <si>
    <t>1999-01-07</t>
  </si>
  <si>
    <t>807217660:eng</t>
  </si>
  <si>
    <t>39236421</t>
  </si>
  <si>
    <t>991001527039702656</t>
  </si>
  <si>
    <t>2258774680002656</t>
  </si>
  <si>
    <t>9780896033979</t>
  </si>
  <si>
    <t>30001003960079</t>
  </si>
  <si>
    <t>893649298</t>
  </si>
  <si>
    <t>QU 55 R295 1989</t>
  </si>
  <si>
    <t>0                      QU 0055000R  295         1989</t>
  </si>
  <si>
    <t>Receptor phosphorylation / editor, Virinder K. Moudgil.</t>
  </si>
  <si>
    <t>1993-10-04</t>
  </si>
  <si>
    <t>55065187:eng</t>
  </si>
  <si>
    <t>17548219</t>
  </si>
  <si>
    <t>991001314149702656</t>
  </si>
  <si>
    <t>2269389590002656</t>
  </si>
  <si>
    <t>9780849363184</t>
  </si>
  <si>
    <t>30001001752130</t>
  </si>
  <si>
    <t>893455693</t>
  </si>
  <si>
    <t>QU 55 S578 1992</t>
  </si>
  <si>
    <t>0                      QU 0055000S  578         1992</t>
  </si>
  <si>
    <t>Signal transduction : a practical approach / edited by G. Milligan.</t>
  </si>
  <si>
    <t>Oxford ; New York : IRL Press, c1992.</t>
  </si>
  <si>
    <t>Practical approach series</t>
  </si>
  <si>
    <t>2001-10-22</t>
  </si>
  <si>
    <t>4923308677:eng</t>
  </si>
  <si>
    <t>25245568</t>
  </si>
  <si>
    <t>991001510009702656</t>
  </si>
  <si>
    <t>2271336640002656</t>
  </si>
  <si>
    <t>9780199632954</t>
  </si>
  <si>
    <t>30001002600650</t>
  </si>
  <si>
    <t>893358674</t>
  </si>
  <si>
    <t>QU 55 S9269 1987</t>
  </si>
  <si>
    <t>0                      QU 0055000S  9269        1987</t>
  </si>
  <si>
    <t>Structure and function of collagen types / edited by Richard Mayne, Robert E. Burgeson.</t>
  </si>
  <si>
    <t>355525764:eng</t>
  </si>
  <si>
    <t>15016315</t>
  </si>
  <si>
    <t>991001191649702656</t>
  </si>
  <si>
    <t>2258096610002656</t>
  </si>
  <si>
    <t>9780124812802</t>
  </si>
  <si>
    <t>30001000979452</t>
  </si>
  <si>
    <t>893268188</t>
  </si>
  <si>
    <t>QU 55 T255 1988</t>
  </si>
  <si>
    <t>0                      QU 0055000T  255         1988</t>
  </si>
  <si>
    <t>Techniques in protein chemistry / edited by Tony E. Hugli.</t>
  </si>
  <si>
    <t>San Diego : Academic Press, c1989.</t>
  </si>
  <si>
    <t>1989-10-25</t>
  </si>
  <si>
    <t>3943533802:eng</t>
  </si>
  <si>
    <t>19125353</t>
  </si>
  <si>
    <t>991001355039702656</t>
  </si>
  <si>
    <t>2269484530002656</t>
  </si>
  <si>
    <t>9780126820010</t>
  </si>
  <si>
    <t>30001001795766</t>
  </si>
  <si>
    <t>893284726</t>
  </si>
  <si>
    <t>QU 55 T2554 1994</t>
  </si>
  <si>
    <t>0                      QU 0055000T  2554        1994</t>
  </si>
  <si>
    <t>Techniques in protein chemistry V / edited by John W. Crabb.</t>
  </si>
  <si>
    <t>San Diego : Academic Press, c1994.</t>
  </si>
  <si>
    <t>1994-09-12</t>
  </si>
  <si>
    <t>9437909280:eng</t>
  </si>
  <si>
    <t>29519827</t>
  </si>
  <si>
    <t>991000678339702656</t>
  </si>
  <si>
    <t>2255768630002656</t>
  </si>
  <si>
    <t>9780121947101</t>
  </si>
  <si>
    <t>30001002696963</t>
  </si>
  <si>
    <t>893376752</t>
  </si>
  <si>
    <t>QU55 W181p 2002</t>
  </si>
  <si>
    <t>0                      QU 0055000W  181p        2002</t>
  </si>
  <si>
    <t>The protein protocols handbook / edited by John M. Walker.</t>
  </si>
  <si>
    <t>Totowa, N.J. : Humana Press, c2002.</t>
  </si>
  <si>
    <t>2003-06-12</t>
  </si>
  <si>
    <t>4915213108:eng</t>
  </si>
  <si>
    <t>47894343</t>
  </si>
  <si>
    <t>991000350449702656</t>
  </si>
  <si>
    <t>2261795830002656</t>
  </si>
  <si>
    <t>9780896039407</t>
  </si>
  <si>
    <t>30001004440337</t>
  </si>
  <si>
    <t>893123011</t>
  </si>
  <si>
    <t>QU 55 W973n 1986</t>
  </si>
  <si>
    <t>0                      QU 0055000W  973n        1986</t>
  </si>
  <si>
    <t>NMR of proteins and nucleic acids / Kurt Wüthrich.</t>
  </si>
  <si>
    <t>Wüthrich, Kurt.</t>
  </si>
  <si>
    <t>New York : Wiley, c1986.</t>
  </si>
  <si>
    <t>1986</t>
  </si>
  <si>
    <t>George Fisher Baker non-resident lectureship in chemistry at Cornell University</t>
  </si>
  <si>
    <t>2003-11-22</t>
  </si>
  <si>
    <t>1988-01-28</t>
  </si>
  <si>
    <t>7294811:eng</t>
  </si>
  <si>
    <t>13425181</t>
  </si>
  <si>
    <t>991000897839702656</t>
  </si>
  <si>
    <t>2264006420002656</t>
  </si>
  <si>
    <t>9780471828938</t>
  </si>
  <si>
    <t>30001000158230</t>
  </si>
  <si>
    <t>893560732</t>
  </si>
  <si>
    <t>QU 55.2 R627 2008</t>
  </si>
  <si>
    <t>0                      QU 0055200R  627         2008</t>
  </si>
  <si>
    <t>RNA binding proteins in development and disease, 2008 / editor, Robert B. Denman.</t>
  </si>
  <si>
    <t>Kerala : Research Signpost, 2008.</t>
  </si>
  <si>
    <t>2008</t>
  </si>
  <si>
    <t xml:space="preserve">ii </t>
  </si>
  <si>
    <t>2010-09-10</t>
  </si>
  <si>
    <t>2010-02-10</t>
  </si>
  <si>
    <t>5612537916:eng</t>
  </si>
  <si>
    <t>318100657</t>
  </si>
  <si>
    <t>991001575989702656</t>
  </si>
  <si>
    <t>2264486290002656</t>
  </si>
  <si>
    <t>9788130802213</t>
  </si>
  <si>
    <t>30001005344785</t>
  </si>
  <si>
    <t>893149343</t>
  </si>
  <si>
    <t>QU 56 C557 1998</t>
  </si>
  <si>
    <t>0                      QU 0056000C  557         1998</t>
  </si>
  <si>
    <t>Chromatin : a practical approach / edited by H. Gould.</t>
  </si>
  <si>
    <t>Oxford ; New York : Oxford University Press, c1998.</t>
  </si>
  <si>
    <t>The practical approach series</t>
  </si>
  <si>
    <t>2000-02-15</t>
  </si>
  <si>
    <t>1999-03-19</t>
  </si>
  <si>
    <t>806625616:eng</t>
  </si>
  <si>
    <t>37836582</t>
  </si>
  <si>
    <t>991001420529702656</t>
  </si>
  <si>
    <t>2270199180002656</t>
  </si>
  <si>
    <t>9780199635993</t>
  </si>
  <si>
    <t>30001003854140</t>
  </si>
  <si>
    <t>893834665</t>
  </si>
  <si>
    <t>QU 57 A633 1996</t>
  </si>
  <si>
    <t>0                      QU 0057000A  633         1996</t>
  </si>
  <si>
    <t>Antisense therapeutics / edited by Sudhir Agrawal.</t>
  </si>
  <si>
    <t>Totowa, N.J. : Humana Press, c1996.</t>
  </si>
  <si>
    <t>Methods in molecular medicine</t>
  </si>
  <si>
    <t>2001-09-25</t>
  </si>
  <si>
    <t>1997-06-05</t>
  </si>
  <si>
    <t>56038012:eng</t>
  </si>
  <si>
    <t>34121036</t>
  </si>
  <si>
    <t>991001558059702656</t>
  </si>
  <si>
    <t>2269204860002656</t>
  </si>
  <si>
    <t>9780896033054</t>
  </si>
  <si>
    <t>30001003670819</t>
  </si>
  <si>
    <t>893552638</t>
  </si>
  <si>
    <t>QU 58 B615 1981</t>
  </si>
  <si>
    <t>0                      QU 0058000B  615         1981</t>
  </si>
  <si>
    <t>The biochemistry of the nucleic acids.</t>
  </si>
  <si>
    <t>9th ed. / by R.L.P. Adams ... [et al.].</t>
  </si>
  <si>
    <t>1990-09-23</t>
  </si>
  <si>
    <t>1989-07-01</t>
  </si>
  <si>
    <t>5090478080:eng</t>
  </si>
  <si>
    <t>7983204</t>
  </si>
  <si>
    <t>991000897799702656</t>
  </si>
  <si>
    <t>2259464660002656</t>
  </si>
  <si>
    <t>9780412226809</t>
  </si>
  <si>
    <t>30001000158206</t>
  </si>
  <si>
    <t>893815883</t>
  </si>
  <si>
    <t>QU 58 F245r 1998</t>
  </si>
  <si>
    <t>0                      QU 0058000F  245r        1998</t>
  </si>
  <si>
    <t>RNA methodologies : a laboratory guide for isolation and characterization / Robert E. Farrell, Jr.</t>
  </si>
  <si>
    <t>Farrell, Robert E., Jr.</t>
  </si>
  <si>
    <t>San Diego : Academic Press, c1998.</t>
  </si>
  <si>
    <t>2006-05-18</t>
  </si>
  <si>
    <t>4921004707:eng</t>
  </si>
  <si>
    <t>40166639</t>
  </si>
  <si>
    <t>991001409309702656</t>
  </si>
  <si>
    <t>2255035370002656</t>
  </si>
  <si>
    <t>9780122496950</t>
  </si>
  <si>
    <t>30001003830405</t>
  </si>
  <si>
    <t>893633023</t>
  </si>
  <si>
    <t>QU 58 G11 1990</t>
  </si>
  <si>
    <t>0                      QU 0058000G  11          1990</t>
  </si>
  <si>
    <t>G-proteins as mediators of cellular signalling processes / edited by Miles D. Houslay and Graeme Milligan.</t>
  </si>
  <si>
    <t>Chichester ; New York : Wiley, c1990.</t>
  </si>
  <si>
    <t>Wiley series on molecular pharmacology of cell regulation ; v. 1</t>
  </si>
  <si>
    <t>2000-03-14</t>
  </si>
  <si>
    <t>1991-07-02</t>
  </si>
  <si>
    <t>355362634:eng</t>
  </si>
  <si>
    <t>20263212</t>
  </si>
  <si>
    <t>991000940729702656</t>
  </si>
  <si>
    <t>2264655680002656</t>
  </si>
  <si>
    <t>9780471923381</t>
  </si>
  <si>
    <t>30001002192559</t>
  </si>
  <si>
    <t>893632519</t>
  </si>
  <si>
    <t>QU 58 I348 1990</t>
  </si>
  <si>
    <t>0                      QU 0058000I  348         1990</t>
  </si>
  <si>
    <t>In situ hybridization histochemistry / editor, Marie-Françoise Chesselet.</t>
  </si>
  <si>
    <t>Boca Raton : CRC Press, c1990.</t>
  </si>
  <si>
    <t>2001-07-09</t>
  </si>
  <si>
    <t>1991-12-02</t>
  </si>
  <si>
    <t>22715780:eng</t>
  </si>
  <si>
    <t>20894573</t>
  </si>
  <si>
    <t>991000950239702656</t>
  </si>
  <si>
    <t>2266202710002656</t>
  </si>
  <si>
    <t>9780849369124</t>
  </si>
  <si>
    <t>30001002194811</t>
  </si>
  <si>
    <t>893731553</t>
  </si>
  <si>
    <t>QU 58 K84d 1980</t>
  </si>
  <si>
    <t>0                      QU 0058000K  84d         1980</t>
  </si>
  <si>
    <t>DNA replication / Arthur Kornberg.</t>
  </si>
  <si>
    <t>Kornberg, Arthur.</t>
  </si>
  <si>
    <t>San Francisco : Freeman, c1980.</t>
  </si>
  <si>
    <t>1991-02-28</t>
  </si>
  <si>
    <t>115608898:eng</t>
  </si>
  <si>
    <t>5310554</t>
  </si>
  <si>
    <t>991000898069702656</t>
  </si>
  <si>
    <t>2255528100002656</t>
  </si>
  <si>
    <t>9780716711025</t>
  </si>
  <si>
    <t>30001000158560</t>
  </si>
  <si>
    <t>893743558</t>
  </si>
  <si>
    <t>QU 58 K84d 1980 Suppl.</t>
  </si>
  <si>
    <t>0                      QU 0058000K  84d         1980                                        Suppl.</t>
  </si>
  <si>
    <t>1982 supplement to DNA replication / Arthur Kornberg.</t>
  </si>
  <si>
    <t>San Francisco : Freeman, c1982.</t>
  </si>
  <si>
    <t>3858850414:eng</t>
  </si>
  <si>
    <t>8389397</t>
  </si>
  <si>
    <t>991000898099702656</t>
  </si>
  <si>
    <t>2271564630002656</t>
  </si>
  <si>
    <t>9780716714101</t>
  </si>
  <si>
    <t>30001000158578</t>
  </si>
  <si>
    <t>893551889</t>
  </si>
  <si>
    <t>QU 58 M7164 1987</t>
  </si>
  <si>
    <t>0                      QU 0058000M  7164        1987</t>
  </si>
  <si>
    <t>Molecular biology of RNA : new perspectives / edited by Masayori Inouye and Bernard S. Dudock.</t>
  </si>
  <si>
    <t>2000-09-19</t>
  </si>
  <si>
    <t>1988-04-15</t>
  </si>
  <si>
    <t>889981066:eng</t>
  </si>
  <si>
    <t>15695695</t>
  </si>
  <si>
    <t>991001184919702656</t>
  </si>
  <si>
    <t>2256669400002656</t>
  </si>
  <si>
    <t>9780123724830</t>
  </si>
  <si>
    <t>30001000977720</t>
  </si>
  <si>
    <t>893284536</t>
  </si>
  <si>
    <t>QU 58 N9638 1989</t>
  </si>
  <si>
    <t>0                      QU 0058000N  9638        1989</t>
  </si>
  <si>
    <t>Nucleic acid probes / editor, Robert H. Symons.</t>
  </si>
  <si>
    <t>1993-09-16</t>
  </si>
  <si>
    <t>55098835:eng</t>
  </si>
  <si>
    <t>18049851</t>
  </si>
  <si>
    <t>991001355189702656</t>
  </si>
  <si>
    <t>2271880060002656</t>
  </si>
  <si>
    <t>9780849349423</t>
  </si>
  <si>
    <t>30001001795824</t>
  </si>
  <si>
    <t>893736515</t>
  </si>
  <si>
    <t>QU 58 O465 1989</t>
  </si>
  <si>
    <t>0                      QU 0058000O  465         1989</t>
  </si>
  <si>
    <t>Oligonucleotides : antisense inhibitors of gene expression / edited by Jack S. Cohen.</t>
  </si>
  <si>
    <t>Topics in molecular and structural biology</t>
  </si>
  <si>
    <t>1995-05-17</t>
  </si>
  <si>
    <t>1989-12-04</t>
  </si>
  <si>
    <t>495507967:eng</t>
  </si>
  <si>
    <t>19777134</t>
  </si>
  <si>
    <t>991001363549702656</t>
  </si>
  <si>
    <t>2267920070002656</t>
  </si>
  <si>
    <t>9780849371189</t>
  </si>
  <si>
    <t>30001001797069</t>
  </si>
  <si>
    <t>893736521</t>
  </si>
  <si>
    <t>QU 58 R111 1994</t>
  </si>
  <si>
    <t>0                      QU 0058000R  111         1994</t>
  </si>
  <si>
    <t>RNA processing : a practical approach / edited by Stephen J. Higgins and B. David Hames.</t>
  </si>
  <si>
    <t>Oxford ; New York : IRL Press at Oxford University Press, c1994.</t>
  </si>
  <si>
    <t>The practical approach series ; 135, 136</t>
  </si>
  <si>
    <t>798920376:eng</t>
  </si>
  <si>
    <t>28337231</t>
  </si>
  <si>
    <t>991000678109702656</t>
  </si>
  <si>
    <t>2258447720002656</t>
  </si>
  <si>
    <t>9780199633432</t>
  </si>
  <si>
    <t>30001002696864</t>
  </si>
  <si>
    <t>893739969</t>
  </si>
  <si>
    <t>30001002696872</t>
  </si>
  <si>
    <t>893726485</t>
  </si>
  <si>
    <t>QU 58 W339d 1968</t>
  </si>
  <si>
    <t>0                      QU 0058000W  339d        1968</t>
  </si>
  <si>
    <t>The double helix :b a personal account of the discovery of the structure of DNA / by James D. Watson.</t>
  </si>
  <si>
    <t>Watson, James D., 1928-</t>
  </si>
  <si>
    <t>New York : Atheneum, 1968.</t>
  </si>
  <si>
    <t>[1st ed.]</t>
  </si>
  <si>
    <t>1996-10-02</t>
  </si>
  <si>
    <t>439031:eng</t>
  </si>
  <si>
    <t>439345</t>
  </si>
  <si>
    <t>991000898009702656</t>
  </si>
  <si>
    <t>2266569420002656</t>
  </si>
  <si>
    <t>30001000158446</t>
  </si>
  <si>
    <t>893267703</t>
  </si>
  <si>
    <t>QU 58 W339r 1983</t>
  </si>
  <si>
    <t>0                      QU 0058000W  339r        1983</t>
  </si>
  <si>
    <t>Recombinant DNA, a short course / James D. Watson, John Tooze, David T. Kurtz.</t>
  </si>
  <si>
    <t>New York : Scientific American Books ; Distributed by W.H. Freeman, c1983.</t>
  </si>
  <si>
    <t>2000-02-03</t>
  </si>
  <si>
    <t>1991-05-23</t>
  </si>
  <si>
    <t>57026717:eng</t>
  </si>
  <si>
    <t>9532831</t>
  </si>
  <si>
    <t>991000897969702656</t>
  </si>
  <si>
    <t>2259124220002656</t>
  </si>
  <si>
    <t>9780716714835</t>
  </si>
  <si>
    <t>30001000158412</t>
  </si>
  <si>
    <t>893284005</t>
  </si>
  <si>
    <t>QU58.5 D418c 2005</t>
  </si>
  <si>
    <t>0                      QU 0058500D  418c        2005</t>
  </si>
  <si>
    <t>Computational genome analysis : an introduction / Richard C. Deonier, Simon Tavaré, Michael S. Waterman.</t>
  </si>
  <si>
    <t>Deonier, Richard C., 1942-</t>
  </si>
  <si>
    <t>New York : Springer, 2005.</t>
  </si>
  <si>
    <t>2005</t>
  </si>
  <si>
    <t>2007-05-07</t>
  </si>
  <si>
    <t>2007-01-25</t>
  </si>
  <si>
    <t>864040592:eng</t>
  </si>
  <si>
    <t>56880311</t>
  </si>
  <si>
    <t>991000587299702656</t>
  </si>
  <si>
    <t>2261962930002656</t>
  </si>
  <si>
    <t>9780387987859</t>
  </si>
  <si>
    <t>30001005212776</t>
  </si>
  <si>
    <t>893730474</t>
  </si>
  <si>
    <t>QU58.5 G3355 2004</t>
  </si>
  <si>
    <t>0                      QU 0058500G  3355        2004</t>
  </si>
  <si>
    <t>Genomics, proteomics, and clinical bacteriology : methods and reviews / edited by Neil Woodford and Alan Johnson.</t>
  </si>
  <si>
    <t>Methods in molecular biology ; 266</t>
  </si>
  <si>
    <t>2004-11-02</t>
  </si>
  <si>
    <t>2004-11-01</t>
  </si>
  <si>
    <t>1034433840:eng</t>
  </si>
  <si>
    <t>54034861</t>
  </si>
  <si>
    <t>991000406279702656</t>
  </si>
  <si>
    <t>2257384880002656</t>
  </si>
  <si>
    <t>9781588292186</t>
  </si>
  <si>
    <t>30001004924488</t>
  </si>
  <si>
    <t>893547800</t>
  </si>
  <si>
    <t>QU 58.5 W9255g 2007</t>
  </si>
  <si>
    <t>0                      QU 0058500W  9255g       2007</t>
  </si>
  <si>
    <t>Genomic approaches for cross-species extrapolation in toxicology : proceedings from the Workshop on Emerging Molecular and Computational Approaches for Cross-Species Extrapolations, 18-22 July 2004, Portland, Oregon, USA / edited by William H. Benson and Richard T. Di Giulio.</t>
  </si>
  <si>
    <t>Workshop on Emerging Molecular and Computational Approaches for Cross-Species Extrapolations (2004 : Portland, Or.)</t>
  </si>
  <si>
    <t>Pensacola, Fla. : SETAC ; Boca Raton : CRC/Taylor &amp; Francis, c2007.</t>
  </si>
  <si>
    <t>801037240:eng</t>
  </si>
  <si>
    <t>71842749</t>
  </si>
  <si>
    <t>991000661899702656</t>
  </si>
  <si>
    <t>2257202390002656</t>
  </si>
  <si>
    <t>9781420043341</t>
  </si>
  <si>
    <t>30001005272804</t>
  </si>
  <si>
    <t>893450011</t>
  </si>
  <si>
    <t>QU 60 B666p</t>
  </si>
  <si>
    <t>0                      QU 0060000B  666p</t>
  </si>
  <si>
    <t>Peptide synthesis / Miklos Bodanszky, Yakir S. Klausner, Miguel A. Ondetti.</t>
  </si>
  <si>
    <t>Bodanszky, Miklos.</t>
  </si>
  <si>
    <t>2d ed.</t>
  </si>
  <si>
    <t>Interscience monographs on organic chemistry</t>
  </si>
  <si>
    <t>2002-04-08</t>
  </si>
  <si>
    <t>3856335543:eng</t>
  </si>
  <si>
    <t>2213264</t>
  </si>
  <si>
    <t>991000898149702656</t>
  </si>
  <si>
    <t>2256135430002656</t>
  </si>
  <si>
    <t>9780471084518</t>
  </si>
  <si>
    <t>30001000158727</t>
  </si>
  <si>
    <t>893374071</t>
  </si>
  <si>
    <t>QU 60 E968 1996</t>
  </si>
  <si>
    <t>0                      QU 0060000E  968         1996</t>
  </si>
  <si>
    <t>Excitatory amino acids : their role in neuroendocrine function / edited by Darrell W. Brann, Virendra B. Mahesh.</t>
  </si>
  <si>
    <t>836982762:eng</t>
  </si>
  <si>
    <t>33008055</t>
  </si>
  <si>
    <t>991001560739702656</t>
  </si>
  <si>
    <t>2261517410002656</t>
  </si>
  <si>
    <t>9780849376627</t>
  </si>
  <si>
    <t>30001003672542</t>
  </si>
  <si>
    <t>893369477</t>
  </si>
  <si>
    <t>QU 60 H236 1984 v.2</t>
  </si>
  <si>
    <t>0                      QU 0060000H  236         1984                                        v.2</t>
  </si>
  <si>
    <t>Handbook of HPLC for the separation of amino acids, peptides, and proteins : Volume II / editor, William S. Hancock.</t>
  </si>
  <si>
    <t>2001-11-28</t>
  </si>
  <si>
    <t>10141824727:eng</t>
  </si>
  <si>
    <t>9757331</t>
  </si>
  <si>
    <t>991000573999702656</t>
  </si>
  <si>
    <t>2262106180002656</t>
  </si>
  <si>
    <t>9780849335112</t>
  </si>
  <si>
    <t>30001000003287</t>
  </si>
  <si>
    <t>893166908</t>
  </si>
  <si>
    <t>QU 60 M5913 1999</t>
  </si>
  <si>
    <t>0                      QU 0060000M  5913        1999</t>
  </si>
  <si>
    <t>Methods for investigation of amino acid and protein metabolism / edited by Antoine E. El-Khoury.</t>
  </si>
  <si>
    <t>Boca Raton : CRC Press, c1999.</t>
  </si>
  <si>
    <t>Methods in nutrition research</t>
  </si>
  <si>
    <t>2010-04-08</t>
  </si>
  <si>
    <t>2010-04-05</t>
  </si>
  <si>
    <t>25925368:eng</t>
  </si>
  <si>
    <t>40534144</t>
  </si>
  <si>
    <t>991001577509702656</t>
  </si>
  <si>
    <t>2272804200002656</t>
  </si>
  <si>
    <t>9780849396120</t>
  </si>
  <si>
    <t>30001005344827</t>
  </si>
  <si>
    <t>893727779</t>
  </si>
  <si>
    <t>QU 60 P424 1976</t>
  </si>
  <si>
    <t>0                      QU 0060000P  424         1976</t>
  </si>
  <si>
    <t>Peptide hormones / edited by J. A. Parsons.</t>
  </si>
  <si>
    <t>Baltimore : University Park Press, c1976.</t>
  </si>
  <si>
    <t>2000-04-29</t>
  </si>
  <si>
    <t>918365671:eng</t>
  </si>
  <si>
    <t>1858465</t>
  </si>
  <si>
    <t>991000898489702656</t>
  </si>
  <si>
    <t>2266861150002656</t>
  </si>
  <si>
    <t>9780839107705</t>
  </si>
  <si>
    <t>30001000158974</t>
  </si>
  <si>
    <t>893637751</t>
  </si>
  <si>
    <t>QU 68 A244 1987</t>
  </si>
  <si>
    <t>0                      QU 0068000A  244         1987</t>
  </si>
  <si>
    <t>Advances in atrial peptide research / editors, Barry M. Brenner, John H. Laragh.</t>
  </si>
  <si>
    <t>New York : Raven Press, c1988.</t>
  </si>
  <si>
    <t>American Society of Hypertension symposium series ; v. 2</t>
  </si>
  <si>
    <t>1993-04-19</t>
  </si>
  <si>
    <t>1989-02-08</t>
  </si>
  <si>
    <t>365307447:eng</t>
  </si>
  <si>
    <t>17727409</t>
  </si>
  <si>
    <t>991001118529702656</t>
  </si>
  <si>
    <t>2258877240002656</t>
  </si>
  <si>
    <t>9780881674057</t>
  </si>
  <si>
    <t>30001001613944</t>
  </si>
  <si>
    <t>893134269</t>
  </si>
  <si>
    <t>QU 68 A615p 1987</t>
  </si>
  <si>
    <t>0                      QU 0068000A  615p        1987</t>
  </si>
  <si>
    <t>Peptides : chemistry, biology, interactions with proteins : proceedings of the 50th Anniversary Symposium of the Nobel-Prize of Albert Szent-Györgyi, Szeged, Hungary, August 31-September 4, 1987 / editors, Botond Penke, Angela Török.</t>
  </si>
  <si>
    <t>50th Anniversary Symposium of the Nobel-Prize of Albert Szent-Györgyi (1987 : Albert Szent-Györgyi Medical University)</t>
  </si>
  <si>
    <t>Berlin ; New York : W. de Gruyter, c1988.</t>
  </si>
  <si>
    <t>2004-04-25</t>
  </si>
  <si>
    <t>1989-02-27</t>
  </si>
  <si>
    <t>897145917:eng</t>
  </si>
  <si>
    <t>17918365</t>
  </si>
  <si>
    <t>991001240509702656</t>
  </si>
  <si>
    <t>2270633280002656</t>
  </si>
  <si>
    <t>9780899254302</t>
  </si>
  <si>
    <t>30001001675489</t>
  </si>
  <si>
    <t>893826579</t>
  </si>
  <si>
    <t>QU 68 A882 1989</t>
  </si>
  <si>
    <t>0                      QU 0068000A  882         1989</t>
  </si>
  <si>
    <t>Atrial natriuretic peptides / editors, Willis K. Samson, Remi Quirion.</t>
  </si>
  <si>
    <t>Boca Raton, FL : CRC Press, c1989.</t>
  </si>
  <si>
    <t>1993-12-02</t>
  </si>
  <si>
    <t>1989-06-27</t>
  </si>
  <si>
    <t>55184119:eng</t>
  </si>
  <si>
    <t>19125894</t>
  </si>
  <si>
    <t>991001251719702656</t>
  </si>
  <si>
    <t>2269197330002656</t>
  </si>
  <si>
    <t>9780849362491</t>
  </si>
  <si>
    <t>30001001679085</t>
  </si>
  <si>
    <t>893465328</t>
  </si>
  <si>
    <t>QU 68 B8115 1991</t>
  </si>
  <si>
    <t>0                      QU 0068000B  8115        1991</t>
  </si>
  <si>
    <t>Bradykinin antagonists : basic and clinical research / edited by Ronald M. Burch.</t>
  </si>
  <si>
    <t>New York : Dekker, c1991.</t>
  </si>
  <si>
    <t>Inflammatory disease and therapy ; 5</t>
  </si>
  <si>
    <t>2002-08-21</t>
  </si>
  <si>
    <t>1991-02-19</t>
  </si>
  <si>
    <t>795596522:eng</t>
  </si>
  <si>
    <t>22345212</t>
  </si>
  <si>
    <t>991000821439702656</t>
  </si>
  <si>
    <t>2258063590002656</t>
  </si>
  <si>
    <t>9780824783105</t>
  </si>
  <si>
    <t>30001002087619</t>
  </si>
  <si>
    <t>893726926</t>
  </si>
  <si>
    <t>QU 68 C7315 1998</t>
  </si>
  <si>
    <t>0                      QU 0068000C  7315        1998</t>
  </si>
  <si>
    <t>Combinatorial peptide library protocols / edited by Shmuel Cabilly.</t>
  </si>
  <si>
    <t>Methods in molecular biology ; v. 87</t>
  </si>
  <si>
    <t>1999-11-24</t>
  </si>
  <si>
    <t>1999-11-09</t>
  </si>
  <si>
    <t>766881767:eng</t>
  </si>
  <si>
    <t>37480679</t>
  </si>
  <si>
    <t>991001409099702656</t>
  </si>
  <si>
    <t>2268113380002656</t>
  </si>
  <si>
    <t>9780896033924</t>
  </si>
  <si>
    <t>30001003830306</t>
  </si>
  <si>
    <t>893816365</t>
  </si>
  <si>
    <t>QU 68 DE998K 1984</t>
  </si>
  <si>
    <t>0                      QU 0068000DE 998K        1984</t>
  </si>
  <si>
    <t>Opioid peptides in the periphery : proceedings of the International Symposium on Opioid Peptides in Periphery under the patronage of the Italian National Council of Research held in Rome, Italy, on May 23-25, 1984 / edited by Franco Fraioli, Aldo Isidori, Mario Mazzetti.</t>
  </si>
  <si>
    <t>International Symposium on Opioid Peptides in the Periphery (1984 : Rome, Italy)</t>
  </si>
  <si>
    <t>Amsterdam ; New York : Elsevier Science, c1984.</t>
  </si>
  <si>
    <t>Developments in neuroscience ; v. 18</t>
  </si>
  <si>
    <t>1988-11-23</t>
  </si>
  <si>
    <t>4167168:eng</t>
  </si>
  <si>
    <t>11187843</t>
  </si>
  <si>
    <t>991000898519702656</t>
  </si>
  <si>
    <t>2263155350002656</t>
  </si>
  <si>
    <t>9780444806246</t>
  </si>
  <si>
    <t>30001000158990</t>
  </si>
  <si>
    <t>893363512</t>
  </si>
  <si>
    <t>QU 68 E89p 1988</t>
  </si>
  <si>
    <t>0                      QU 0068000E  89p         1988</t>
  </si>
  <si>
    <t>Peptides 1988 : proceedings of the 20th European Peptide Symposium, University of Tübingen, Tübingen, FRG, September 4-9, 1988 / editors, Günther Jung, Ernst Bayer.</t>
  </si>
  <si>
    <t>European Peptide Symposium (20th : 1988 : University of Tübingen)</t>
  </si>
  <si>
    <t>New York : W. de Gruyter, c1988.</t>
  </si>
  <si>
    <t>1989-09-12</t>
  </si>
  <si>
    <t>1989-07-29</t>
  </si>
  <si>
    <t>21125635:eng</t>
  </si>
  <si>
    <t>19352703</t>
  </si>
  <si>
    <t>991001254979702656</t>
  </si>
  <si>
    <t>2269525320002656</t>
  </si>
  <si>
    <t>9780899255941</t>
  </si>
  <si>
    <t>30001001680000</t>
  </si>
  <si>
    <t>893450984</t>
  </si>
  <si>
    <t>QU 68 F249c 1989</t>
  </si>
  <si>
    <t>0                      QU 0068000F  249c        1989</t>
  </si>
  <si>
    <t>Computer-assisted design of anti-peptides based on the amino acid sequence of a target peptide / Georgio Fassina, Arthur D. Olson.</t>
  </si>
  <si>
    <t>Fassina, Georgio.</t>
  </si>
  <si>
    <t>Washington, D.C. : (U.S.) Department of Health and Human Services, available from the National Technical Information Service, Springfield, VA., 1989.</t>
  </si>
  <si>
    <t>dcu</t>
  </si>
  <si>
    <t>1990-10-02</t>
  </si>
  <si>
    <t>25051887:eng</t>
  </si>
  <si>
    <t>23717622</t>
  </si>
  <si>
    <t>991001453039702656</t>
  </si>
  <si>
    <t>2259419550002656</t>
  </si>
  <si>
    <t>30001001883877</t>
  </si>
  <si>
    <t>893552522</t>
  </si>
  <si>
    <t>QU 68 F745s 1988</t>
  </si>
  <si>
    <t>0                      QU 0068000F  745s        1988</t>
  </si>
  <si>
    <t>Second forum on Peptides / edited by A. Aubry, M. Marraud and B. Vitoux.</t>
  </si>
  <si>
    <t>Forum on Peptides (2nd : 1988 : Nancy, France)</t>
  </si>
  <si>
    <t>London ; Paris : INSERM, c1989.</t>
  </si>
  <si>
    <t>1990-01-17</t>
  </si>
  <si>
    <t>8907470633:eng</t>
  </si>
  <si>
    <t>19263888</t>
  </si>
  <si>
    <t>991001251749702656</t>
  </si>
  <si>
    <t>2266059420002656</t>
  </si>
  <si>
    <t>9780861961511</t>
  </si>
  <si>
    <t>30001001679101</t>
  </si>
  <si>
    <t>893369261</t>
  </si>
  <si>
    <t>QU 68 M174 1988</t>
  </si>
  <si>
    <t>0                      QU 0068000M  174         1988</t>
  </si>
  <si>
    <t>Macromolecular sequencing and synthesis : selected methods and applications / editor, David H. Schlesinger.</t>
  </si>
  <si>
    <t>New York : Liss, c1988.</t>
  </si>
  <si>
    <t>1999-09-08</t>
  </si>
  <si>
    <t>1988-07-08</t>
  </si>
  <si>
    <t>890236819:eng</t>
  </si>
  <si>
    <t>17233889</t>
  </si>
  <si>
    <t>991001418219702656</t>
  </si>
  <si>
    <t>2272749620002656</t>
  </si>
  <si>
    <t>9780845142462</t>
  </si>
  <si>
    <t>30001001181371</t>
  </si>
  <si>
    <t>893633043</t>
  </si>
  <si>
    <t>QU 68 P422 1991</t>
  </si>
  <si>
    <t>0                      QU 0068000P  422         1991</t>
  </si>
  <si>
    <t>Peptide biosynthesis and processing / edited by Lloyd D. Fricker.</t>
  </si>
  <si>
    <t>Boca Raton : CRC Press, c1991.</t>
  </si>
  <si>
    <t>2001-12-18</t>
  </si>
  <si>
    <t>24965715:eng</t>
  </si>
  <si>
    <t>23216592</t>
  </si>
  <si>
    <t>991001014339702656</t>
  </si>
  <si>
    <t>2261846890002656</t>
  </si>
  <si>
    <t>9780849388521</t>
  </si>
  <si>
    <t>30001002240440</t>
  </si>
  <si>
    <t>893648834</t>
  </si>
  <si>
    <t>QU 68 P42335 2008</t>
  </si>
  <si>
    <t>0                      QU 0068000P  42335       2008</t>
  </si>
  <si>
    <t>Peptide-based drug design / edited by Laszlo Otvos.</t>
  </si>
  <si>
    <t>Totowa, NJ : Humana, c2008.</t>
  </si>
  <si>
    <t>Methods in molecular biology ; 494</t>
  </si>
  <si>
    <t>2009-05-05</t>
  </si>
  <si>
    <t>2009-03-03</t>
  </si>
  <si>
    <t>136804046:eng</t>
  </si>
  <si>
    <t>227032711</t>
  </si>
  <si>
    <t>991001369789702656</t>
  </si>
  <si>
    <t>2263309870002656</t>
  </si>
  <si>
    <t>9781588299901</t>
  </si>
  <si>
    <t>30001005379864</t>
  </si>
  <si>
    <t>893279025</t>
  </si>
  <si>
    <t>QU 68 P42435 1994</t>
  </si>
  <si>
    <t>0                      QU 0068000P  42435       1994</t>
  </si>
  <si>
    <t>Peptides : design, synthesis, and biological activity / Channa Basava, G.M. Anantharamaiah, editors.</t>
  </si>
  <si>
    <t>2009-05-29</t>
  </si>
  <si>
    <t>866854569:eng</t>
  </si>
  <si>
    <t>29029580</t>
  </si>
  <si>
    <t>991000686179702656</t>
  </si>
  <si>
    <t>2256122600002656</t>
  </si>
  <si>
    <t>9780817637033</t>
  </si>
  <si>
    <t>30001003742949</t>
  </si>
  <si>
    <t>893450087</t>
  </si>
  <si>
    <t>QU 68 P425 1995</t>
  </si>
  <si>
    <t>0                      QU 0068000P  425         1995</t>
  </si>
  <si>
    <t>Peptides : synthesis, structures, and applications / edited by Bernd Gutte.</t>
  </si>
  <si>
    <t>San Diego : Academic Press, c1995.</t>
  </si>
  <si>
    <t>1998-11-17</t>
  </si>
  <si>
    <t>1010727920:eng</t>
  </si>
  <si>
    <t>32348975</t>
  </si>
  <si>
    <t>991000826189702656</t>
  </si>
  <si>
    <t>2261588750002656</t>
  </si>
  <si>
    <t>9780123109200</t>
  </si>
  <si>
    <t>30001004092799</t>
  </si>
  <si>
    <t>893743506</t>
  </si>
  <si>
    <t>QU 68 P4256 1999</t>
  </si>
  <si>
    <t>0                      QU 0068000P  4256        1999</t>
  </si>
  <si>
    <t>Peptidomimetics protocols / edited by Wieslaw M. Kazmierski.</t>
  </si>
  <si>
    <t>Totowa, NJ : Humana Press, c1998.</t>
  </si>
  <si>
    <t>Methods in molecular medicine ; v. 23</t>
  </si>
  <si>
    <t>2000-05-09</t>
  </si>
  <si>
    <t>1998-12-17</t>
  </si>
  <si>
    <t>766884177:eng</t>
  </si>
  <si>
    <t>39282400</t>
  </si>
  <si>
    <t>991001391229702656</t>
  </si>
  <si>
    <t>2264671440002656</t>
  </si>
  <si>
    <t>9780896035171</t>
  </si>
  <si>
    <t>30001003807825</t>
  </si>
  <si>
    <t>893743764</t>
  </si>
  <si>
    <t>QU 68 U17b 1988</t>
  </si>
  <si>
    <t>0                      QU 0068000U  17b         1988</t>
  </si>
  <si>
    <t>Biological and molecular aspects of atrial factors : proceedings of a Director's Sponsors-UCLA Symposium, held at Steamboat Springs, Colorado, January 17-23, 1988 / editor, Philip Needleman.</t>
  </si>
  <si>
    <t>V. 81</t>
  </si>
  <si>
    <t>UCLA Symposium on the Biological and Molecular Aspects of Atrial Factors (1988 : Steamboat Springs, Colo.)</t>
  </si>
  <si>
    <t>UCLA symposia on molecular and cellular biology ; new ser., v. 81</t>
  </si>
  <si>
    <t>2001-12-12</t>
  </si>
  <si>
    <t>1989-06-23</t>
  </si>
  <si>
    <t>795495616:eng</t>
  </si>
  <si>
    <t>18350728</t>
  </si>
  <si>
    <t>991001253739702656</t>
  </si>
  <si>
    <t>2256411220002656</t>
  </si>
  <si>
    <t>9780845126806</t>
  </si>
  <si>
    <t>30001001679705</t>
  </si>
  <si>
    <t>893168097</t>
  </si>
  <si>
    <t>QU 75 F944 1990</t>
  </si>
  <si>
    <t>0                      QU 0075000F  944         1990</t>
  </si>
  <si>
    <t>Fructose-2,6-bisphosphate / editor, Simon J. Pilkis.</t>
  </si>
  <si>
    <t>1989-09-28</t>
  </si>
  <si>
    <t>22659097:eng</t>
  </si>
  <si>
    <t>20294298</t>
  </si>
  <si>
    <t>991001324079702656</t>
  </si>
  <si>
    <t>2255228360002656</t>
  </si>
  <si>
    <t>9780849347955</t>
  </si>
  <si>
    <t>30001001754268</t>
  </si>
  <si>
    <t>893832101</t>
  </si>
  <si>
    <t>QU 75 G997m 1998</t>
  </si>
  <si>
    <t>0                      QU 0075000G  997m        1998</t>
  </si>
  <si>
    <t>Monosaccharide sugars : chemical synthesis by chain elongation, degradation, and epimerization / Zoltán Györgydeák, István F. Pelyvás.</t>
  </si>
  <si>
    <t>Györgydeák, Zoltán.</t>
  </si>
  <si>
    <t>1999-03-27</t>
  </si>
  <si>
    <t>801416359:eng</t>
  </si>
  <si>
    <t>37179642</t>
  </si>
  <si>
    <t>991001569909702656</t>
  </si>
  <si>
    <t>2256661440002656</t>
  </si>
  <si>
    <t>9780125503600</t>
  </si>
  <si>
    <t>30001004092468</t>
  </si>
  <si>
    <t>893268653</t>
  </si>
  <si>
    <t>QU75 L745e 2003</t>
  </si>
  <si>
    <t>0                      QU 0075000L  745e        2003</t>
  </si>
  <si>
    <t>Essentials of carbohydrate chemistry and biochemistry / Thisbe K. Lindhorst.</t>
  </si>
  <si>
    <t>Lindhorst, Thisbe K.</t>
  </si>
  <si>
    <t>Weinheim ; [Chichester] : Wiley, c2003.</t>
  </si>
  <si>
    <t>2005-02-03</t>
  </si>
  <si>
    <t>2005-02-01</t>
  </si>
  <si>
    <t>831931:eng</t>
  </si>
  <si>
    <t>52090799</t>
  </si>
  <si>
    <t>991000425749702656</t>
  </si>
  <si>
    <t>2265333000002656</t>
  </si>
  <si>
    <t>9783527306640</t>
  </si>
  <si>
    <t>30001004927127</t>
  </si>
  <si>
    <t>893639165</t>
  </si>
  <si>
    <t>QU 75 P927 1997</t>
  </si>
  <si>
    <t>0                      QU 0075000P  927         1997</t>
  </si>
  <si>
    <t>Preparative carbohydrate chemistry / edited by Stephen Hanessian.</t>
  </si>
  <si>
    <t>New York : Marcel Dekker, c1997.</t>
  </si>
  <si>
    <t>1998-03-04</t>
  </si>
  <si>
    <t>412792045:eng</t>
  </si>
  <si>
    <t>35829027</t>
  </si>
  <si>
    <t>991001226359702656</t>
  </si>
  <si>
    <t>2257284440002656</t>
  </si>
  <si>
    <t>9780824798024</t>
  </si>
  <si>
    <t>30001003669431</t>
  </si>
  <si>
    <t>893643344</t>
  </si>
  <si>
    <t>QU75 R668e 1998</t>
  </si>
  <si>
    <t>0                      QU 0075000R  668e        1998</t>
  </si>
  <si>
    <t>Essentials of carbohydrate chemistry / John F. Robyt.</t>
  </si>
  <si>
    <t>Robyt, John F., 1935-</t>
  </si>
  <si>
    <t>New York : Springer, c1998.</t>
  </si>
  <si>
    <t>536466:eng</t>
  </si>
  <si>
    <t>36858098</t>
  </si>
  <si>
    <t>991000425699702656</t>
  </si>
  <si>
    <t>2258833130002656</t>
  </si>
  <si>
    <t>9780387949512</t>
  </si>
  <si>
    <t>30001004927119</t>
  </si>
  <si>
    <t>893832800</t>
  </si>
  <si>
    <t>QU 75 S528s 1975</t>
  </si>
  <si>
    <t>0                      QU 0075000S  528s        1975</t>
  </si>
  <si>
    <t>Sugar chemistry / by R. S. Shallenberger and G. G. Birch.</t>
  </si>
  <si>
    <t>Shallenberger, R. S.</t>
  </si>
  <si>
    <t>Westport, Conn. : Avi Pub. Co., 1975.</t>
  </si>
  <si>
    <t>ctu</t>
  </si>
  <si>
    <t>1989-11-13</t>
  </si>
  <si>
    <t>3754624708:eng</t>
  </si>
  <si>
    <t>1360899</t>
  </si>
  <si>
    <t>991000898269702656</t>
  </si>
  <si>
    <t>2257809670002656</t>
  </si>
  <si>
    <t>9780870551666</t>
  </si>
  <si>
    <t>30001000158826</t>
  </si>
  <si>
    <t>893273447</t>
  </si>
  <si>
    <t>QU 83 K39 1988</t>
  </si>
  <si>
    <t>0                      QU 0083000K  39          1988</t>
  </si>
  <si>
    <t>Keratan sulphate : chemistry, biology, chemical pathology : a meeting held at Vaalsbroek, August 1988 / edited by Helmut Greiling and John E. Scott.</t>
  </si>
  <si>
    <t>London : Biochemical Society, c1989.</t>
  </si>
  <si>
    <t>1991-07-16</t>
  </si>
  <si>
    <t>1991-05-07</t>
  </si>
  <si>
    <t>836763155:eng</t>
  </si>
  <si>
    <t>22862636</t>
  </si>
  <si>
    <t>991000827779702656</t>
  </si>
  <si>
    <t>2272670700002656</t>
  </si>
  <si>
    <t>9780904498257</t>
  </si>
  <si>
    <t>30001002089755</t>
  </si>
  <si>
    <t>893831456</t>
  </si>
  <si>
    <t>QU 83 K95p 2006</t>
  </si>
  <si>
    <t>0                      QU 0083000K  95p         2006</t>
  </si>
  <si>
    <t>Practical aspects of hyaluronan based medical products / J.W. Kuo.</t>
  </si>
  <si>
    <t>Kuo, J. W. (Jing-wen)</t>
  </si>
  <si>
    <t>Boca Raton : CRC/Taylor &amp; Francis, 2006.</t>
  </si>
  <si>
    <t>2007-02-09</t>
  </si>
  <si>
    <t>2007-02-08</t>
  </si>
  <si>
    <t>20304912:eng</t>
  </si>
  <si>
    <t>59280353</t>
  </si>
  <si>
    <t>991000593479702656</t>
  </si>
  <si>
    <t>2257280730002656</t>
  </si>
  <si>
    <t>9780849333248</t>
  </si>
  <si>
    <t>30001005169794</t>
  </si>
  <si>
    <t>893146394</t>
  </si>
  <si>
    <t>QU 85 B6154 1991</t>
  </si>
  <si>
    <t>0                      QU 0085000B  6154        1991</t>
  </si>
  <si>
    <t>Biochemistry of lipids, lipoproteins, and membranes / editors, D.E. Vance and J. Vance.</t>
  </si>
  <si>
    <t>Amsterdam ; New York : Elsevier, c1991.</t>
  </si>
  <si>
    <t>New comprehensive biochemistry ; v. 20</t>
  </si>
  <si>
    <t>1996-03-05</t>
  </si>
  <si>
    <t>1992-04-14</t>
  </si>
  <si>
    <t>766651997:eng</t>
  </si>
  <si>
    <t>24848546</t>
  </si>
  <si>
    <t>991001302279702656</t>
  </si>
  <si>
    <t>2263035050002656</t>
  </si>
  <si>
    <t>9780444893215</t>
  </si>
  <si>
    <t>30001002412338</t>
  </si>
  <si>
    <t>893274001</t>
  </si>
  <si>
    <t>QU 85 C518 1969</t>
  </si>
  <si>
    <t>0                      QU 0085000C  518         1969</t>
  </si>
  <si>
    <t>Chemistry and biochemistry of steroids / Leland J. Chinn ... [et al.].</t>
  </si>
  <si>
    <t>Los Altos, Calif. : Geron-X, c1969.</t>
  </si>
  <si>
    <t>Intra-science chemistry reports ; v. 3, no. 1</t>
  </si>
  <si>
    <t>9262041846:eng</t>
  </si>
  <si>
    <t>55840</t>
  </si>
  <si>
    <t>991000898729702656</t>
  </si>
  <si>
    <t>2258341430002656</t>
  </si>
  <si>
    <t>30001000159238</t>
  </si>
  <si>
    <t>893736001</t>
  </si>
  <si>
    <t>QU 85 D5646 1981</t>
  </si>
  <si>
    <t>0                      QU 0085000D  5646        1981</t>
  </si>
  <si>
    <t>Dietary fats and health / edited by E.G. Perkins and W.J. Visek.</t>
  </si>
  <si>
    <t>Champaign, Ill. : American Oil Chemists' Society, c1983.</t>
  </si>
  <si>
    <t>ilu</t>
  </si>
  <si>
    <t>AOCS monograph ; 10</t>
  </si>
  <si>
    <t>1989-11-14</t>
  </si>
  <si>
    <t>355617719:eng</t>
  </si>
  <si>
    <t>9464455</t>
  </si>
  <si>
    <t>991000898779702656</t>
  </si>
  <si>
    <t>2264313780002656</t>
  </si>
  <si>
    <t>30001000159287</t>
  </si>
  <si>
    <t>893651800</t>
  </si>
  <si>
    <t>QU 85 E277 1994</t>
  </si>
  <si>
    <t>0                      QU 0085000E  277         1994</t>
  </si>
  <si>
    <t>Effects of fatty acids and lipids in health and disease / volume editors, Claudio Galli, Artemis P. Simopoulos, Elena Tremoli.</t>
  </si>
  <si>
    <t>Basel ; New York : Karger, c1994.</t>
  </si>
  <si>
    <t>World review of nutrition and dietetics ; vol. 76</t>
  </si>
  <si>
    <t>2008-09-04</t>
  </si>
  <si>
    <t>1995-01-10</t>
  </si>
  <si>
    <t>349923616:eng</t>
  </si>
  <si>
    <t>30895162</t>
  </si>
  <si>
    <t>991000684989702656</t>
  </si>
  <si>
    <t>2270935220002656</t>
  </si>
  <si>
    <t>9783805560405</t>
  </si>
  <si>
    <t>30001002698746</t>
  </si>
  <si>
    <t>893545496</t>
  </si>
  <si>
    <t>QU 85 G981L 1991</t>
  </si>
  <si>
    <t>0                      QU 0085000G  981L        1991</t>
  </si>
  <si>
    <t>Lipid biochemistry : an introduction / M.I. Gurr, J.L.Harwood.</t>
  </si>
  <si>
    <t>Gurr, M. I. (Michael Ian)</t>
  </si>
  <si>
    <t>London ; New York : Chapman and Hall, c1991.</t>
  </si>
  <si>
    <t>1990-10-10</t>
  </si>
  <si>
    <t>2387785:eng</t>
  </si>
  <si>
    <t>23179955</t>
  </si>
  <si>
    <t>991000764769702656</t>
  </si>
  <si>
    <t>2265599350002656</t>
  </si>
  <si>
    <t>9780412266201</t>
  </si>
  <si>
    <t>30001002060830</t>
  </si>
  <si>
    <t>893267413</t>
  </si>
  <si>
    <t>QU 85 H236 1987 v.5</t>
  </si>
  <si>
    <t>0                      QU 0085000H  236         1987                                        v.5</t>
  </si>
  <si>
    <t>The phospholipases / Moseley Waite.</t>
  </si>
  <si>
    <t>V.5</t>
  </si>
  <si>
    <t>Waite, Moseley.</t>
  </si>
  <si>
    <t>Handbook of lipid research ; v. 5</t>
  </si>
  <si>
    <t>1988-04-22</t>
  </si>
  <si>
    <t>11528009:eng</t>
  </si>
  <si>
    <t>15790355</t>
  </si>
  <si>
    <t>991001183369702656</t>
  </si>
  <si>
    <t>22101749330002656</t>
  </si>
  <si>
    <t>9780306426216</t>
  </si>
  <si>
    <t>30001000977415</t>
  </si>
  <si>
    <t>893121250</t>
  </si>
  <si>
    <t>QU 85 H236 1990 v.6</t>
  </si>
  <si>
    <t>0                      QU 0085000H  236         1990                                        v.6</t>
  </si>
  <si>
    <t>Glycolipids, phosphoglycolipids, and sulfoglycolipids / edited by Morris Kates.</t>
  </si>
  <si>
    <t>New York : Plenum Press, c1990.</t>
  </si>
  <si>
    <t>Handbook of lipid research ; v. 6</t>
  </si>
  <si>
    <t>1990-10-23</t>
  </si>
  <si>
    <t>1990-05-21</t>
  </si>
  <si>
    <t>658800598:eng</t>
  </si>
  <si>
    <t>21195405</t>
  </si>
  <si>
    <t>991001372679702656</t>
  </si>
  <si>
    <t>2268885600002656</t>
  </si>
  <si>
    <t>9780306433559</t>
  </si>
  <si>
    <t>30001001797978</t>
  </si>
  <si>
    <t>893451118</t>
  </si>
  <si>
    <t>QU 85 H236p 1986 v.4</t>
  </si>
  <si>
    <t>0                      QU 0085000H  236p        1986                                        v.4</t>
  </si>
  <si>
    <t>The physical chemistry of lipids : from alkanes to phospholipids / Donald M. Small with contributions by Bryan M. Craven ... [et al.].</t>
  </si>
  <si>
    <t>Small, Donald M.</t>
  </si>
  <si>
    <t>New York : Plenum Press, c1986.</t>
  </si>
  <si>
    <t>Handbook of lipid research ; v. 4</t>
  </si>
  <si>
    <t>1990-10-20</t>
  </si>
  <si>
    <t>807291968:eng</t>
  </si>
  <si>
    <t>12586927</t>
  </si>
  <si>
    <t>991000898959702656</t>
  </si>
  <si>
    <t>22101749320002656</t>
  </si>
  <si>
    <t>9780306417634</t>
  </si>
  <si>
    <t>30001000159352</t>
  </si>
  <si>
    <t>893815885</t>
  </si>
  <si>
    <t>QU 85 H236s 1983 v.3</t>
  </si>
  <si>
    <t>0                      QU 0085000H  236s        1983                                        v.3</t>
  </si>
  <si>
    <t>Sphingolipid biochemistry / Julian N. Kanfer and Sen-itiroh Hakamori.</t>
  </si>
  <si>
    <t>Kanfer, Julian N., 1930-</t>
  </si>
  <si>
    <t>New York : Plenum Press, c1983.</t>
  </si>
  <si>
    <t>Handbook of lipid research ; v. 3</t>
  </si>
  <si>
    <t>2003-09-30</t>
  </si>
  <si>
    <t>1988-01-29</t>
  </si>
  <si>
    <t>495837856:eng</t>
  </si>
  <si>
    <t>9557495</t>
  </si>
  <si>
    <t>991000898919702656</t>
  </si>
  <si>
    <t>2266660540002656</t>
  </si>
  <si>
    <t>9780306410925</t>
  </si>
  <si>
    <t>30001000159345</t>
  </si>
  <si>
    <t>893363513</t>
  </si>
  <si>
    <t>QU 85 I5916L 1980</t>
  </si>
  <si>
    <t>0                      QU 0085000I  5916L       1980</t>
  </si>
  <si>
    <t>Lipid metabolism and its pathology / edited by M.J. Halpern.</t>
  </si>
  <si>
    <t>International Colloquium on Lipid Metabolism and Its Pathology (1980 : Lisbon, Portugal)</t>
  </si>
  <si>
    <t>1990-02-08</t>
  </si>
  <si>
    <t>4134030:eng</t>
  </si>
  <si>
    <t>11532294</t>
  </si>
  <si>
    <t>991000899059702656</t>
  </si>
  <si>
    <t>2263447480002656</t>
  </si>
  <si>
    <t>9780306418990</t>
  </si>
  <si>
    <t>30001000159469</t>
  </si>
  <si>
    <t>893731498</t>
  </si>
  <si>
    <t>QU 85 I596 1989d</t>
  </si>
  <si>
    <t>0                      QU 0085000I  596         1989d</t>
  </si>
  <si>
    <t>Drugs affecting lipid metabolism X : proceedings of the Xth International Symposium on Drugs Affecting Lipid Metabolism, Texas, 8-11 November 1989 / chairman, Antonio M. Gotto, Jr., and Rodolfo Paoletti ; editors, Antonio M. Gotto, Jr., Louis C. Smith.</t>
  </si>
  <si>
    <t>International Symposium on Drugs Affecting Lipid Metabolism (10th : 1989 : Houston, Tex.)</t>
  </si>
  <si>
    <t>Amsterdam ; New York : Excerpta Medica ; New York, NY, USA : Sole distributors for the U.S.A. and Canada, Elsevier Science Pub. Co., c1990.</t>
  </si>
  <si>
    <t>International congress series ; no. 905</t>
  </si>
  <si>
    <t>1991-03-28</t>
  </si>
  <si>
    <t>355551633:eng</t>
  </si>
  <si>
    <t>22665298</t>
  </si>
  <si>
    <t>991000827529702656</t>
  </si>
  <si>
    <t>2257252050002656</t>
  </si>
  <si>
    <t>9780444812018</t>
  </si>
  <si>
    <t>30001002089474</t>
  </si>
  <si>
    <t>893735841</t>
  </si>
  <si>
    <t>QU 85 K11L 1988</t>
  </si>
  <si>
    <t>0                      QU 0085000K  11L         1988</t>
  </si>
  <si>
    <t>Lipid peroxidation in biomembranes / author, Valerian E. Kagan.</t>
  </si>
  <si>
    <t>Kagan, Valerian E.</t>
  </si>
  <si>
    <t>1992-06-30</t>
  </si>
  <si>
    <t>11976512:eng</t>
  </si>
  <si>
    <t>16406005</t>
  </si>
  <si>
    <t>991001314059702656</t>
  </si>
  <si>
    <t>2267806340002656</t>
  </si>
  <si>
    <t>9780849369230</t>
  </si>
  <si>
    <t>30001001752080</t>
  </si>
  <si>
    <t>893374440</t>
  </si>
  <si>
    <t>QU 85 L7645 1982 v.1-2</t>
  </si>
  <si>
    <t>0                      QU 0085000L  7645        1982                                        v.1-2</t>
  </si>
  <si>
    <t>Lipid-protein interactions / edited by Patricia C. Jost and O. Hayes Griffith.</t>
  </si>
  <si>
    <t>355982911:eng</t>
  </si>
  <si>
    <t>7946445</t>
  </si>
  <si>
    <t>991000899099702656</t>
  </si>
  <si>
    <t>2269682780002656</t>
  </si>
  <si>
    <t>9780471064565</t>
  </si>
  <si>
    <t>30001000159477</t>
  </si>
  <si>
    <t>893284012</t>
  </si>
  <si>
    <t>30001000159485</t>
  </si>
  <si>
    <t>893287089</t>
  </si>
  <si>
    <t>QU 85 L7646 1992</t>
  </si>
  <si>
    <t>0                      QU 0085000L  7646        1992</t>
  </si>
  <si>
    <t>Lipid analysis : a practical approach / edited by Richard John Hamilton and Shiela Hamilton.</t>
  </si>
  <si>
    <t>2001-03-01</t>
  </si>
  <si>
    <t>1995-02-08</t>
  </si>
  <si>
    <t>806763020:eng</t>
  </si>
  <si>
    <t>26094728</t>
  </si>
  <si>
    <t>991000686559702656</t>
  </si>
  <si>
    <t>2269379560002656</t>
  </si>
  <si>
    <t>9780199630981</t>
  </si>
  <si>
    <t>30001002699181</t>
  </si>
  <si>
    <t>893739977</t>
  </si>
  <si>
    <t>QU 85 L7647 1992</t>
  </si>
  <si>
    <t>0                      QU 0085000L  7647        1992</t>
  </si>
  <si>
    <t>Lipid modification of proteins : a practical approach / edited by N.M. Hooper and A.J. Turner.</t>
  </si>
  <si>
    <t>2003-02-12</t>
  </si>
  <si>
    <t>803482433:eng</t>
  </si>
  <si>
    <t>24908044</t>
  </si>
  <si>
    <t>991000686599702656</t>
  </si>
  <si>
    <t>2267043030002656</t>
  </si>
  <si>
    <t>9780199632732</t>
  </si>
  <si>
    <t>30001002699199</t>
  </si>
  <si>
    <t>893286852</t>
  </si>
  <si>
    <t>QU 85 L765225 1991</t>
  </si>
  <si>
    <t>0                      QU 0085000L  765225      1991</t>
  </si>
  <si>
    <t>Lipids and women's health / Geoffrey P. Redmond, editor.</t>
  </si>
  <si>
    <t>New York : Springer-Verlag, c1991.</t>
  </si>
  <si>
    <t>1991-07-18</t>
  </si>
  <si>
    <t>1991-04-25</t>
  </si>
  <si>
    <t>23093899:eng</t>
  </si>
  <si>
    <t>21517666</t>
  </si>
  <si>
    <t>991000933979702656</t>
  </si>
  <si>
    <t>2268046440002656</t>
  </si>
  <si>
    <t>9780387973180</t>
  </si>
  <si>
    <t>30001002190348</t>
  </si>
  <si>
    <t>893731541</t>
  </si>
  <si>
    <t>QU 85 L76523 1986</t>
  </si>
  <si>
    <t>0                      QU 0085000L  76523       1986</t>
  </si>
  <si>
    <t>Lipids : chemistry, biochemistry, and nutrition / James F. Mead ... [et al.].</t>
  </si>
  <si>
    <t>836667884:eng</t>
  </si>
  <si>
    <t>12555155</t>
  </si>
  <si>
    <t>991001373229702656</t>
  </si>
  <si>
    <t>2260681000002656</t>
  </si>
  <si>
    <t>9780306419904</t>
  </si>
  <si>
    <t>30001001797994</t>
  </si>
  <si>
    <t>893284736</t>
  </si>
  <si>
    <t>QU 85 L766 1999</t>
  </si>
  <si>
    <t>0                      QU 0085000L  766         1999</t>
  </si>
  <si>
    <t>Lipoproteins in health and disease / edited by D.J. Betteridge, D. Roger Illingworth, J. Shepherd.</t>
  </si>
  <si>
    <t>London : Arnold ; New York : Oxford University Press, c1999.</t>
  </si>
  <si>
    <t>2000-11-07</t>
  </si>
  <si>
    <t>350332009:eng</t>
  </si>
  <si>
    <t>38758002</t>
  </si>
  <si>
    <t>991001446049702656</t>
  </si>
  <si>
    <t>2268694750002656</t>
  </si>
  <si>
    <t>9780340552698</t>
  </si>
  <si>
    <t>30001003884485</t>
  </si>
  <si>
    <t>893369406</t>
  </si>
  <si>
    <t>QU 85 M718 1992</t>
  </si>
  <si>
    <t>0                      QU 0085000M  718         1992</t>
  </si>
  <si>
    <t>Molecular structure and biological activity of steroids / edited by Martin Bohl, William L. Duax.</t>
  </si>
  <si>
    <t>1997-10-05</t>
  </si>
  <si>
    <t>365859673:eng</t>
  </si>
  <si>
    <t>25096795</t>
  </si>
  <si>
    <t>991001428969702656</t>
  </si>
  <si>
    <t>2256053690002656</t>
  </si>
  <si>
    <t>9780849369551</t>
  </si>
  <si>
    <t>30001002528240</t>
  </si>
  <si>
    <t>893377241</t>
  </si>
  <si>
    <t>QU 85 N4943 1999</t>
  </si>
  <si>
    <t>0                      QU 0085000N  4943        1999</t>
  </si>
  <si>
    <t>Neurosteroids : a new regulatory function in the nervous system / edited by Etienne-Emile Baulieu, Paul Robel, Michael Schumacher.</t>
  </si>
  <si>
    <t>Contemporary endocrinology ; 21</t>
  </si>
  <si>
    <t>2000-09-07</t>
  </si>
  <si>
    <t>2000-07-20</t>
  </si>
  <si>
    <t>801197311:eng</t>
  </si>
  <si>
    <t>40674944</t>
  </si>
  <si>
    <t>991000277209702656</t>
  </si>
  <si>
    <t>2260578710002656</t>
  </si>
  <si>
    <t>9780896035454</t>
  </si>
  <si>
    <t>30001003941897</t>
  </si>
  <si>
    <t>893811291</t>
  </si>
  <si>
    <t>QU 85 N532 1993</t>
  </si>
  <si>
    <t>0                      QU 0085000N  532         1993</t>
  </si>
  <si>
    <t>New developments in lipid-protein interactions and receptor function / edited by K.W.A. Wirtz ... [et al.].</t>
  </si>
  <si>
    <t>New York : Plenum Press, c1993.</t>
  </si>
  <si>
    <t>NATO ASI series. Series A, Life sciences ; v. 246</t>
  </si>
  <si>
    <t>1999-05-10</t>
  </si>
  <si>
    <t>1994-05-31</t>
  </si>
  <si>
    <t>583803717:eng</t>
  </si>
  <si>
    <t>28291779</t>
  </si>
  <si>
    <t>991001194579702656</t>
  </si>
  <si>
    <t>2259794790002656</t>
  </si>
  <si>
    <t>9780306445217</t>
  </si>
  <si>
    <t>30001002984112</t>
  </si>
  <si>
    <t>893546441</t>
  </si>
  <si>
    <t>QU 85 R344 1982</t>
  </si>
  <si>
    <t>0                      QU 0085000R  344         1982</t>
  </si>
  <si>
    <t>Regulation of serum lipids by physical exercise / editor, Eino Hietanen.</t>
  </si>
  <si>
    <t>Boca Raton, Fla. : CRC Press, c1982.</t>
  </si>
  <si>
    <t>1996-02-13</t>
  </si>
  <si>
    <t>29585931:eng</t>
  </si>
  <si>
    <t>7775566</t>
  </si>
  <si>
    <t>991000899139702656</t>
  </si>
  <si>
    <t>2272641700002656</t>
  </si>
  <si>
    <t>9780849363306</t>
  </si>
  <si>
    <t>30001000159519</t>
  </si>
  <si>
    <t>893374072</t>
  </si>
  <si>
    <t>QU 85 R745 1990</t>
  </si>
  <si>
    <t>0                      QU 0085000R  745         1990</t>
  </si>
  <si>
    <t>Role of copper in lipid metabolism / editor, K.Y. Lei, associate editor, Timothy P. Carr.</t>
  </si>
  <si>
    <t>1990-08-28</t>
  </si>
  <si>
    <t>1990-07-11</t>
  </si>
  <si>
    <t>365198340:eng</t>
  </si>
  <si>
    <t>20220845</t>
  </si>
  <si>
    <t>991001450659702656</t>
  </si>
  <si>
    <t>2261198160002656</t>
  </si>
  <si>
    <t>9780849355646</t>
  </si>
  <si>
    <t>30001001882812</t>
  </si>
  <si>
    <t>893552518</t>
  </si>
  <si>
    <t>QU 85 Z43m 1990</t>
  </si>
  <si>
    <t>0                      QU 0085000Z  43m         1990</t>
  </si>
  <si>
    <t>Medicinal chemistry of steroids / F.J. Zeelen.</t>
  </si>
  <si>
    <t>Zeelen, F. J.</t>
  </si>
  <si>
    <t>Amsterdam ; New York : Elsevier ; New York, NY, USA : Distributors for the U.S. and Canada, Elsevier Science Pub. Co., c1990.</t>
  </si>
  <si>
    <t>Pharmacochemistry library ; v. 15</t>
  </si>
  <si>
    <t>2006-10-05</t>
  </si>
  <si>
    <t>1991-01-28</t>
  </si>
  <si>
    <t>24043991:eng</t>
  </si>
  <si>
    <t>22311309</t>
  </si>
  <si>
    <t>991000816119702656</t>
  </si>
  <si>
    <t>2264504250002656</t>
  </si>
  <si>
    <t>9780444887276</t>
  </si>
  <si>
    <t>30001002086413</t>
  </si>
  <si>
    <t>893120487</t>
  </si>
  <si>
    <t>QU 87 M592 1990</t>
  </si>
  <si>
    <t>0                      QU 0087000M  592         1990</t>
  </si>
  <si>
    <t>Methods in inositide research / editor, Robin F. Irvine.</t>
  </si>
  <si>
    <t>New York : Raven Press, c1990.</t>
  </si>
  <si>
    <t>1992-08-04</t>
  </si>
  <si>
    <t>1992-03-31</t>
  </si>
  <si>
    <t>23004125:eng</t>
  </si>
  <si>
    <t>21760237</t>
  </si>
  <si>
    <t>991001299009702656</t>
  </si>
  <si>
    <t>2259564030002656</t>
  </si>
  <si>
    <t>9780881676778</t>
  </si>
  <si>
    <t>30001002411108</t>
  </si>
  <si>
    <t>893465388</t>
  </si>
  <si>
    <t>QU 90 C267 1980</t>
  </si>
  <si>
    <t>0                      QU 0090000C  267         1980</t>
  </si>
  <si>
    <t>Cardiovascular pharmacology of the prostaglandins / editors, Arnold G. Herman ... [et al.].</t>
  </si>
  <si>
    <t>New York, N.Y. : Raven Press, c1982.</t>
  </si>
  <si>
    <t>1995-12-15</t>
  </si>
  <si>
    <t>355921570:eng</t>
  </si>
  <si>
    <t>8385985</t>
  </si>
  <si>
    <t>991000899219702656</t>
  </si>
  <si>
    <t>2264026740002656</t>
  </si>
  <si>
    <t>9780890046296</t>
  </si>
  <si>
    <t>30001000159584</t>
  </si>
  <si>
    <t>893731499</t>
  </si>
  <si>
    <t>QU 90 C641 1980</t>
  </si>
  <si>
    <t>0                      QU 0090000C  641         1980</t>
  </si>
  <si>
    <t>Clinical pharmacology of prostacyclin / editors, Peter J. Lewis, John O'Grady.</t>
  </si>
  <si>
    <t>New York : Raven Press, c1981.</t>
  </si>
  <si>
    <t>1988-05-03</t>
  </si>
  <si>
    <t>995120824:eng</t>
  </si>
  <si>
    <t>7306361</t>
  </si>
  <si>
    <t>991000899309702656</t>
  </si>
  <si>
    <t>2270717570002656</t>
  </si>
  <si>
    <t>9780890045916</t>
  </si>
  <si>
    <t>30001000159592</t>
  </si>
  <si>
    <t>893736004</t>
  </si>
  <si>
    <t>QU 90 C981p 1976</t>
  </si>
  <si>
    <t>0                      QU 0090000C  981p        1976</t>
  </si>
  <si>
    <t>Prostaglandins : an introduction to their biochemistry, physiology, and pharmacology / P. B. Curtis-Prior.</t>
  </si>
  <si>
    <t>Curtis-Prior, P. B.</t>
  </si>
  <si>
    <t>Amsterdam ; New York : North-Holland Pub. Co. ; New York : sole distributors for the U.S.A. and Canada, Elsevier/North-Holland, 1976.</t>
  </si>
  <si>
    <t>2002-06-17</t>
  </si>
  <si>
    <t>1987-12-29</t>
  </si>
  <si>
    <t>3768666255:eng</t>
  </si>
  <si>
    <t>2718123</t>
  </si>
  <si>
    <t>991000899729702656</t>
  </si>
  <si>
    <t>2271067500002656</t>
  </si>
  <si>
    <t>30001000159758</t>
  </si>
  <si>
    <t>893826147</t>
  </si>
  <si>
    <t>QU 90 F253 1994</t>
  </si>
  <si>
    <t>0                      QU 0090000F  253         1994</t>
  </si>
  <si>
    <t>Fatty acids and lipids : biological aspects / volume editors, Claudio Galli, Artemis P. Simopoulos, Elena Tremoli.</t>
  </si>
  <si>
    <t>World review of nutrition and dietetics ; vol. 75</t>
  </si>
  <si>
    <t>1998-09-23</t>
  </si>
  <si>
    <t>808047297:eng</t>
  </si>
  <si>
    <t>30895602</t>
  </si>
  <si>
    <t>991000684919702656</t>
  </si>
  <si>
    <t>2270918290002656</t>
  </si>
  <si>
    <t>9783805559591</t>
  </si>
  <si>
    <t>30001002698753</t>
  </si>
  <si>
    <t>893376755</t>
  </si>
  <si>
    <t>QU 90 H434 1985</t>
  </si>
  <si>
    <t>0                      QU 0090000H  434         1985</t>
  </si>
  <si>
    <t>Health effects of polyunsaturated fatty acids in seafoods / editors, Artemis P. Simopoulos, Robert R. Kifer, Roy E. Martin.</t>
  </si>
  <si>
    <t>Orlando : Academic Press, c1986.</t>
  </si>
  <si>
    <t>7220365:eng</t>
  </si>
  <si>
    <t>14068190</t>
  </si>
  <si>
    <t>991001436559702656</t>
  </si>
  <si>
    <t>2255705990002656</t>
  </si>
  <si>
    <t>9780126443608</t>
  </si>
  <si>
    <t>30001000529307</t>
  </si>
  <si>
    <t>893633057</t>
  </si>
  <si>
    <t>QU 90 I61105h 1990</t>
  </si>
  <si>
    <t>0                      QU 0090000I  61105h      1990</t>
  </si>
  <si>
    <t>Health effects of [omega]3 polyunsaturated fatty acids in seafoods : proceedings of the 2nd International Conference on the Health Effects of [omega]3 Polyunsaturated Fatty Acids in Seafoods, Washington, D.C., March 20-23, 1990 / volume editors, Artemis P. Simopoulos ... [et al.].</t>
  </si>
  <si>
    <t>International Conference on the Health Effects of [omega]3 Polyunsaturated Fatty Acids in Seafoods (2nd : 1990 : Washington, D.C.)</t>
  </si>
  <si>
    <t>Basel ; New York : Karger, c1991.</t>
  </si>
  <si>
    <t>World review of nutrition and dietetics ; vol. 66</t>
  </si>
  <si>
    <t>1991-10-22</t>
  </si>
  <si>
    <t>479066703:eng</t>
  </si>
  <si>
    <t>22862868</t>
  </si>
  <si>
    <t>991001019629702656</t>
  </si>
  <si>
    <t>2272463190002656</t>
  </si>
  <si>
    <t>9783805552448</t>
  </si>
  <si>
    <t>30001002241349</t>
  </si>
  <si>
    <t>893374208</t>
  </si>
  <si>
    <t>QU 90 I6136 1991</t>
  </si>
  <si>
    <t>0                      QU 0090000I  6136        1991</t>
  </si>
  <si>
    <t>Prostaglandins, leukotrienes, lipoxins, and PAF : mechanism of action, molecular biology, and clinical applications / edited by J. Martyn Bailey.</t>
  </si>
  <si>
    <t>International Washington Spring Symposium (11th : 1991 : George Washington University)</t>
  </si>
  <si>
    <t>New York : Plenum Press, c1991.</t>
  </si>
  <si>
    <t>GWUMC Department of Biochemistry annual spring symposia</t>
  </si>
  <si>
    <t>2009-04-28</t>
  </si>
  <si>
    <t>1992-01-03</t>
  </si>
  <si>
    <t>899709451:eng</t>
  </si>
  <si>
    <t>24550216</t>
  </si>
  <si>
    <t>991001024369702656</t>
  </si>
  <si>
    <t>2268690460002656</t>
  </si>
  <si>
    <t>9780306440557</t>
  </si>
  <si>
    <t>30001002242388</t>
  </si>
  <si>
    <t>893363671</t>
  </si>
  <si>
    <t>QU 90 L6515 1985</t>
  </si>
  <si>
    <t>0                      QU 0090000L  6515        1985</t>
  </si>
  <si>
    <t>The Leukotrienes : their biological significance : a Biological Council symposium / editor, Priscilla J. Piper.</t>
  </si>
  <si>
    <t>New York : Raven Press, c1986.</t>
  </si>
  <si>
    <t>903480145:eng</t>
  </si>
  <si>
    <t>13423769</t>
  </si>
  <si>
    <t>991000899349702656</t>
  </si>
  <si>
    <t>2265924970002656</t>
  </si>
  <si>
    <t>9780881672145</t>
  </si>
  <si>
    <t>30001000159626</t>
  </si>
  <si>
    <t>893464978</t>
  </si>
  <si>
    <t>QU 90 L652 1984</t>
  </si>
  <si>
    <t>0                      QU 0090000L  652         1984</t>
  </si>
  <si>
    <t>The Leukotrienes, chemistry and biology / edited by Lawrence W. Chakrin, Denis M. Bailey.</t>
  </si>
  <si>
    <t>New York : Academic Press, c1984.</t>
  </si>
  <si>
    <t>Medicinal chemistry series</t>
  </si>
  <si>
    <t>796056196:eng</t>
  </si>
  <si>
    <t>10726981</t>
  </si>
  <si>
    <t>991000899429702656</t>
  </si>
  <si>
    <t>2262197890002656</t>
  </si>
  <si>
    <t>9780121667504</t>
  </si>
  <si>
    <t>30001000159634</t>
  </si>
  <si>
    <t>893632429</t>
  </si>
  <si>
    <t>QU 90 N106p 1979</t>
  </si>
  <si>
    <t>0                      QU 0090000N  106p        1979</t>
  </si>
  <si>
    <t>The prostaglandin system : endoperoxides, prostacyclin, and thromboxanes / edited by F. Berti and G.P. Velo.</t>
  </si>
  <si>
    <t>NATO Advanced Study Institute on Advances in Endoperoxide, Prostacyclin, and Thromboxane Research (1979 : Erice, Italy)</t>
  </si>
  <si>
    <t>New York : Plenum Press, published in cooperation with NATO Scientific Affairs Division, c1981.</t>
  </si>
  <si>
    <t>796136062:eng</t>
  </si>
  <si>
    <t>7206152</t>
  </si>
  <si>
    <t>991000899459702656</t>
  </si>
  <si>
    <t>2272043490002656</t>
  </si>
  <si>
    <t>9780306406454</t>
  </si>
  <si>
    <t>30001000159642</t>
  </si>
  <si>
    <t>893148574</t>
  </si>
  <si>
    <t>QU 90 N976 1981</t>
  </si>
  <si>
    <t>0                      QU 0090000N  976         1981</t>
  </si>
  <si>
    <t>Nutritional evaluation of long-chain fatty acids in fish oil / edited by S.M. Barlow, M.E. Stansby.</t>
  </si>
  <si>
    <t>London ; New York : Academic, c1982.</t>
  </si>
  <si>
    <t>24046732:eng</t>
  </si>
  <si>
    <t>22660732</t>
  </si>
  <si>
    <t>991000899489702656</t>
  </si>
  <si>
    <t>2267160780002656</t>
  </si>
  <si>
    <t>9780120789207</t>
  </si>
  <si>
    <t>30001000159667</t>
  </si>
  <si>
    <t>893820703</t>
  </si>
  <si>
    <t>QU 90 P967135 1985</t>
  </si>
  <si>
    <t>0                      QU 0090000P  967135      1985</t>
  </si>
  <si>
    <t>Prostaglandins and immunity / editor, James S. Goodwin.</t>
  </si>
  <si>
    <t>Boston : Nijhoff, c1985.</t>
  </si>
  <si>
    <t>Prostaglandins, leukotrienes, and cancer</t>
  </si>
  <si>
    <t>2003-04-07</t>
  </si>
  <si>
    <t>4720875:eng</t>
  </si>
  <si>
    <t>11842282</t>
  </si>
  <si>
    <t>991000899649702656</t>
  </si>
  <si>
    <t>2255099810002656</t>
  </si>
  <si>
    <t>9780898387230</t>
  </si>
  <si>
    <t>30001000159733</t>
  </si>
  <si>
    <t>893464979</t>
  </si>
  <si>
    <t>QU 90 P96715 1985</t>
  </si>
  <si>
    <t>0                      QU 0090000P  96715       1985</t>
  </si>
  <si>
    <t>Prostaglandins and membrane ion transport / editors, P. Braquet ... [et al.].</t>
  </si>
  <si>
    <t>New York : Raven Press, c1985.</t>
  </si>
  <si>
    <t>Advances in ion transport regulation ; 1</t>
  </si>
  <si>
    <t>54672279:eng</t>
  </si>
  <si>
    <t>11306532</t>
  </si>
  <si>
    <t>991000899609702656</t>
  </si>
  <si>
    <t>2260121720002656</t>
  </si>
  <si>
    <t>9780881670523</t>
  </si>
  <si>
    <t>30001000159741</t>
  </si>
  <si>
    <t>893632430</t>
  </si>
  <si>
    <t>QU 90 S991p 1972</t>
  </si>
  <si>
    <t>0                      QU 0090000S  991p        1972</t>
  </si>
  <si>
    <t>Prostaglandins and Cyclic AMP : biological action and clinical applications / Edited by Raymond H. Kahn [and] William E. M. Lands.</t>
  </si>
  <si>
    <t>Symposium on the Medical Aspects of Prostaglandins and Cyclic AMP (1972 : University of Michigan)</t>
  </si>
  <si>
    <t>New York : Academic Press, 1973.</t>
  </si>
  <si>
    <t>1994-10-03</t>
  </si>
  <si>
    <t>1988-02-29</t>
  </si>
  <si>
    <t>1596509:eng</t>
  </si>
  <si>
    <t>700631</t>
  </si>
  <si>
    <t>991000899819702656</t>
  </si>
  <si>
    <t>2256602930002656</t>
  </si>
  <si>
    <t>30001000159782</t>
  </si>
  <si>
    <t>893632431</t>
  </si>
  <si>
    <t>QU 93 D962L 1995</t>
  </si>
  <si>
    <t>0                      QU 0093000D  962L        1995</t>
  </si>
  <si>
    <t>Lysophosphatidate signaling : cellular effects and molecular mechanisms / Marcel E. Durieux.</t>
  </si>
  <si>
    <t>Durieux, Marcel E.</t>
  </si>
  <si>
    <t>New York : Springer-Verlag ; Austin, TX : R.G. Landes Co., c1995.</t>
  </si>
  <si>
    <t>1995-08-18</t>
  </si>
  <si>
    <t>1995-08-16</t>
  </si>
  <si>
    <t>335036484:eng</t>
  </si>
  <si>
    <t>32275929</t>
  </si>
  <si>
    <t>991001404269702656</t>
  </si>
  <si>
    <t>2259837310002656</t>
  </si>
  <si>
    <t>9781570592485</t>
  </si>
  <si>
    <t>30001003149442</t>
  </si>
  <si>
    <t>893287396</t>
  </si>
  <si>
    <t>QU 93 H233g 1997</t>
  </si>
  <si>
    <t>0                      QU 0093000H  233g        1997</t>
  </si>
  <si>
    <t>A guide to phospholipid chemistry / Donald J. Hanahan.</t>
  </si>
  <si>
    <t>Hanahan, Donald J. (Donald James), 1919-</t>
  </si>
  <si>
    <t>New York : Oxford University Press, c1997.</t>
  </si>
  <si>
    <t>1997-05-15</t>
  </si>
  <si>
    <t>1997-04-29</t>
  </si>
  <si>
    <t>20690233:eng</t>
  </si>
  <si>
    <t>34282524</t>
  </si>
  <si>
    <t>991001058679702656</t>
  </si>
  <si>
    <t>22101749310002656</t>
  </si>
  <si>
    <t>9780195079807</t>
  </si>
  <si>
    <t>30001003588797</t>
  </si>
  <si>
    <t>893637967</t>
  </si>
  <si>
    <t>QU 93 I61p 1989</t>
  </si>
  <si>
    <t>0                      QU 0093000I  61p         1989</t>
  </si>
  <si>
    <t>Phospholipids : biochemical, pharmaceutical, and analytical considerations / edited by Israel Hanin and Giancarlo Pepeu.</t>
  </si>
  <si>
    <t>International Colloquium on Lecithin (5th : 1989 : Cannes, France)</t>
  </si>
  <si>
    <t>1993-08-31</t>
  </si>
  <si>
    <t>20702141:eng</t>
  </si>
  <si>
    <t>22452089</t>
  </si>
  <si>
    <t>991000827289702656</t>
  </si>
  <si>
    <t>2260392480002656</t>
  </si>
  <si>
    <t>9780306436987</t>
  </si>
  <si>
    <t>30001002089391</t>
  </si>
  <si>
    <t>893283851</t>
  </si>
  <si>
    <t>QU 93 P575 1985 v.1-2</t>
  </si>
  <si>
    <t>0                      QU 0093000P  575         1985                                        v.1-2</t>
  </si>
  <si>
    <t>Phospholipids and cellular regulation / editor, J.F. Kuo.</t>
  </si>
  <si>
    <t>Boca Raton, Fla. : CRC Press, c1985.</t>
  </si>
  <si>
    <t>1990-03-07</t>
  </si>
  <si>
    <t>1993-09-15</t>
  </si>
  <si>
    <t>4757610588:eng</t>
  </si>
  <si>
    <t>11550121</t>
  </si>
  <si>
    <t>991000899869702656</t>
  </si>
  <si>
    <t>2260084130002656</t>
  </si>
  <si>
    <t>9780849355370</t>
  </si>
  <si>
    <t>30001000159824</t>
  </si>
  <si>
    <t>893632433</t>
  </si>
  <si>
    <t>30001000159816</t>
  </si>
  <si>
    <t>893632432</t>
  </si>
  <si>
    <t>QU 93 P5756515 1991</t>
  </si>
  <si>
    <t>0                      QU 0093000P  5756515     1991</t>
  </si>
  <si>
    <t>Phospholipids and signal transmission / edited by Raphaël Massarelli ... [et al.].</t>
  </si>
  <si>
    <t>Berlin ; New York : Springer-Verlag, c1993.</t>
  </si>
  <si>
    <t>NATO ASI series. Series H, Cell biology ; vol. 70</t>
  </si>
  <si>
    <t>1995-05-18</t>
  </si>
  <si>
    <t>1994-05-10</t>
  </si>
  <si>
    <t>364408325:eng</t>
  </si>
  <si>
    <t>27770882</t>
  </si>
  <si>
    <t>991001196129702656</t>
  </si>
  <si>
    <t>2260699820002656</t>
  </si>
  <si>
    <t>9780387546100</t>
  </si>
  <si>
    <t>30001002984617</t>
  </si>
  <si>
    <t>893557684</t>
  </si>
  <si>
    <t>QU 93 P715 1989</t>
  </si>
  <si>
    <t>0                      QU 0093000P  715         1989</t>
  </si>
  <si>
    <t>Platelet activating factor and human disease / edited by Peter J. Barnes, Clive P. Page, Peter M. Henson.</t>
  </si>
  <si>
    <t>Oxford ; Boston : Blackwell Scientific Publications ; Chicago, Ill. : Distributors, USA, Year Book Medical Publishers, c1989.</t>
  </si>
  <si>
    <t>Frontiers in pharmacology &amp; therapeutics</t>
  </si>
  <si>
    <t>1996-03-12</t>
  </si>
  <si>
    <t>1993-11-19</t>
  </si>
  <si>
    <t>354263651:eng</t>
  </si>
  <si>
    <t>21669044</t>
  </si>
  <si>
    <t>991000560659702656</t>
  </si>
  <si>
    <t>2265499110002656</t>
  </si>
  <si>
    <t>9780632026845</t>
  </si>
  <si>
    <t>30001002672501</t>
  </si>
  <si>
    <t>893463576</t>
  </si>
  <si>
    <t>QU 93 P945L 1992</t>
  </si>
  <si>
    <t>0                      QU 0093000P  945L        1992</t>
  </si>
  <si>
    <t>Local liposome drug delivery : an overlooked application / Carl I. Price, Jureta Horton.</t>
  </si>
  <si>
    <t>Price, Carl I.</t>
  </si>
  <si>
    <t>Austin : R.G. Landes, c1992.</t>
  </si>
  <si>
    <t>Medical intelligence unit</t>
  </si>
  <si>
    <t>1993-09-03</t>
  </si>
  <si>
    <t>392557:eng</t>
  </si>
  <si>
    <t>28587386</t>
  </si>
  <si>
    <t>991001512159702656</t>
  </si>
  <si>
    <t>2263177630002656</t>
  </si>
  <si>
    <t>9781879702127</t>
  </si>
  <si>
    <t>30001002601013</t>
  </si>
  <si>
    <t>893558054</t>
  </si>
  <si>
    <t>QU 95 B615 1988</t>
  </si>
  <si>
    <t>0                      QU 0095000B  615         1988</t>
  </si>
  <si>
    <t>Biology of cholesterol / editor, Philip L. Yeagle.</t>
  </si>
  <si>
    <t>1999-10-03</t>
  </si>
  <si>
    <t>1989-01-12</t>
  </si>
  <si>
    <t>138616276:eng</t>
  </si>
  <si>
    <t>16985774</t>
  </si>
  <si>
    <t>991001110189702656</t>
  </si>
  <si>
    <t>2269875470002656</t>
  </si>
  <si>
    <t>9780849349775</t>
  </si>
  <si>
    <t>30001001611872</t>
  </si>
  <si>
    <t>893148874</t>
  </si>
  <si>
    <t>QU 95 C771c 1958</t>
  </si>
  <si>
    <t>0                      QU 0095000C  771c        1958</t>
  </si>
  <si>
    <t>Cholesterol : chemistry, biochemistry, and pathology.</t>
  </si>
  <si>
    <t>Cook, Robert P., editor.</t>
  </si>
  <si>
    <t>New York, Academic Press, 1958.</t>
  </si>
  <si>
    <t>1958</t>
  </si>
  <si>
    <t>890351793:eng</t>
  </si>
  <si>
    <t>560128</t>
  </si>
  <si>
    <t>991000899909702656</t>
  </si>
  <si>
    <t>2256582780002656</t>
  </si>
  <si>
    <t>30001000159840</t>
  </si>
  <si>
    <t>893278423</t>
  </si>
  <si>
    <t>QU 95 N2778r 1990</t>
  </si>
  <si>
    <t>0                      QU 0095000N  2778r       1990</t>
  </si>
  <si>
    <t>Recommendations for improving cholesterol measurement : a report / from the Laboratory Standardization Panel of the National Cholesterol Education Program ; coordinated by the National Heart, Lung, and Blood Institute.</t>
  </si>
  <si>
    <t>National Cholesterol Education Program (U.S.). Laboratory Standardization Panel.</t>
  </si>
  <si>
    <t>Bethesda, Md. : U.S. Dept. of Health and Human Services, Public Health Service, National Institutes of Health, 1990.</t>
  </si>
  <si>
    <t>NIH publication ; no. 90-2964</t>
  </si>
  <si>
    <t>2001-11-17</t>
  </si>
  <si>
    <t>1992-04-15</t>
  </si>
  <si>
    <t>22837566:eng</t>
  </si>
  <si>
    <t>21254160</t>
  </si>
  <si>
    <t>991001302349702656</t>
  </si>
  <si>
    <t>2265633720002656</t>
  </si>
  <si>
    <t>30001002412346</t>
  </si>
  <si>
    <t>893274003</t>
  </si>
  <si>
    <t>QU 95 S654c 1981</t>
  </si>
  <si>
    <t>0                      QU 0095000S  654c        1981</t>
  </si>
  <si>
    <t>Cholesterol autoxidation / Leland L. Smith.</t>
  </si>
  <si>
    <t>Smith, Leland L.</t>
  </si>
  <si>
    <t>New York : Plenum, c1981.</t>
  </si>
  <si>
    <t>1999-10-09</t>
  </si>
  <si>
    <t>437935:eng</t>
  </si>
  <si>
    <t>7573509</t>
  </si>
  <si>
    <t>991000899969702656</t>
  </si>
  <si>
    <t>2262222830002656</t>
  </si>
  <si>
    <t>9780306407598</t>
  </si>
  <si>
    <t>30001000159881</t>
  </si>
  <si>
    <t>893464980</t>
  </si>
  <si>
    <t>QU 95 T741 2008</t>
  </si>
  <si>
    <t>0                      QU 0095000T  741         2008</t>
  </si>
  <si>
    <t>The cholesterol controversy / Gilbert Thompson.</t>
  </si>
  <si>
    <t>Thompson, G. R. (Gilbert R.)</t>
  </si>
  <si>
    <t>London ; Ashland, OH : Royal Society of Medicine Press, c2008.</t>
  </si>
  <si>
    <t>2010-02-12</t>
  </si>
  <si>
    <t>2010-02-04</t>
  </si>
  <si>
    <t>321971288:eng</t>
  </si>
  <si>
    <t>435727801</t>
  </si>
  <si>
    <t>991001574989702656</t>
  </si>
  <si>
    <t>2264394020002656</t>
  </si>
  <si>
    <t>9781853158025</t>
  </si>
  <si>
    <t>30001005364296</t>
  </si>
  <si>
    <t>893377340</t>
  </si>
  <si>
    <t>QU 96 M379m 1987</t>
  </si>
  <si>
    <t>0                      QU 0096000M  379m        1987</t>
  </si>
  <si>
    <t>Metabolic regulation : a molecular approach / B.R. Martin.</t>
  </si>
  <si>
    <t>Martin, B. Richard.</t>
  </si>
  <si>
    <t>Oxford : Blackwell Scientific, c1987.</t>
  </si>
  <si>
    <t>2006-12-15</t>
  </si>
  <si>
    <t>1988-01-06</t>
  </si>
  <si>
    <t>836629197:eng</t>
  </si>
  <si>
    <t>18686304</t>
  </si>
  <si>
    <t>991001536139702656</t>
  </si>
  <si>
    <t>2258683350002656</t>
  </si>
  <si>
    <t>9780632011575</t>
  </si>
  <si>
    <t>30001000622953</t>
  </si>
  <si>
    <t>893732151</t>
  </si>
  <si>
    <t>QU 105 B6682 1998</t>
  </si>
  <si>
    <t>0                      QU 0105000B  6682        1998</t>
  </si>
  <si>
    <t>Body fluids and kidney function / edited by Robert A. Brace, Mark A. Hanson, Charles H. Rodeck.</t>
  </si>
  <si>
    <t>Cambridge, UK ; New York : Cambridge University Press, 1998.</t>
  </si>
  <si>
    <t>Fetus and neonate ; v. 4</t>
  </si>
  <si>
    <t>1998-11-04</t>
  </si>
  <si>
    <t>1998-11-03</t>
  </si>
  <si>
    <t>364742660:eng</t>
  </si>
  <si>
    <t>36729026</t>
  </si>
  <si>
    <t>991001570339702656</t>
  </si>
  <si>
    <t>2258223620002656</t>
  </si>
  <si>
    <t>9780521593922</t>
  </si>
  <si>
    <t>30001003803360</t>
  </si>
  <si>
    <t>893743903</t>
  </si>
  <si>
    <t>QU 105 C5213f 2006</t>
  </si>
  <si>
    <t>0                      QU 0105000C  5213f       2006</t>
  </si>
  <si>
    <t>Fluids &amp; electrolytes / Cynthia C. Chernecky, Denise Macklin, Kathleen Murphy-Ende.</t>
  </si>
  <si>
    <t>Chernecky, Cynthia C.</t>
  </si>
  <si>
    <t>St. Louis : Elsevier Saunders, c2006.</t>
  </si>
  <si>
    <t>Saunders nursing survival guide</t>
  </si>
  <si>
    <t>2010-03-24</t>
  </si>
  <si>
    <t>2010-02-08</t>
  </si>
  <si>
    <t>2709445:eng</t>
  </si>
  <si>
    <t>61309449</t>
  </si>
  <si>
    <t>991001575269702656</t>
  </si>
  <si>
    <t>2257513960002656</t>
  </si>
  <si>
    <t>9781416028796</t>
  </si>
  <si>
    <t>30001005344603</t>
  </si>
  <si>
    <t>893279229</t>
  </si>
  <si>
    <t>QU 105 D548f 1974</t>
  </si>
  <si>
    <t>0                      QU 0105000D  548f        1974</t>
  </si>
  <si>
    <t>Fluid and electrolyte balance : a programmed text / Margaret L. Dickens.</t>
  </si>
  <si>
    <t>Dickens, Margaret L.</t>
  </si>
  <si>
    <t>Philadelphia : Davis, c1974.</t>
  </si>
  <si>
    <t>3d ed.</t>
  </si>
  <si>
    <t>|||</t>
  </si>
  <si>
    <t>1994-03-05</t>
  </si>
  <si>
    <t>4956223:eng</t>
  </si>
  <si>
    <t>857309</t>
  </si>
  <si>
    <t>991000903439702656</t>
  </si>
  <si>
    <t>2266764790002656</t>
  </si>
  <si>
    <t>30001000175051</t>
  </si>
  <si>
    <t>893167832</t>
  </si>
  <si>
    <t>QU 105 E955 1993</t>
  </si>
  <si>
    <t>0                      QU 0105000E  955         1993</t>
  </si>
  <si>
    <t>Extracellular matrix : chemistry, biology, and pathobiology with emphasis on the liver / edited by Mark A. Zern, Lola M. Reid.</t>
  </si>
  <si>
    <t>New York : Dekker, c1993.</t>
  </si>
  <si>
    <t>1998-03-18</t>
  </si>
  <si>
    <t>799560731:eng</t>
  </si>
  <si>
    <t>27221629</t>
  </si>
  <si>
    <t>991001510799702656</t>
  </si>
  <si>
    <t>2260466970002656</t>
  </si>
  <si>
    <t>9780824788308</t>
  </si>
  <si>
    <t>30001002600775</t>
  </si>
  <si>
    <t>893358675</t>
  </si>
  <si>
    <t>QU 105 L549h 1949</t>
  </si>
  <si>
    <t>0                      QU 0105000L  549h        1949</t>
  </si>
  <si>
    <t>Hematin compounds and bile pigments : their constitution, metabolism, and function / by R. Lemberg and J.W. Legge.</t>
  </si>
  <si>
    <t>Lemberg, R.</t>
  </si>
  <si>
    <t>New York : Interscience Publishers, 1949.</t>
  </si>
  <si>
    <t>1949</t>
  </si>
  <si>
    <t>1991-07-11</t>
  </si>
  <si>
    <t>365541170:eng</t>
  </si>
  <si>
    <t>1550810</t>
  </si>
  <si>
    <t>991000903789702656</t>
  </si>
  <si>
    <t>2262875570002656</t>
  </si>
  <si>
    <t>30001000175341</t>
  </si>
  <si>
    <t>893551908</t>
  </si>
  <si>
    <t>QU 105 M938f 1982</t>
  </si>
  <si>
    <t>0                      QU 0105000M  938f        1982</t>
  </si>
  <si>
    <t>Moyer's Fluid balance : a clinical manual.</t>
  </si>
  <si>
    <t>Moyer, Carl A.</t>
  </si>
  <si>
    <t>Chicago : Year Book Medical Publishers, c1982.</t>
  </si>
  <si>
    <t>3rd ed. / John C. Vanatta, Morris J. Fogelman.</t>
  </si>
  <si>
    <t>2010-10-06</t>
  </si>
  <si>
    <t>1902373:eng</t>
  </si>
  <si>
    <t>8195231</t>
  </si>
  <si>
    <t>991000903709702656</t>
  </si>
  <si>
    <t>2259594010002656</t>
  </si>
  <si>
    <t>9780815189633</t>
  </si>
  <si>
    <t>30001000175317</t>
  </si>
  <si>
    <t>893120712</t>
  </si>
  <si>
    <t>QU 105 S435f 1980</t>
  </si>
  <si>
    <t>0                      QU 0105000S  435f        1980</t>
  </si>
  <si>
    <t>Fluids and electrolytes : a conceptual approach / Kinsey Smith ; edited by Elizabeth Brain.</t>
  </si>
  <si>
    <t>Smith, Kinsey.</t>
  </si>
  <si>
    <t>New York : Churchill Livingstone, c1980.</t>
  </si>
  <si>
    <t>2000-06-07</t>
  </si>
  <si>
    <t>292559131:eng</t>
  </si>
  <si>
    <t>6092563</t>
  </si>
  <si>
    <t>991000903629702656</t>
  </si>
  <si>
    <t>2259529560002656</t>
  </si>
  <si>
    <t>9780443081019</t>
  </si>
  <si>
    <t>30001000175275</t>
  </si>
  <si>
    <t>893455258</t>
  </si>
  <si>
    <t>QU 105 W324 1993</t>
  </si>
  <si>
    <t>0                      QU 0105000W  324         1993</t>
  </si>
  <si>
    <t>Water and biological macromolecules / edited by Eric Westhof.</t>
  </si>
  <si>
    <t>Boca Raton, FL : CRC Press, c1993.</t>
  </si>
  <si>
    <t>1999-03-03</t>
  </si>
  <si>
    <t>1993-09-10</t>
  </si>
  <si>
    <t>55644977:eng</t>
  </si>
  <si>
    <t>26853516</t>
  </si>
  <si>
    <t>991001546889702656</t>
  </si>
  <si>
    <t>2264371690002656</t>
  </si>
  <si>
    <t>9780849375705</t>
  </si>
  <si>
    <t>30001002643510</t>
  </si>
  <si>
    <t>893732157</t>
  </si>
  <si>
    <t>QU 105 W464c 1955</t>
  </si>
  <si>
    <t>0                      QU 0105000W  464c        1955</t>
  </si>
  <si>
    <t>Clinical disorders of hydration and acid-base equilibrium.</t>
  </si>
  <si>
    <t>Welt, Louis G.</t>
  </si>
  <si>
    <t>Boston : Little, Brown, [1955]</t>
  </si>
  <si>
    <t>1955</t>
  </si>
  <si>
    <t>[1st edition]</t>
  </si>
  <si>
    <t>2328080:eng</t>
  </si>
  <si>
    <t>3618216</t>
  </si>
  <si>
    <t>991000903549702656</t>
  </si>
  <si>
    <t>2270222460002656</t>
  </si>
  <si>
    <t>30001000175259</t>
  </si>
  <si>
    <t>893284107</t>
  </si>
  <si>
    <t>QU 107 A588 2009</t>
  </si>
  <si>
    <t>0                      QU 0107000A  588         2009</t>
  </si>
  <si>
    <t>Angiogenesis protocols.</t>
  </si>
  <si>
    <t>New York : Humana ; London : Springer [distributor], c2009.</t>
  </si>
  <si>
    <t>2009</t>
  </si>
  <si>
    <t>2nd ed. / edited by Stewart Martin, Cliff Murray.</t>
  </si>
  <si>
    <t>Methods in molecular biology ; 467</t>
  </si>
  <si>
    <t>2009-06-30</t>
  </si>
  <si>
    <t>2009-06-29</t>
  </si>
  <si>
    <t>866291947:eng</t>
  </si>
  <si>
    <t>166372380</t>
  </si>
  <si>
    <t>991001475039702656</t>
  </si>
  <si>
    <t>2269381010002656</t>
  </si>
  <si>
    <t>9781588299079</t>
  </si>
  <si>
    <t>30001004917961</t>
  </si>
  <si>
    <t>893638343</t>
  </si>
  <si>
    <t>QU107 I237 2005</t>
  </si>
  <si>
    <t>0                      QU 0107000I  237         2005</t>
  </si>
  <si>
    <t>IGF and nutrition in health and disease / edited by M. Sue Houston, Jeffrey M.P. Holly, Eva L. Feldman.</t>
  </si>
  <si>
    <t>Totowa, N.J. : Humana Press, c2005.</t>
  </si>
  <si>
    <t>Nutrition and health</t>
  </si>
  <si>
    <t>2005-10-13</t>
  </si>
  <si>
    <t>2005-10-11</t>
  </si>
  <si>
    <t>509846045:eng</t>
  </si>
  <si>
    <t>54966665</t>
  </si>
  <si>
    <t>991000445629702656</t>
  </si>
  <si>
    <t>2255599550002656</t>
  </si>
  <si>
    <t>9781588291905</t>
  </si>
  <si>
    <t>30001004913713</t>
  </si>
  <si>
    <t>893733000</t>
  </si>
  <si>
    <t>QU 110 L764 1987</t>
  </si>
  <si>
    <t>0                      QU 0110000L  764         1987</t>
  </si>
  <si>
    <t>Lipofuscin--1987 : state of the art : proceedings of an international symposium held in Debrecen, Hungary, on 26-30 August, 1987 / editor, Imre Zs.-Nagy.</t>
  </si>
  <si>
    <t>Amsterdam ; New York : Elsevier Science Publishers ; Budapest : Akadémiai Kiadó ; New York, N.Y. : Elsevier Science Pub. Co. [distributor], c1987.</t>
  </si>
  <si>
    <t>International congress series ; no. 782</t>
  </si>
  <si>
    <t>1992-08-11</t>
  </si>
  <si>
    <t>1988-06-22</t>
  </si>
  <si>
    <t>502251645:eng</t>
  </si>
  <si>
    <t>17231244</t>
  </si>
  <si>
    <t>991001415999702656</t>
  </si>
  <si>
    <t>2258960490002656</t>
  </si>
  <si>
    <t>9780444809568</t>
  </si>
  <si>
    <t>30001001180555</t>
  </si>
  <si>
    <t>893358562</t>
  </si>
  <si>
    <t>QU 120 B615 1999</t>
  </si>
  <si>
    <t>0                      QU 0120000B  615         1999</t>
  </si>
  <si>
    <t>Biochemical pathways : an atlas of biochemistry and molecular biology / edited by Gerhard Michal.</t>
  </si>
  <si>
    <t>New York : Wiley ; Heidelberg : Spektrum, c1999.</t>
  </si>
  <si>
    <t>English language ed.</t>
  </si>
  <si>
    <t>2004-02-18</t>
  </si>
  <si>
    <t>1999-05-07</t>
  </si>
  <si>
    <t>806800507:eng</t>
  </si>
  <si>
    <t>40073831</t>
  </si>
  <si>
    <t>991000504069702656</t>
  </si>
  <si>
    <t>2263045980002656</t>
  </si>
  <si>
    <t>9780471331308</t>
  </si>
  <si>
    <t>30001004073450</t>
  </si>
  <si>
    <t>893452468</t>
  </si>
  <si>
    <t>QU 120 B616 1989</t>
  </si>
  <si>
    <t>0                      QU 0120000B  616         1989</t>
  </si>
  <si>
    <t>Biotransformations : a survey of the biotransformations of drugs and chemicals in animals : Volume 2 / edited by D.R. Hawkins.</t>
  </si>
  <si>
    <t>Cambridge, G.B. : Royal Society of Chemistry, c1989.</t>
  </si>
  <si>
    <t>836737771:eng</t>
  </si>
  <si>
    <t>18741371</t>
  </si>
  <si>
    <t>991000769409702656</t>
  </si>
  <si>
    <t>2256335480002656</t>
  </si>
  <si>
    <t>9780851861579</t>
  </si>
  <si>
    <t>30001002061747</t>
  </si>
  <si>
    <t>893467560</t>
  </si>
  <si>
    <t>QU 120 D234i 2010</t>
  </si>
  <si>
    <t>0                      QU 0120000D  234i        2010</t>
  </si>
  <si>
    <t>An introduction to modeling of transport processes : applications to biomedical systems / Ashim Datta and Vineet Rakesh.</t>
  </si>
  <si>
    <t>Datta, Ashim K.</t>
  </si>
  <si>
    <t>Cambridge, UK ; New York : Cambridge University Press, 2010.</t>
  </si>
  <si>
    <t>2010</t>
  </si>
  <si>
    <t>Cambridge texts in biomedical engineering</t>
  </si>
  <si>
    <t>793953122:eng</t>
  </si>
  <si>
    <t>435728270</t>
  </si>
  <si>
    <t>991000031539702656</t>
  </si>
  <si>
    <t>2267794480002656</t>
  </si>
  <si>
    <t>9780521119245</t>
  </si>
  <si>
    <t>30001005347721</t>
  </si>
  <si>
    <t>893375382</t>
  </si>
  <si>
    <t>QU 120 E61 1980</t>
  </si>
  <si>
    <t>0                      QU 0120000E  61          1980</t>
  </si>
  <si>
    <t>Enzymatic basis of detoxication / edited by William B. Jakoby.</t>
  </si>
  <si>
    <t>New York : Academic Press, 1980.</t>
  </si>
  <si>
    <t>Biochemical pharmacology and toxicology</t>
  </si>
  <si>
    <t>1990-07-31</t>
  </si>
  <si>
    <t>3374691727:eng</t>
  </si>
  <si>
    <t>6420380</t>
  </si>
  <si>
    <t>991000903479702656</t>
  </si>
  <si>
    <t>2267571930002656</t>
  </si>
  <si>
    <t>9780123800015</t>
  </si>
  <si>
    <t>30001000175093</t>
  </si>
  <si>
    <t>893826168</t>
  </si>
  <si>
    <t>30001000175101</t>
  </si>
  <si>
    <t>893826167</t>
  </si>
  <si>
    <t>QU 120 G479w 1997</t>
  </si>
  <si>
    <t>0                      QU 0120000G  479w        1997</t>
  </si>
  <si>
    <t>Wills' biochemical basis of medicine.</t>
  </si>
  <si>
    <t>Wills, Eric D.</t>
  </si>
  <si>
    <t>Oxford ; Boston : Butterworth-Heinemann, c1997.</t>
  </si>
  <si>
    <t>3rd ed. / Brian Gillham, Despo K. Papachristodoulou, J. Hywell Thomas.</t>
  </si>
  <si>
    <t>1999-01-12</t>
  </si>
  <si>
    <t>1998-06-16</t>
  </si>
  <si>
    <t>8960689848:eng</t>
  </si>
  <si>
    <t>34951210</t>
  </si>
  <si>
    <t>991000901849702656</t>
  </si>
  <si>
    <t>2262309510002656</t>
  </si>
  <si>
    <t>9780750620130</t>
  </si>
  <si>
    <t>30001004176683</t>
  </si>
  <si>
    <t>893540772</t>
  </si>
  <si>
    <t>QU 120 G798c 1970 v.4</t>
  </si>
  <si>
    <t>0                      QU 0120000G  798c        1970                                        v.4</t>
  </si>
  <si>
    <t>Nucleic acids, protein synthesis, and coenzymes / edited by David M. Greenberg.</t>
  </si>
  <si>
    <t>Greenberg, David M. (David Morris), 1895-1988.</t>
  </si>
  <si>
    <t>New York : Academic Press, c1970.</t>
  </si>
  <si>
    <t>1970</t>
  </si>
  <si>
    <t>Metabolic pathways. 3rd ed. ; v. 4.</t>
  </si>
  <si>
    <t>1991-10-26</t>
  </si>
  <si>
    <t>8913047290:eng</t>
  </si>
  <si>
    <t>8979723</t>
  </si>
  <si>
    <t>991000904069702656</t>
  </si>
  <si>
    <t>2257919560002656</t>
  </si>
  <si>
    <t>30001000175598</t>
  </si>
  <si>
    <t>893120713</t>
  </si>
  <si>
    <t>QU 120 G798c 1971 v.5</t>
  </si>
  <si>
    <t>0                      QU 0120000G  798c        1971                                        v.5</t>
  </si>
  <si>
    <t>Metabolic regulation / Edited by Henry J. Vogel.</t>
  </si>
  <si>
    <t>Vogel, Henry J. (Henry James), 1920-2007.</t>
  </si>
  <si>
    <t>New York : Academic, c1971.</t>
  </si>
  <si>
    <t>Metabolic pathways ; v. 5</t>
  </si>
  <si>
    <t>1994-04-27</t>
  </si>
  <si>
    <t>437148496:eng</t>
  </si>
  <si>
    <t>5908665</t>
  </si>
  <si>
    <t>991000903979702656</t>
  </si>
  <si>
    <t>2269866090002656</t>
  </si>
  <si>
    <t>30001000175580</t>
  </si>
  <si>
    <t>893273466</t>
  </si>
  <si>
    <t>QU 120 G798c 1972 v.6</t>
  </si>
  <si>
    <t>0                      QU 0120000G  798c        1972                                        v.6</t>
  </si>
  <si>
    <t>Metabolic transport / Edited by Lowell E. Hokin.</t>
  </si>
  <si>
    <t>Hokin, Lowell E., 1924-2018.</t>
  </si>
  <si>
    <t>New York : Academic, c1972.</t>
  </si>
  <si>
    <t>Metabolic pathways ; v. 6</t>
  </si>
  <si>
    <t>1991-09-15</t>
  </si>
  <si>
    <t>148471998:eng</t>
  </si>
  <si>
    <t>5908734</t>
  </si>
  <si>
    <t>991000904029702656</t>
  </si>
  <si>
    <t>2269730830002656</t>
  </si>
  <si>
    <t>30001000175572</t>
  </si>
  <si>
    <t>893148596</t>
  </si>
  <si>
    <t>QU120 H843b 2001</t>
  </si>
  <si>
    <t>0                      QU 0120000H  843b        2001</t>
  </si>
  <si>
    <t>Biochemistry primer for exercise science / Michael E. Houston.</t>
  </si>
  <si>
    <t>Houston, Michael E., 1941-2008.</t>
  </si>
  <si>
    <t>Champaign, IL : Human Kinetics, c2001.</t>
  </si>
  <si>
    <t>2001</t>
  </si>
  <si>
    <t>2003-04-15</t>
  </si>
  <si>
    <t>33353937:eng</t>
  </si>
  <si>
    <t>45304224</t>
  </si>
  <si>
    <t>991000345119702656</t>
  </si>
  <si>
    <t>2254768690002656</t>
  </si>
  <si>
    <t>9780736036443</t>
  </si>
  <si>
    <t>30001004502649</t>
  </si>
  <si>
    <t>893553438</t>
  </si>
  <si>
    <t>QU 120 M168e 1983</t>
  </si>
  <si>
    <t>0                      QU 0120000M  168e        1983</t>
  </si>
  <si>
    <t>Essentials of human metabolism : the relationship of biochemistry to human physiology and disease / W.C. McMurray.</t>
  </si>
  <si>
    <t>McMurray, W. C., 1931-</t>
  </si>
  <si>
    <t>Philadelphia : Harper &amp; Row, c1983.</t>
  </si>
  <si>
    <t>[Rev. ed.].</t>
  </si>
  <si>
    <t>1988-05-05</t>
  </si>
  <si>
    <t>4749539:eng</t>
  </si>
  <si>
    <t>9350445</t>
  </si>
  <si>
    <t>991000903949702656</t>
  </si>
  <si>
    <t>2260874190002656</t>
  </si>
  <si>
    <t>9780061416439</t>
  </si>
  <si>
    <t>30001000175523</t>
  </si>
  <si>
    <t>893546195</t>
  </si>
  <si>
    <t>QU 120 M587 1985</t>
  </si>
  <si>
    <t>0                      QU 0120000M  587         1985</t>
  </si>
  <si>
    <t>Metabolic regulation / edited by Raymond S. Ochs, Richard W. Hanson, Judith Hall.</t>
  </si>
  <si>
    <t>Amsterdam ; New York : Elsevier Science, c1985.</t>
  </si>
  <si>
    <t>1994-06-17</t>
  </si>
  <si>
    <t>510051729:eng</t>
  </si>
  <si>
    <t>13089504</t>
  </si>
  <si>
    <t>991000911949702656</t>
  </si>
  <si>
    <t>2260279600002656</t>
  </si>
  <si>
    <t>9780444806918</t>
  </si>
  <si>
    <t>30001000178691</t>
  </si>
  <si>
    <t>893460127</t>
  </si>
  <si>
    <t>QU 120 P957 1980</t>
  </si>
  <si>
    <t>0                      QU 0120000P  957         1980</t>
  </si>
  <si>
    <t>Principles of metabolic control in mammalian systems / edited by Robert H. Herman and Robert M. Cohn and Pamela D. McNamara.</t>
  </si>
  <si>
    <t>New York : Plenum Press, c1979.</t>
  </si>
  <si>
    <t>355439519:eng</t>
  </si>
  <si>
    <t>5101903</t>
  </si>
  <si>
    <t>991000903869702656</t>
  </si>
  <si>
    <t>2265488460002656</t>
  </si>
  <si>
    <t>9780306402616</t>
  </si>
  <si>
    <t>30001000175507</t>
  </si>
  <si>
    <t>893648663</t>
  </si>
  <si>
    <t>QU120 S186m 2004</t>
  </si>
  <si>
    <t>0                      QU 0120000S  186m        2004</t>
  </si>
  <si>
    <t>Metabolism at a glance / J.G. Salway ; foreword by D.K. Granner.</t>
  </si>
  <si>
    <t>Salway, J. G.</t>
  </si>
  <si>
    <t>Malden, Mass. : Blackwell Pub., 2004.</t>
  </si>
  <si>
    <t>2006-12-13</t>
  </si>
  <si>
    <t>2004-06-15</t>
  </si>
  <si>
    <t>764758:eng</t>
  </si>
  <si>
    <t>53178315</t>
  </si>
  <si>
    <t>991000374839702656</t>
  </si>
  <si>
    <t>2259993040002656</t>
  </si>
  <si>
    <t>9781405107167</t>
  </si>
  <si>
    <t>30001004920601</t>
  </si>
  <si>
    <t>893737276</t>
  </si>
  <si>
    <t>QU 120 S775 1983</t>
  </si>
  <si>
    <t>0                      QU 0120000S  775         1983</t>
  </si>
  <si>
    <t>Stable isotopes in nutrition / Judith R. Turnlund, editor, Phyllis E. Johnson, editor.</t>
  </si>
  <si>
    <t>Washington, D.C. : American Chemical Society, c1984.</t>
  </si>
  <si>
    <t>ACS symposium series ; 258</t>
  </si>
  <si>
    <t>1996-10-28</t>
  </si>
  <si>
    <t>365219228:eng</t>
  </si>
  <si>
    <t>10726109</t>
  </si>
  <si>
    <t>991000903829702656</t>
  </si>
  <si>
    <t>2264018740002656</t>
  </si>
  <si>
    <t>9780841208551</t>
  </si>
  <si>
    <t>30001000175499</t>
  </si>
  <si>
    <t>893736030</t>
  </si>
  <si>
    <t>QU 120 T772 1988</t>
  </si>
  <si>
    <t>0                      QU 0120000T  772         1988</t>
  </si>
  <si>
    <t>Transduction in biological systems / edited by Cecilia Hidalgo ... [et al.].</t>
  </si>
  <si>
    <t>Series of the Centro de Estudios Científicos de Santiago</t>
  </si>
  <si>
    <t>1991-04-11</t>
  </si>
  <si>
    <t>365776287:eng</t>
  </si>
  <si>
    <t>21408385</t>
  </si>
  <si>
    <t>991000827489702656</t>
  </si>
  <si>
    <t>2260876680002656</t>
  </si>
  <si>
    <t>9780306434396</t>
  </si>
  <si>
    <t>30001002089458</t>
  </si>
  <si>
    <t>893148395</t>
  </si>
  <si>
    <t>QU 125 E56 1991</t>
  </si>
  <si>
    <t>0                      QU 0125000E  56          1991</t>
  </si>
  <si>
    <t>Energy in biological systems.</t>
  </si>
  <si>
    <t>1997-03-20</t>
  </si>
  <si>
    <t>757256924:eng</t>
  </si>
  <si>
    <t>23733261</t>
  </si>
  <si>
    <t>991001013129702656</t>
  </si>
  <si>
    <t>2267887740002656</t>
  </si>
  <si>
    <t>9780412407703</t>
  </si>
  <si>
    <t>30001002240143</t>
  </si>
  <si>
    <t>893727176</t>
  </si>
  <si>
    <t>QU 125 J76b 1981</t>
  </si>
  <si>
    <t>0                      QU 0125000J  76b         1981</t>
  </si>
  <si>
    <t>Biological energy conservation : oxidative phosphorylation / C.W. Jones.</t>
  </si>
  <si>
    <t>Jones, C. W. (Colin William), 1941-</t>
  </si>
  <si>
    <t>325107113:eng</t>
  </si>
  <si>
    <t>7807074</t>
  </si>
  <si>
    <t>991000904149702656</t>
  </si>
  <si>
    <t>2269276480002656</t>
  </si>
  <si>
    <t>9780412233609</t>
  </si>
  <si>
    <t>30001000175655</t>
  </si>
  <si>
    <t>893465002</t>
  </si>
  <si>
    <t>QU 125 N613b 1982</t>
  </si>
  <si>
    <t>0                      QU 0125000N  613b        1982</t>
  </si>
  <si>
    <t>Bioenergetics : an introduction to the chemiosmotic theory / David G. Nicholls.</t>
  </si>
  <si>
    <t>Nicholls, David G.</t>
  </si>
  <si>
    <t>London ; New York : Academic Press, c1982.</t>
  </si>
  <si>
    <t>1993-01-11</t>
  </si>
  <si>
    <t>2999448786:eng</t>
  </si>
  <si>
    <t>8368902</t>
  </si>
  <si>
    <t>991000904219702656</t>
  </si>
  <si>
    <t>2260054010002656</t>
  </si>
  <si>
    <t>9780125181204</t>
  </si>
  <si>
    <t>30001000175671</t>
  </si>
  <si>
    <t>893831718</t>
  </si>
  <si>
    <t>QU 125 P578 1991</t>
  </si>
  <si>
    <t>0                      QU 0125000P  578         1991</t>
  </si>
  <si>
    <t>Physiological strategies for gas exchange and metabolism / edited by A.J. Woakes, M.K. Grieshaber, and C.R. Bridges.</t>
  </si>
  <si>
    <t>Cambridge [England] ; New York, NY, USA : Cambridge University Press, c1991.</t>
  </si>
  <si>
    <t>Seminar series / Society for Environmental Biology ; 41.</t>
  </si>
  <si>
    <t>1992-10-16</t>
  </si>
  <si>
    <t>5219209919:eng</t>
  </si>
  <si>
    <t>21334370</t>
  </si>
  <si>
    <t>991001342369702656</t>
  </si>
  <si>
    <t>2261998370002656</t>
  </si>
  <si>
    <t>9780521366021</t>
  </si>
  <si>
    <t>30001002456202</t>
  </si>
  <si>
    <t>893287360</t>
  </si>
  <si>
    <t>QU 130 C144 1995</t>
  </si>
  <si>
    <t>0                      QU 0130000C  144         1995</t>
  </si>
  <si>
    <t>Calcium and magnesium metabolism in early life / edited by Reginald C. Tsang.</t>
  </si>
  <si>
    <t>Boca Raton : CRC Press, c1995.</t>
  </si>
  <si>
    <t>1997-10-01</t>
  </si>
  <si>
    <t>1995-01-13</t>
  </si>
  <si>
    <t>32556629:eng</t>
  </si>
  <si>
    <t>30703149</t>
  </si>
  <si>
    <t>991000685199702656</t>
  </si>
  <si>
    <t>2258180350002656</t>
  </si>
  <si>
    <t>9780849346132</t>
  </si>
  <si>
    <t>30001002698829</t>
  </si>
  <si>
    <t>893368226</t>
  </si>
  <si>
    <t>QU 130 C641 1982</t>
  </si>
  <si>
    <t>0                      QU 0130000C  641         1982</t>
  </si>
  <si>
    <t>Clinical, biochemical, and nutritional aspects of trace elements / editor, Ananda S. Prasad.</t>
  </si>
  <si>
    <t>New York : A.R. Liss, c1982.</t>
  </si>
  <si>
    <t>Current topics in nutrition and disease ; v. 6</t>
  </si>
  <si>
    <t>1994-09-23</t>
  </si>
  <si>
    <t>32595045:eng</t>
  </si>
  <si>
    <t>8629665</t>
  </si>
  <si>
    <t>991000904439702656</t>
  </si>
  <si>
    <t>2262370280002656</t>
  </si>
  <si>
    <t>9780845116050</t>
  </si>
  <si>
    <t>30001000175770</t>
  </si>
  <si>
    <t>893465003</t>
  </si>
  <si>
    <t>QU 130 C785 1984</t>
  </si>
  <si>
    <t>0                      QU 0130000C  785         1984</t>
  </si>
  <si>
    <t>Copper proteins and copper enzymes : Volume 1,2,3 / editor, René Lontie.</t>
  </si>
  <si>
    <t>1988-03-10</t>
  </si>
  <si>
    <t>2002-04-11</t>
  </si>
  <si>
    <t>54548173:eng</t>
  </si>
  <si>
    <t>9111986</t>
  </si>
  <si>
    <t>991000904479702656</t>
  </si>
  <si>
    <t>2266826520002656</t>
  </si>
  <si>
    <t>9780849364709</t>
  </si>
  <si>
    <t>30001000175788</t>
  </si>
  <si>
    <t>893557403</t>
  </si>
  <si>
    <t>30001000175796</t>
  </si>
  <si>
    <t>893557402</t>
  </si>
  <si>
    <t>30001000175804</t>
  </si>
  <si>
    <t>893540784</t>
  </si>
  <si>
    <t>QU 130 C912 1996</t>
  </si>
  <si>
    <t>0                      QU 0130000C  912         1996</t>
  </si>
  <si>
    <t>Creatine and creatine phosphate : scientific and clinical perspectives / [edited by] Michael A. Conway and Joseph F. Clark.</t>
  </si>
  <si>
    <t>San Diego, CA : Academic Press, c1996.</t>
  </si>
  <si>
    <t>2006-01-27</t>
  </si>
  <si>
    <t>1998-01-16</t>
  </si>
  <si>
    <t>1010727712:eng</t>
  </si>
  <si>
    <t>35861344</t>
  </si>
  <si>
    <t>991001226619702656</t>
  </si>
  <si>
    <t>2265446600002656</t>
  </si>
  <si>
    <t>9780121863401</t>
  </si>
  <si>
    <t>30001003669571</t>
  </si>
  <si>
    <t>893557712</t>
  </si>
  <si>
    <t>QU 130 D415h 1982</t>
  </si>
  <si>
    <t>0                      QU 0130000D  415h        1982</t>
  </si>
  <si>
    <t>The hunger for salt : an anthropological, physiological, and medical analysis / Derek A. Denton.</t>
  </si>
  <si>
    <t>Denton, Derek A.</t>
  </si>
  <si>
    <t>Berlin ; New York : Springer-Verlag, c1982.</t>
  </si>
  <si>
    <t>1993-02-26</t>
  </si>
  <si>
    <t>4689012:eng</t>
  </si>
  <si>
    <t>8283860</t>
  </si>
  <si>
    <t>991000904609702656</t>
  </si>
  <si>
    <t>2267954170002656</t>
  </si>
  <si>
    <t>9780387112862</t>
  </si>
  <si>
    <t>30001000175820</t>
  </si>
  <si>
    <t>893637779</t>
  </si>
  <si>
    <t>QU 130 I634</t>
  </si>
  <si>
    <t>0                      QU 0130000I  634</t>
  </si>
  <si>
    <t>Trace element metabolism in animals--2 : proceedings of the second International Symposium on Trace Element Metabolism in Animals, held in Madison, Wisconsin, on 18-22 June, 1973 / Edited by W. G. Hoekstra [and others]</t>
  </si>
  <si>
    <t>International Symposium on Trace Element Metabolism in Animals (2nd : 1973 : University of Wisconsin--Madison)</t>
  </si>
  <si>
    <t>Baltimore : University Park Press, [1974]</t>
  </si>
  <si>
    <t>1992-07-07</t>
  </si>
  <si>
    <t>1988-01-04</t>
  </si>
  <si>
    <t>12465341:eng</t>
  </si>
  <si>
    <t>948087</t>
  </si>
  <si>
    <t>991000904759702656</t>
  </si>
  <si>
    <t>2264933020002656</t>
  </si>
  <si>
    <t>9780839106968</t>
  </si>
  <si>
    <t>30001000175879</t>
  </si>
  <si>
    <t>893557404</t>
  </si>
  <si>
    <t>QU 130 I6363c 1981</t>
  </si>
  <si>
    <t>0                      QU 0130000I  6363c       1981</t>
  </si>
  <si>
    <t>Calcium and phosphate transport across biomembranes / edited by Felix Bronner, Meinrad Peterlik.</t>
  </si>
  <si>
    <t>International Workshop on Calcium and Phosphate Transport across Biomembranes (1st : 1981 : Vienna, Austria)</t>
  </si>
  <si>
    <t>New York : Academic Press, c1981.</t>
  </si>
  <si>
    <t>1988-01-25</t>
  </si>
  <si>
    <t>355486540:eng</t>
  </si>
  <si>
    <t>7796464</t>
  </si>
  <si>
    <t>991000904809702656</t>
  </si>
  <si>
    <t>2266284500002656</t>
  </si>
  <si>
    <t>9780121352806</t>
  </si>
  <si>
    <t>30001000175895</t>
  </si>
  <si>
    <t>893120715</t>
  </si>
  <si>
    <t>QU 130 I72ca 1973</t>
  </si>
  <si>
    <t>0                      QU 0130000I  72ca        1973</t>
  </si>
  <si>
    <t>Calcium and phosphorus metabolism / [by] James T. Irving. With chapter by Felix Bronner [and] Gideon A. Rodan.</t>
  </si>
  <si>
    <t>Irving, James T. (James Tutin), 1902-</t>
  </si>
  <si>
    <t>1800332:eng</t>
  </si>
  <si>
    <t>595443</t>
  </si>
  <si>
    <t>991000904719702656</t>
  </si>
  <si>
    <t>2272335620002656</t>
  </si>
  <si>
    <t>30001000175861</t>
  </si>
  <si>
    <t>893120714</t>
  </si>
  <si>
    <t>QU 130 N691oc 1994</t>
  </si>
  <si>
    <t>0                      QU 0130000N  691oc       1994</t>
  </si>
  <si>
    <t>Optimal calcium intake / National Institutes of Health, Office of the Director.</t>
  </si>
  <si>
    <t>Bethesda, MD : NIH, 1994.</t>
  </si>
  <si>
    <t>NIH consensus statement ; v. 12, no. 4</t>
  </si>
  <si>
    <t>1996-11-17</t>
  </si>
  <si>
    <t>1995-09-11</t>
  </si>
  <si>
    <t>55949295:eng</t>
  </si>
  <si>
    <t>32843031</t>
  </si>
  <si>
    <t>991000256199702656</t>
  </si>
  <si>
    <t>2269663370002656</t>
  </si>
  <si>
    <t>30001003260223</t>
  </si>
  <si>
    <t>893536925</t>
  </si>
  <si>
    <t>QU 130 T758 1984 v.3</t>
  </si>
  <si>
    <t>0                      QU 0130000T  758         1984                                        v.3</t>
  </si>
  <si>
    <t>Trace element analytical chemistry in medicine and biology. Volume 3 : proceedings of the third international workshop, Neuherberg, Federal Republic of Germany, April 1984 / editors, Peter Brätter, Peter Schramel.</t>
  </si>
  <si>
    <t>Berlin ; New York : De Gruyter, c1984.</t>
  </si>
  <si>
    <t>1993-03-18</t>
  </si>
  <si>
    <t>5453622959:eng</t>
  </si>
  <si>
    <t>11185639</t>
  </si>
  <si>
    <t>991000905039702656</t>
  </si>
  <si>
    <t>22101749410002656</t>
  </si>
  <si>
    <t>9783110098211</t>
  </si>
  <si>
    <t>30001000176034</t>
  </si>
  <si>
    <t>893815905</t>
  </si>
  <si>
    <t>QU 130 T75825 1987 v.1</t>
  </si>
  <si>
    <t>0                      QU 0130000T  75825       1987                                        v.1</t>
  </si>
  <si>
    <t>Trace elements in human and animal nutrition / edited by Walter Mertz.</t>
  </si>
  <si>
    <t>1997-10-15</t>
  </si>
  <si>
    <t>1988-05-07</t>
  </si>
  <si>
    <t>4926319417:eng</t>
  </si>
  <si>
    <t>12550138</t>
  </si>
  <si>
    <t>991001188569702656</t>
  </si>
  <si>
    <t>2260490660002656</t>
  </si>
  <si>
    <t>9780124912519</t>
  </si>
  <si>
    <t>30001000978769</t>
  </si>
  <si>
    <t>893374327</t>
  </si>
  <si>
    <t>QU 130 T758271 1989</t>
  </si>
  <si>
    <t>0                      QU 0130000T  758271      1989</t>
  </si>
  <si>
    <t>Trace elements in nutrition of children, II / editor, Ranjit Kumar Chandra.</t>
  </si>
  <si>
    <t>V. 23</t>
  </si>
  <si>
    <t>Vevey, Switzerland : Nestlé Nutrition ; New York : Raven Press, c1991.</t>
  </si>
  <si>
    <t>Nestlé Nutrition workshop series ; v. 23</t>
  </si>
  <si>
    <t>1992-11-10</t>
  </si>
  <si>
    <t>1991-05-24</t>
  </si>
  <si>
    <t>360083114:eng</t>
  </si>
  <si>
    <t>22279865</t>
  </si>
  <si>
    <t>991000938099702656</t>
  </si>
  <si>
    <t>2271942340002656</t>
  </si>
  <si>
    <t>9780881677416</t>
  </si>
  <si>
    <t>30001002191619</t>
  </si>
  <si>
    <t>893358022</t>
  </si>
  <si>
    <t>QU 130 U56t 1971</t>
  </si>
  <si>
    <t>0                      QU 0130000U  56t         1971</t>
  </si>
  <si>
    <t>Trace elements in human and animal nutrition / [by] E.J. Underwood.</t>
  </si>
  <si>
    <t>Underwood, E. J. (Eric John), 1905-1980.</t>
  </si>
  <si>
    <t>New York : Academic Press, 1971.</t>
  </si>
  <si>
    <t>1997-05-14</t>
  </si>
  <si>
    <t>1988-02-02</t>
  </si>
  <si>
    <t>9565596211:eng</t>
  </si>
  <si>
    <t>134466</t>
  </si>
  <si>
    <t>991000905229702656</t>
  </si>
  <si>
    <t>2260834980002656</t>
  </si>
  <si>
    <t>30001000176091</t>
  </si>
  <si>
    <t>893834482</t>
  </si>
  <si>
    <t>QU 130.5 M6265 2008</t>
  </si>
  <si>
    <t>0                      QU 0130500M  6265        2008</t>
  </si>
  <si>
    <t>Micronutrients and health research / Takumi Yoshida, editor.</t>
  </si>
  <si>
    <t>New York : Nova Biomedical Books, c2008.</t>
  </si>
  <si>
    <t>2008-10-16</t>
  </si>
  <si>
    <t>1357859941:eng</t>
  </si>
  <si>
    <t>173469781</t>
  </si>
  <si>
    <t>991001323799702656</t>
  </si>
  <si>
    <t>2271591000002656</t>
  </si>
  <si>
    <t>9781604560565</t>
  </si>
  <si>
    <t>30001005373339</t>
  </si>
  <si>
    <t>893816305</t>
  </si>
  <si>
    <t>QU 135 B616 1992</t>
  </si>
  <si>
    <t>0                      QU 0135000B  616         1992</t>
  </si>
  <si>
    <t>The Bioorganic chemistry of enzymatic catalysis : an homage to Myron L. Bender / editors, Valerian T. D'Souza and Joseph Feder.</t>
  </si>
  <si>
    <t>1992-03-11</t>
  </si>
  <si>
    <t>1992-02-05</t>
  </si>
  <si>
    <t>43858219:eng</t>
  </si>
  <si>
    <t>24319650</t>
  </si>
  <si>
    <t>991001031919702656</t>
  </si>
  <si>
    <t>2272030460002656</t>
  </si>
  <si>
    <t>9780849368233</t>
  </si>
  <si>
    <t>30001002243998</t>
  </si>
  <si>
    <t>893460224</t>
  </si>
  <si>
    <t>QU 135 B791e</t>
  </si>
  <si>
    <t>0                      QU 0135000B  791e</t>
  </si>
  <si>
    <t>The Enzymes. Edited by Paul D. Boyer.</t>
  </si>
  <si>
    <t>V. 16</t>
  </si>
  <si>
    <t>New York, Academic Press, 1970-1983.</t>
  </si>
  <si>
    <t>1988-11-14</t>
  </si>
  <si>
    <t>2000-08-22</t>
  </si>
  <si>
    <t>1070802655:eng</t>
  </si>
  <si>
    <t>134449</t>
  </si>
  <si>
    <t>991000093219702656</t>
  </si>
  <si>
    <t>2260845390002656</t>
  </si>
  <si>
    <t>30001000176323</t>
  </si>
  <si>
    <t>893122310</t>
  </si>
  <si>
    <t>30001000176216</t>
  </si>
  <si>
    <t>893122311</t>
  </si>
  <si>
    <t>30001000176307</t>
  </si>
  <si>
    <t>893122314</t>
  </si>
  <si>
    <t>30001000176224</t>
  </si>
  <si>
    <t>893135929</t>
  </si>
  <si>
    <t>V. 10</t>
  </si>
  <si>
    <t>30001000176273</t>
  </si>
  <si>
    <t>893150261</t>
  </si>
  <si>
    <t>V. 11</t>
  </si>
  <si>
    <t>1996-02-27</t>
  </si>
  <si>
    <t>30001000176281</t>
  </si>
  <si>
    <t>893135932</t>
  </si>
  <si>
    <t>30001000176182</t>
  </si>
  <si>
    <t>893122313</t>
  </si>
  <si>
    <t>V. 8</t>
  </si>
  <si>
    <t>1997-03-26</t>
  </si>
  <si>
    <t>30001000176257</t>
  </si>
  <si>
    <t>893122312</t>
  </si>
  <si>
    <t>30001000176208</t>
  </si>
  <si>
    <t>893122309</t>
  </si>
  <si>
    <t>V. 9</t>
  </si>
  <si>
    <t>30001000176265</t>
  </si>
  <si>
    <t>893122307</t>
  </si>
  <si>
    <t>30001000176190</t>
  </si>
  <si>
    <t>893135930</t>
  </si>
  <si>
    <t>V. 13</t>
  </si>
  <si>
    <t>30001000176315</t>
  </si>
  <si>
    <t>893135931</t>
  </si>
  <si>
    <t>30001000176232</t>
  </si>
  <si>
    <t>893135933</t>
  </si>
  <si>
    <t>30001000176240</t>
  </si>
  <si>
    <t>893122308</t>
  </si>
  <si>
    <t>QU 135 B864L 1974</t>
  </si>
  <si>
    <t>0                      QU 0135000B  864L        1974</t>
  </si>
  <si>
    <t>Lipolytic enzymes / Hans Brockerhoff, Robert G. Jensen.</t>
  </si>
  <si>
    <t>Brockerhoff, H.</t>
  </si>
  <si>
    <t>New York : Academic Press, 1974.</t>
  </si>
  <si>
    <t>1993-12-11</t>
  </si>
  <si>
    <t>1836868:eng</t>
  </si>
  <si>
    <t>902424</t>
  </si>
  <si>
    <t>991000905329702656</t>
  </si>
  <si>
    <t>2262541790002656</t>
  </si>
  <si>
    <t>30001000176331</t>
  </si>
  <si>
    <t>893740568</t>
  </si>
  <si>
    <t>QU 135 C818f 1995</t>
  </si>
  <si>
    <t>0                      QU 0135000C  818f        1995</t>
  </si>
  <si>
    <t>Fundamentals of enzyme kinetics / Athel Cornish-Bowden.</t>
  </si>
  <si>
    <t>Cornish-Bowden, Athel.</t>
  </si>
  <si>
    <t>London : Portland, c1995.</t>
  </si>
  <si>
    <t>Rev. ed.</t>
  </si>
  <si>
    <t>2002-06-01</t>
  </si>
  <si>
    <t>1996-04-19</t>
  </si>
  <si>
    <t>17265818:eng</t>
  </si>
  <si>
    <t>33103485</t>
  </si>
  <si>
    <t>991001506349702656</t>
  </si>
  <si>
    <t>2269934110002656</t>
  </si>
  <si>
    <t>9781855780729</t>
  </si>
  <si>
    <t>30001003264480</t>
  </si>
  <si>
    <t>893826809</t>
  </si>
  <si>
    <t>QU 135 D621e 1979</t>
  </si>
  <si>
    <t>0                      QU 0135000D  621e        1979</t>
  </si>
  <si>
    <t>Enzymes / Malcolm Dixon and Edwin C. Webb ; assisted by C. J. R. Thorne and K. F. Tipton.</t>
  </si>
  <si>
    <t>Dixon, Malcolm, 1899-1985.</t>
  </si>
  <si>
    <t>New York : Academic Press, 1979.</t>
  </si>
  <si>
    <t>285944:eng</t>
  </si>
  <si>
    <t>5883060</t>
  </si>
  <si>
    <t>991000905479702656</t>
  </si>
  <si>
    <t>2256590470002656</t>
  </si>
  <si>
    <t>9780122183584</t>
  </si>
  <si>
    <t>30001000176380</t>
  </si>
  <si>
    <t>893727081</t>
  </si>
  <si>
    <t>QU 135 D773d 1991</t>
  </si>
  <si>
    <t>0                      QU 0135000D  773d        1991</t>
  </si>
  <si>
    <t>Discovering enzymes / David Dressler, Huntington Potter.</t>
  </si>
  <si>
    <t>Dressler, David, 1941-</t>
  </si>
  <si>
    <t>New York : Scientific American Library : Distributed by W.H. Freeman, c1991.</t>
  </si>
  <si>
    <t>1997-09-03</t>
  </si>
  <si>
    <t>1991-06-14</t>
  </si>
  <si>
    <t>353970645:eng</t>
  </si>
  <si>
    <t>22208788</t>
  </si>
  <si>
    <t>991000939429702656</t>
  </si>
  <si>
    <t>2255274700002656</t>
  </si>
  <si>
    <t>9780716750130</t>
  </si>
  <si>
    <t>30001002192211</t>
  </si>
  <si>
    <t>893736059</t>
  </si>
  <si>
    <t>QU 135 E601 1980</t>
  </si>
  <si>
    <t>0                      QU 0135000E  601         1980</t>
  </si>
  <si>
    <t>Enzyme-immunoassay / editor, Edward T. Maggio.</t>
  </si>
  <si>
    <t>Boca Raton, Fla. : CRC Press, c1980.</t>
  </si>
  <si>
    <t>1996-01-23</t>
  </si>
  <si>
    <t>54349210:eng</t>
  </si>
  <si>
    <t>5777019</t>
  </si>
  <si>
    <t>991000905519702656</t>
  </si>
  <si>
    <t>2267035720002656</t>
  </si>
  <si>
    <t>9780849356179</t>
  </si>
  <si>
    <t>30001000176398</t>
  </si>
  <si>
    <t>893540803</t>
  </si>
  <si>
    <t>QU 135 E61 1990</t>
  </si>
  <si>
    <t>0                      QU 0135000E  61          1990</t>
  </si>
  <si>
    <t>Enzyme handbook / D. Schomburg, M. Salzmann (eds.).</t>
  </si>
  <si>
    <t>Berlin ; New York : Springer-Verlag, c1990.</t>
  </si>
  <si>
    <t>1991-10-16</t>
  </si>
  <si>
    <t>10567943770:eng</t>
  </si>
  <si>
    <t>23868840</t>
  </si>
  <si>
    <t>991001019389702656</t>
  </si>
  <si>
    <t>2269655070002656</t>
  </si>
  <si>
    <t>9780387525792</t>
  </si>
  <si>
    <t>30001002241331</t>
  </si>
  <si>
    <t>893134184</t>
  </si>
  <si>
    <t>QU 135 E622 1978</t>
  </si>
  <si>
    <t>0                      QU 0135000E  622         1978</t>
  </si>
  <si>
    <t>Enzymes in anesthesiology / edited by Francis F. Foldes ; with contributions by A. A. Aszalos ... [et al.].</t>
  </si>
  <si>
    <t>New York : Springer-Verlag, c1978.</t>
  </si>
  <si>
    <t>1978</t>
  </si>
  <si>
    <t>1996-03-06</t>
  </si>
  <si>
    <t>11337518:eng</t>
  </si>
  <si>
    <t>3541065</t>
  </si>
  <si>
    <t>991000905559702656</t>
  </si>
  <si>
    <t>2266041640002656</t>
  </si>
  <si>
    <t>9780387902418</t>
  </si>
  <si>
    <t>30001000176406</t>
  </si>
  <si>
    <t>893727082</t>
  </si>
  <si>
    <t>QU 135 F399e 1985</t>
  </si>
  <si>
    <t>0                      QU 0135000F  399e        1985</t>
  </si>
  <si>
    <t>Enzyme structure and mechanism / Alan Fersht.</t>
  </si>
  <si>
    <t>Reading [Berkshire] ; San Francisco : Freeman, c1985.</t>
  </si>
  <si>
    <t>1997-07-15</t>
  </si>
  <si>
    <t>1989-07-21</t>
  </si>
  <si>
    <t>2876355:eng</t>
  </si>
  <si>
    <t>10505784</t>
  </si>
  <si>
    <t>991000758879702656</t>
  </si>
  <si>
    <t>2254730970002656</t>
  </si>
  <si>
    <t>9780716716143</t>
  </si>
  <si>
    <t>30001000055006</t>
  </si>
  <si>
    <t>893133686</t>
  </si>
  <si>
    <t>QU 135 IS62 1985 v.12</t>
  </si>
  <si>
    <t>0                      QU 0135000IS 62          1985                                        v.12</t>
  </si>
  <si>
    <t>Isozymes. Volume 12 : current topics in biological and medical research / editors, Mario C. Rattazzi, John G. Scandalios, Gregory S. Whitt.</t>
  </si>
  <si>
    <t>New York : Liss, c1985.</t>
  </si>
  <si>
    <t>1990-09-25</t>
  </si>
  <si>
    <t>5608857752:eng</t>
  </si>
  <si>
    <t>12951851</t>
  </si>
  <si>
    <t>991000906039702656</t>
  </si>
  <si>
    <t>2264062090002656</t>
  </si>
  <si>
    <t>9780845102619</t>
  </si>
  <si>
    <t>30001000176869</t>
  </si>
  <si>
    <t>893642958</t>
  </si>
  <si>
    <t>QU 135 P536 1978</t>
  </si>
  <si>
    <t>0                      QU 0135000P  536         1978</t>
  </si>
  <si>
    <t>Pharmaceutical enzymes : properties and assay methods / editors, R. Ruyssen and A. Lauwers ; contributors, R. Babin ... [et al.].</t>
  </si>
  <si>
    <t>Gent : Story-Scientia, 1978.</t>
  </si>
  <si>
    <t xml:space="preserve">be </t>
  </si>
  <si>
    <t>2003-02-09</t>
  </si>
  <si>
    <t>1988-01-27</t>
  </si>
  <si>
    <t>984025192:eng</t>
  </si>
  <si>
    <t>7667697</t>
  </si>
  <si>
    <t>991000905999702656</t>
  </si>
  <si>
    <t>2263862020002656</t>
  </si>
  <si>
    <t>30001000176802</t>
  </si>
  <si>
    <t>893284108</t>
  </si>
  <si>
    <t>QU 135 P536 1997</t>
  </si>
  <si>
    <t>0                      QU 0135000P  536         1997</t>
  </si>
  <si>
    <t>Pharmaceutical enzymes / edited by Albert Lauwers, Simon Scharpé.</t>
  </si>
  <si>
    <t>Drugs and the pharmaceutical sciences ; v. 84</t>
  </si>
  <si>
    <t>2010-07-31</t>
  </si>
  <si>
    <t>1998-04-22</t>
  </si>
  <si>
    <t>398248974:eng</t>
  </si>
  <si>
    <t>36917079</t>
  </si>
  <si>
    <t>991001430399702656</t>
  </si>
  <si>
    <t>2258013800002656</t>
  </si>
  <si>
    <t>9780824793753</t>
  </si>
  <si>
    <t>30001003864883</t>
  </si>
  <si>
    <t>893455802</t>
  </si>
  <si>
    <t>QU 135 P732e 1972</t>
  </si>
  <si>
    <t>0                      QU 0135000P  732e        1972</t>
  </si>
  <si>
    <t>Enzyme kinetics / Kent M. Plowman.</t>
  </si>
  <si>
    <t>Plowman, Kent M.</t>
  </si>
  <si>
    <t>New York : McGraw-Hill, 1971, c1972.</t>
  </si>
  <si>
    <t>McGraw-Hill series in advanced chemistry</t>
  </si>
  <si>
    <t>1995-09-22</t>
  </si>
  <si>
    <t>1310922:eng</t>
  </si>
  <si>
    <t>217370</t>
  </si>
  <si>
    <t>991000905959702656</t>
  </si>
  <si>
    <t>2259448530002656</t>
  </si>
  <si>
    <t>30001000176794</t>
  </si>
  <si>
    <t>893455273</t>
  </si>
  <si>
    <t>QU 135 R891f 1982</t>
  </si>
  <si>
    <t>0                      QU 0135000R  891f        1982</t>
  </si>
  <si>
    <t>Fundamentals of enzymology : rate enhancement, specificity, control, and applications / G.P. Royer.</t>
  </si>
  <si>
    <t>Royer, G. P.</t>
  </si>
  <si>
    <t>1997-06-16</t>
  </si>
  <si>
    <t>3943723180:eng</t>
  </si>
  <si>
    <t>7614808</t>
  </si>
  <si>
    <t>991000905839702656</t>
  </si>
  <si>
    <t>2264131870002656</t>
  </si>
  <si>
    <t>9780471046752</t>
  </si>
  <si>
    <t>30001000176729</t>
  </si>
  <si>
    <t>893727083</t>
  </si>
  <si>
    <t>QU 135 Z77 1983</t>
  </si>
  <si>
    <t>0                      QU 0135000Z  77          1983</t>
  </si>
  <si>
    <t>Zinc enzymes / edited by Thomas G. Spiro.</t>
  </si>
  <si>
    <t>New York : Wiley, c1983.</t>
  </si>
  <si>
    <t>Metal ions in biology ; v. 5</t>
  </si>
  <si>
    <t>1996-03-04</t>
  </si>
  <si>
    <t>54566838:eng</t>
  </si>
  <si>
    <t>9392899</t>
  </si>
  <si>
    <t>991000906399702656</t>
  </si>
  <si>
    <t>2263551330002656</t>
  </si>
  <si>
    <t>9780471890812</t>
  </si>
  <si>
    <t>30001000177032</t>
  </si>
  <si>
    <t>893467718</t>
  </si>
  <si>
    <t>QU 136 B6145 1994</t>
  </si>
  <si>
    <t>0                      QU 0136000B  6145        1994</t>
  </si>
  <si>
    <t>Biological functions of proteases and inhibitors / edited by Nobuhiko Katunuma ... [et al.].</t>
  </si>
  <si>
    <t>Tokyo : Japan Scientific Societies Press ; Basel ; New York : Karger, c1994.</t>
  </si>
  <si>
    <t xml:space="preserve">ja </t>
  </si>
  <si>
    <t>1995-04-18</t>
  </si>
  <si>
    <t>32474927:eng</t>
  </si>
  <si>
    <t>30329863</t>
  </si>
  <si>
    <t>991000678839702656</t>
  </si>
  <si>
    <t>2264651680002656</t>
  </si>
  <si>
    <t>9783805559546</t>
  </si>
  <si>
    <t>30001002696997</t>
  </si>
  <si>
    <t>893551287</t>
  </si>
  <si>
    <t>QU 136 C9956 1990</t>
  </si>
  <si>
    <t>0                      QU 0136000C  9956        1990</t>
  </si>
  <si>
    <t>Cyclic nucleotide phosphodiesterases : structure, regulation, and drug action / edited by Joe Beavo and Miles D. Houslay.</t>
  </si>
  <si>
    <t>Wiley series on molecular pharmacology of cell regulation ; v. 2</t>
  </si>
  <si>
    <t>1996-02-17</t>
  </si>
  <si>
    <t>1991-09-20</t>
  </si>
  <si>
    <t>808202508:eng</t>
  </si>
  <si>
    <t>21038983</t>
  </si>
  <si>
    <t>991001017099702656</t>
  </si>
  <si>
    <t>2256572720002656</t>
  </si>
  <si>
    <t>9780471927075</t>
  </si>
  <si>
    <t>30001002240895</t>
  </si>
  <si>
    <t>893540941</t>
  </si>
  <si>
    <t>QU 136 E79 1994</t>
  </si>
  <si>
    <t>0                      QU 0136000E  79          1994</t>
  </si>
  <si>
    <t>Esterases, lipases, and phospholipases : from structure to clinical significance / edited by M.I. Mackness and M. Clerc.</t>
  </si>
  <si>
    <t>New York : Plenum, c1994.</t>
  </si>
  <si>
    <t>NATO ASI series. Series A, Life sciences ; v. 266</t>
  </si>
  <si>
    <t>1999-10-05</t>
  </si>
  <si>
    <t>1996-01-18</t>
  </si>
  <si>
    <t>809646546:eng</t>
  </si>
  <si>
    <t>31172807</t>
  </si>
  <si>
    <t>991001502619702656</t>
  </si>
  <si>
    <t>2258068740002656</t>
  </si>
  <si>
    <t>9780306448027</t>
  </si>
  <si>
    <t>30001003262963</t>
  </si>
  <si>
    <t>893541459</t>
  </si>
  <si>
    <t>QU 136 G394s 1996</t>
  </si>
  <si>
    <t>0                      QU 0136000G  394s        1996</t>
  </si>
  <si>
    <t>Serpins : structure, function and biology / Peter G.W. Gettins, Philip A. Patston, Steven T. Olson.</t>
  </si>
  <si>
    <t>Gettins, Peter G. W., 1953-</t>
  </si>
  <si>
    <t>Austin : R.G. Landes ; New York : Chapman &amp; Hall [Distributor], c1996.</t>
  </si>
  <si>
    <t>1997-06-11</t>
  </si>
  <si>
    <t>1997-05-28</t>
  </si>
  <si>
    <t>898297233:eng</t>
  </si>
  <si>
    <t>33838191</t>
  </si>
  <si>
    <t>991001231799702656</t>
  </si>
  <si>
    <t>22101749400002656</t>
  </si>
  <si>
    <t>9780412103513</t>
  </si>
  <si>
    <t>30001003674480</t>
  </si>
  <si>
    <t>893643349</t>
  </si>
  <si>
    <t>QU136 H236 2004 V.1</t>
  </si>
  <si>
    <t>0                      QU 0136000H  236         2004                                        V.1</t>
  </si>
  <si>
    <t>Handbook of proteolytic enzymes / edited by Alan J. Barrett, Neil D. Rawlings, J. Fred Woessner.</t>
  </si>
  <si>
    <t>Amsterdam ; San Diego : Elsevier Academic Press, c2004.</t>
  </si>
  <si>
    <t>2008-06-06</t>
  </si>
  <si>
    <t>2006-01-25</t>
  </si>
  <si>
    <t>3372302832:eng</t>
  </si>
  <si>
    <t>56197774</t>
  </si>
  <si>
    <t>991000458089702656</t>
  </si>
  <si>
    <t>2271162890002656</t>
  </si>
  <si>
    <t>9780120796106</t>
  </si>
  <si>
    <t>30001004912921</t>
  </si>
  <si>
    <t>893452145</t>
  </si>
  <si>
    <t>30001004912913</t>
  </si>
  <si>
    <t>893461510</t>
  </si>
  <si>
    <t>QU 136 H811n 1994</t>
  </si>
  <si>
    <t>0                      QU 0136000H  811n        1994</t>
  </si>
  <si>
    <t>The Na,K-ATPase : structure-function relationship / Jean-Daniel Horisberger.</t>
  </si>
  <si>
    <t>Horisberger, Jean-Daniel.</t>
  </si>
  <si>
    <t>Austin : R.G. Landes : Boca Raton, FL : CRC Press [distributor], c1994.</t>
  </si>
  <si>
    <t>1999-05-14</t>
  </si>
  <si>
    <t>1995-01-18</t>
  </si>
  <si>
    <t>981918617:eng</t>
  </si>
  <si>
    <t>29797300</t>
  </si>
  <si>
    <t>991001335899702656</t>
  </si>
  <si>
    <t>2259244150002656</t>
  </si>
  <si>
    <t>9781570590306</t>
  </si>
  <si>
    <t>30001003110956</t>
  </si>
  <si>
    <t>893649115</t>
  </si>
  <si>
    <t>QU 136 I61n 1978</t>
  </si>
  <si>
    <t>0                      QU 0136000I  61n         1978</t>
  </si>
  <si>
    <t>Na, K-ATPase : structure and kinetics / edited by J. C. Skou, J. G. Nørby.</t>
  </si>
  <si>
    <t>International Conference on the Properties and Functions of Na, K-ATPase (2nd : 1978 : Sønderborg, Denmark)</t>
  </si>
  <si>
    <t>London : Academic Press, 1979.</t>
  </si>
  <si>
    <t>1999-04-12</t>
  </si>
  <si>
    <t>5616971087:eng</t>
  </si>
  <si>
    <t>6420885</t>
  </si>
  <si>
    <t>991000906279702656</t>
  </si>
  <si>
    <t>2271028520002656</t>
  </si>
  <si>
    <t>9780126476507</t>
  </si>
  <si>
    <t>30001000176992</t>
  </si>
  <si>
    <t>893637787</t>
  </si>
  <si>
    <t>QU 136 K27s 1992</t>
  </si>
  <si>
    <t>0                      QU 0136000K  27s         1992</t>
  </si>
  <si>
    <t>Specificity of proteolysis / Borivoj Keil.</t>
  </si>
  <si>
    <t>Keil, Bořivoj.</t>
  </si>
  <si>
    <t>Berlin ; New York : Springer-Verlag, c1992.</t>
  </si>
  <si>
    <t>43830490:eng</t>
  </si>
  <si>
    <t>25094484</t>
  </si>
  <si>
    <t>991001481899702656</t>
  </si>
  <si>
    <t>2262231940002656</t>
  </si>
  <si>
    <t>9780387531182</t>
  </si>
  <si>
    <t>30001002570085</t>
  </si>
  <si>
    <t>893741162</t>
  </si>
  <si>
    <t>QU 136 P575 1988</t>
  </si>
  <si>
    <t>0                      QU 0136000P  575         1988</t>
  </si>
  <si>
    <t>Phosphatidate phosphohydrolase / editor, David N. Brindley.</t>
  </si>
  <si>
    <t>CRC series in enzyme biology</t>
  </si>
  <si>
    <t>1990-03-19</t>
  </si>
  <si>
    <t>11904852:eng</t>
  </si>
  <si>
    <t>16354229</t>
  </si>
  <si>
    <t>991001314109702656</t>
  </si>
  <si>
    <t>2260879780002656</t>
  </si>
  <si>
    <t>9780849343582</t>
  </si>
  <si>
    <t>30001001752122</t>
  </si>
  <si>
    <t>893363956</t>
  </si>
  <si>
    <t>30001001752114</t>
  </si>
  <si>
    <t>893369314</t>
  </si>
  <si>
    <t>QU 136 P9665 1993</t>
  </si>
  <si>
    <t>0                      QU 0136000P  9665        1993</t>
  </si>
  <si>
    <t>Protease inhibitors as cancer chemopreventive agents / edited by Walter Troll and Ann R. Kennedy.</t>
  </si>
  <si>
    <t>1994-08-29</t>
  </si>
  <si>
    <t>1994-04-05</t>
  </si>
  <si>
    <t>353700977:eng</t>
  </si>
  <si>
    <t>28182453</t>
  </si>
  <si>
    <t>991000669429702656</t>
  </si>
  <si>
    <t>2272429160002656</t>
  </si>
  <si>
    <t>9780306443909</t>
  </si>
  <si>
    <t>30001002695676</t>
  </si>
  <si>
    <t>893830999</t>
  </si>
  <si>
    <t>QU136 P9678 2001</t>
  </si>
  <si>
    <t>0                      QU 0136000P  9678        2001</t>
  </si>
  <si>
    <t>Proteolytic enzymes : a practical approach / edited by Rob Beynon and Judith S. Bond.</t>
  </si>
  <si>
    <t>Oxford ; New York : Oxford University Press, 2001.</t>
  </si>
  <si>
    <t>2002-03-27</t>
  </si>
  <si>
    <t>2002-03-20</t>
  </si>
  <si>
    <t>793878396:eng</t>
  </si>
  <si>
    <t>44869022</t>
  </si>
  <si>
    <t>991000306889702656</t>
  </si>
  <si>
    <t>2267357490002656</t>
  </si>
  <si>
    <t>9780199636624</t>
  </si>
  <si>
    <t>30001004237048</t>
  </si>
  <si>
    <t>893741635</t>
  </si>
  <si>
    <t>QU 136 R295 1989</t>
  </si>
  <si>
    <t>0                      QU 0136000R  295         1989</t>
  </si>
  <si>
    <t>Recent advances in the chemistry of ss-Lactam antibiotics / edited by P.H. Bentley, R. Southgate.</t>
  </si>
  <si>
    <t>Royal Society of Chemistry, c1989.</t>
  </si>
  <si>
    <t>1999-10-12</t>
  </si>
  <si>
    <t>1989-07-06</t>
  </si>
  <si>
    <t>1007641518:eng</t>
  </si>
  <si>
    <t>19352792</t>
  </si>
  <si>
    <t>991001252999702656</t>
  </si>
  <si>
    <t>2269551880002656</t>
  </si>
  <si>
    <t>9780851868165</t>
  </si>
  <si>
    <t>30001001679440</t>
  </si>
  <si>
    <t>893374396</t>
  </si>
  <si>
    <t>QU 140 G567 1985</t>
  </si>
  <si>
    <t>0                      QU 0140000G  567         1985</t>
  </si>
  <si>
    <t>Glucose-6-phosphate dehydrogenase / edited by Akira Yoshida, Ernest Beutler.</t>
  </si>
  <si>
    <t>1998-03-15</t>
  </si>
  <si>
    <t>1987-09-09</t>
  </si>
  <si>
    <t>510180175:eng</t>
  </si>
  <si>
    <t>14132148</t>
  </si>
  <si>
    <t>991001268589702656</t>
  </si>
  <si>
    <t>2266832340002656</t>
  </si>
  <si>
    <t>9780127726403</t>
  </si>
  <si>
    <t>30001000354003</t>
  </si>
  <si>
    <t>893284613</t>
  </si>
  <si>
    <t>QU 140 H4885 2005</t>
  </si>
  <si>
    <t>0                      QU 0140000H  4885        2005</t>
  </si>
  <si>
    <t>Heme oxygenase : the elegant orchestration of its products in medicine / Leo E. Otterbein, Brian S. Zuckerbraun, editors.</t>
  </si>
  <si>
    <t>New York : Nova Biomedical Books, c2005.</t>
  </si>
  <si>
    <t>2007-02-06</t>
  </si>
  <si>
    <t>364632612:eng</t>
  </si>
  <si>
    <t>59011561</t>
  </si>
  <si>
    <t>991000592799702656</t>
  </si>
  <si>
    <t>2270334680002656</t>
  </si>
  <si>
    <t>9781594544477</t>
  </si>
  <si>
    <t>30001005175346</t>
  </si>
  <si>
    <t>893356857</t>
  </si>
  <si>
    <t>QU 140 M751 1979</t>
  </si>
  <si>
    <t>0                      QU 0140000M  751         1979</t>
  </si>
  <si>
    <t>Monoamine oxidase : structure, function, and altered functions / edited by Thomas P. Singer, R. W. Von Korff, Dennis Murphy.</t>
  </si>
  <si>
    <t>1998-10-06</t>
  </si>
  <si>
    <t>796069830:eng</t>
  </si>
  <si>
    <t>5676443</t>
  </si>
  <si>
    <t>991000906229702656</t>
  </si>
  <si>
    <t>2260172730002656</t>
  </si>
  <si>
    <t>9780126468809</t>
  </si>
  <si>
    <t>30001000176950</t>
  </si>
  <si>
    <t>893133964</t>
  </si>
  <si>
    <t>QU 141 H436 1979</t>
  </si>
  <si>
    <t>0                      QU 0141000H  436         1979</t>
  </si>
  <si>
    <t>Heart creatine kinase : the integration of isozymes for energy distribution / edited by William E. Jacobus and Joanne S. Ingwall.</t>
  </si>
  <si>
    <t>Baltimore : Williams &amp; Wilkins, c1981.</t>
  </si>
  <si>
    <t>21014058:eng</t>
  </si>
  <si>
    <t>6087508</t>
  </si>
  <si>
    <t>991000906199702656</t>
  </si>
  <si>
    <t>2260972630002656</t>
  </si>
  <si>
    <t>9780683043532</t>
  </si>
  <si>
    <t>30001000176935</t>
  </si>
  <si>
    <t>893278454</t>
  </si>
  <si>
    <t>QU 141 P9662 1994</t>
  </si>
  <si>
    <t>0                      QU 0141000P  9662        1994</t>
  </si>
  <si>
    <t>Protein kinases / edited by James Robert Woodgett.</t>
  </si>
  <si>
    <t>1998-10-14</t>
  </si>
  <si>
    <t>1997-10-31</t>
  </si>
  <si>
    <t>2763726159:eng</t>
  </si>
  <si>
    <t>30666901</t>
  </si>
  <si>
    <t>991001198509702656</t>
  </si>
  <si>
    <t>2267648520002656</t>
  </si>
  <si>
    <t>9780199634088</t>
  </si>
  <si>
    <t>30001003653559</t>
  </si>
  <si>
    <t>893374338</t>
  </si>
  <si>
    <t>QU 143 M939 1985</t>
  </si>
  <si>
    <t>0                      QU 0143000M  939         1985</t>
  </si>
  <si>
    <t>MPTP, a neurotoxin producing a Parkinsonian syndrome / edited by Sanford P. Markey ... [et al.].</t>
  </si>
  <si>
    <t>1989-05-09</t>
  </si>
  <si>
    <t>7907444:eng</t>
  </si>
  <si>
    <t>13497234</t>
  </si>
  <si>
    <t>991000906079702656</t>
  </si>
  <si>
    <t>2261884590002656</t>
  </si>
  <si>
    <t>9780124725706</t>
  </si>
  <si>
    <t>30001000176901</t>
  </si>
  <si>
    <t>893736034</t>
  </si>
  <si>
    <t>QU 145 A8379 1988</t>
  </si>
  <si>
    <t>0                      QU 0145000A  8379        1988</t>
  </si>
  <si>
    <t>Aspects of human nutrition / volume editor, Geoffrey H. Bourne.</t>
  </si>
  <si>
    <t>V. 57</t>
  </si>
  <si>
    <t>Basel ; New York : Karger, c1988.</t>
  </si>
  <si>
    <t>World review of nutrition and dietetics ; vol. 57</t>
  </si>
  <si>
    <t>1999-04-13</t>
  </si>
  <si>
    <t>2044288067:eng</t>
  </si>
  <si>
    <t>17878387</t>
  </si>
  <si>
    <t>991001240719702656</t>
  </si>
  <si>
    <t>2263518180002656</t>
  </si>
  <si>
    <t>9783805548106</t>
  </si>
  <si>
    <t>30001001675554</t>
  </si>
  <si>
    <t>893450974</t>
  </si>
  <si>
    <t>QU145 B3354s 2005</t>
  </si>
  <si>
    <t>0                      QU 0145000B  3354s       2005</t>
  </si>
  <si>
    <t>Spanish for the nutrition professional / Peggy A. Batty ; contributing editor, Mary Jo Kurko.</t>
  </si>
  <si>
    <t>Durbala, Peggy.</t>
  </si>
  <si>
    <t>Chicago, Ill. : American Dietetic Association, c2005.</t>
  </si>
  <si>
    <t>2010-09-15</t>
  </si>
  <si>
    <t>2006-04-20</t>
  </si>
  <si>
    <t>17143620:eng</t>
  </si>
  <si>
    <t>56956432</t>
  </si>
  <si>
    <t>991000475809702656</t>
  </si>
  <si>
    <t>2261844300002656</t>
  </si>
  <si>
    <t>9780880914062</t>
  </si>
  <si>
    <t>30001004914711</t>
  </si>
  <si>
    <t>893741825</t>
  </si>
  <si>
    <t>QU 145 B6145 1986</t>
  </si>
  <si>
    <t>0                      QU 0145000B  6145        1986</t>
  </si>
  <si>
    <t>Biochemistry of hospital nutrition / edited by A.M.J. Woolfson.</t>
  </si>
  <si>
    <t>Edinburgh ; New York : Churchill Livingstone, 1986.</t>
  </si>
  <si>
    <t>stk</t>
  </si>
  <si>
    <t>Contemporary issues in clinical biochemistry, 0265-6701 ; 4</t>
  </si>
  <si>
    <t>2005-11-07</t>
  </si>
  <si>
    <t>6858639:eng</t>
  </si>
  <si>
    <t>13456294</t>
  </si>
  <si>
    <t>991001265609702656</t>
  </si>
  <si>
    <t>2266068540002656</t>
  </si>
  <si>
    <t>9780443029356</t>
  </si>
  <si>
    <t>30001000352767</t>
  </si>
  <si>
    <t>893358403</t>
  </si>
  <si>
    <t>QU 145 B786f 1994</t>
  </si>
  <si>
    <t>0                      QU 0145000B  786f        1994</t>
  </si>
  <si>
    <t>Bowes and Church's food values of portions commonly used.</t>
  </si>
  <si>
    <t>Bowes, Anna De Planter.</t>
  </si>
  <si>
    <t>16th ed. / revised by Jean A.T. Pennington.</t>
  </si>
  <si>
    <t>1993-09-27</t>
  </si>
  <si>
    <t>12567099:eng</t>
  </si>
  <si>
    <t>26633680</t>
  </si>
  <si>
    <t>991001486649702656</t>
  </si>
  <si>
    <t>2256557670002656</t>
  </si>
  <si>
    <t>9780397548293</t>
  </si>
  <si>
    <t>30001002579284</t>
  </si>
  <si>
    <t>893162073</t>
  </si>
  <si>
    <t>QU 145 B792p 1996</t>
  </si>
  <si>
    <t>0                      QU 0145000B  792p        1996</t>
  </si>
  <si>
    <t>Personal nutrition / Marie A. Boyle, Gail Zyla.</t>
  </si>
  <si>
    <t>Boyle, Marie A. (Marie Ann)</t>
  </si>
  <si>
    <t>Minneapolis : West Pub. Co., c1996.</t>
  </si>
  <si>
    <t>mnu</t>
  </si>
  <si>
    <t>1999-06-19</t>
  </si>
  <si>
    <t>1997-01-22</t>
  </si>
  <si>
    <t>11646584:eng</t>
  </si>
  <si>
    <t>33333608</t>
  </si>
  <si>
    <t>991000853329702656</t>
  </si>
  <si>
    <t>2259737830002656</t>
  </si>
  <si>
    <t>9780314063809</t>
  </si>
  <si>
    <t>30001003474469</t>
  </si>
  <si>
    <t>893120584</t>
  </si>
  <si>
    <t>QU 145 B878n 1995</t>
  </si>
  <si>
    <t>0                      QU 0145000B  878n        1995</t>
  </si>
  <si>
    <t>Nutrition now / Judith E. Brown.</t>
  </si>
  <si>
    <t>Brown, Judith E.</t>
  </si>
  <si>
    <t>Minneapolis/St. Paul : West Pub. Co., c1995.</t>
  </si>
  <si>
    <t>2002-01-10</t>
  </si>
  <si>
    <t>1996-01-12</t>
  </si>
  <si>
    <t>911672:eng</t>
  </si>
  <si>
    <t>31514475</t>
  </si>
  <si>
    <t>991001502239702656</t>
  </si>
  <si>
    <t>2269727080002656</t>
  </si>
  <si>
    <t>9780314044471</t>
  </si>
  <si>
    <t>30001003262849</t>
  </si>
  <si>
    <t>893455859</t>
  </si>
  <si>
    <t>QU 145 C555n 1988</t>
  </si>
  <si>
    <t>0                      QU 0145000C  555n        1988</t>
  </si>
  <si>
    <t>Nutrition for living / Janet L. Christian, Janet L. Greger.</t>
  </si>
  <si>
    <t>Christian, Janet L.</t>
  </si>
  <si>
    <t>Menlo Park, Calif. : Benjamin/Cummings Pub. Co., c1988.</t>
  </si>
  <si>
    <t>1999-02-12</t>
  </si>
  <si>
    <t>1988-06-04</t>
  </si>
  <si>
    <t>3939439:eng</t>
  </si>
  <si>
    <t>16985738</t>
  </si>
  <si>
    <t>991001326619702656</t>
  </si>
  <si>
    <t>2269775520002656</t>
  </si>
  <si>
    <t>9780805320060</t>
  </si>
  <si>
    <t>30001001180050</t>
  </si>
  <si>
    <t>893736468</t>
  </si>
  <si>
    <t>QU145 C555N 1988 P2</t>
  </si>
  <si>
    <t>0                      QU 0145000C  555N        1988   P  2</t>
  </si>
  <si>
    <t>30001001087321</t>
  </si>
  <si>
    <t>893736469</t>
  </si>
  <si>
    <t>QU 145 C58A 1977 Sect.G v.1</t>
  </si>
  <si>
    <t>0                      QU 0145000C  58A         1977                                        Sect.G v.1</t>
  </si>
  <si>
    <t>Diets for mammals / Miloslav Rechcigl, Jr. editor-in-chief.</t>
  </si>
  <si>
    <t>Cleveland : CRC Press, c1977.</t>
  </si>
  <si>
    <t>CRC handbook series in nutrition and food : Section G: Diets, culture media, and food supplements ; v. 1</t>
  </si>
  <si>
    <t>2000-01-20</t>
  </si>
  <si>
    <t>508419:eng</t>
  </si>
  <si>
    <t>18292316</t>
  </si>
  <si>
    <t>991001281079702656</t>
  </si>
  <si>
    <t>22101749380002656</t>
  </si>
  <si>
    <t>9780849327360</t>
  </si>
  <si>
    <t>30001000367989</t>
  </si>
  <si>
    <t>893541206</t>
  </si>
  <si>
    <t>QU145 G3697 1999</t>
  </si>
  <si>
    <t>0                      QU 0145000G  3697        1999</t>
  </si>
  <si>
    <t>Geriatric nutrition : the health professional's handbook / [edited by] Ronni Chernoff.</t>
  </si>
  <si>
    <t>Gaithersburg, Md. : Aspen Publishers, 1999.</t>
  </si>
  <si>
    <t>2002-06-26</t>
  </si>
  <si>
    <t>911693306:eng</t>
  </si>
  <si>
    <t>40939934</t>
  </si>
  <si>
    <t>991000318389702656</t>
  </si>
  <si>
    <t>2254869170002656</t>
  </si>
  <si>
    <t>9780834210820</t>
  </si>
  <si>
    <t>30001004239747</t>
  </si>
  <si>
    <t>893822050</t>
  </si>
  <si>
    <t>QU 145 G381t 1990</t>
  </si>
  <si>
    <t>0                      QU 0145000G  381t        1990</t>
  </si>
  <si>
    <t>The Tufts University guide to total nutrition / Stanley Gershoff, with Catherine Whitney and the editorial advisory board of the Tufts University diet &amp; nutrition letter ; foreword by Jean Mayer.</t>
  </si>
  <si>
    <t>Gershoff, Stanley N.</t>
  </si>
  <si>
    <t>New York : Harper &amp; Row, c1990.</t>
  </si>
  <si>
    <t>2001-02-26</t>
  </si>
  <si>
    <t>1992-01-31</t>
  </si>
  <si>
    <t>26666749:eng</t>
  </si>
  <si>
    <t>21043110</t>
  </si>
  <si>
    <t>991001031479702656</t>
  </si>
  <si>
    <t>2271126870002656</t>
  </si>
  <si>
    <t>9780060159184</t>
  </si>
  <si>
    <t>30001002243881</t>
  </si>
  <si>
    <t>893740687</t>
  </si>
  <si>
    <t>QU 145 G811n 1987</t>
  </si>
  <si>
    <t>0                      QU 0145000G  811n        1987</t>
  </si>
  <si>
    <t>Nutrition in contemporary nursing practice / Marilyn L. Green, Joann Harry.</t>
  </si>
  <si>
    <t>Green, Marilyn L., 1945-</t>
  </si>
  <si>
    <t>New York : Wiley, c1987.</t>
  </si>
  <si>
    <t>1990-08-04</t>
  </si>
  <si>
    <t>1987-08-27</t>
  </si>
  <si>
    <t>9036461:eng</t>
  </si>
  <si>
    <t>14241292</t>
  </si>
  <si>
    <t>991000763049702656</t>
  </si>
  <si>
    <t>2267006160002656</t>
  </si>
  <si>
    <t>9780471824688</t>
  </si>
  <si>
    <t>30001000056541</t>
  </si>
  <si>
    <t>893651553</t>
  </si>
  <si>
    <t>QU 145 H217n 1988</t>
  </si>
  <si>
    <t>0                      QU 0145000H  217n        1988</t>
  </si>
  <si>
    <t>Nutrition : concepts and controversies / Eva May Nunnelley Hamilton, Eleanor Noss Whitney, Frances Sienkiewicz Sizer.</t>
  </si>
  <si>
    <t>Hamilton, Eva May Nunnelley.</t>
  </si>
  <si>
    <t>St. Paul : West Pub. Co, c1988.</t>
  </si>
  <si>
    <t>4th ed. / prepared by Eleanor Noss Whitney, Frances Sienkiewicz Sizer.</t>
  </si>
  <si>
    <t>2006-12-02</t>
  </si>
  <si>
    <t>1989-01-07</t>
  </si>
  <si>
    <t>8465713:eng</t>
  </si>
  <si>
    <t>17299152</t>
  </si>
  <si>
    <t>991001107719702656</t>
  </si>
  <si>
    <t>2270709620002656</t>
  </si>
  <si>
    <t>9780314597434</t>
  </si>
  <si>
    <t>30001001611476</t>
  </si>
  <si>
    <t>893740761</t>
  </si>
  <si>
    <t>QU 145 H462d 1988</t>
  </si>
  <si>
    <t>0                      QU 0145000H  462d        1988</t>
  </si>
  <si>
    <t>Decisions in nutrition / Vincent Hagarty ; illustrations by Donald O'Connor.</t>
  </si>
  <si>
    <t>Hegarty, Vincent.</t>
  </si>
  <si>
    <t>St. Louis : Times Mirror/Mosby College Pub., c1988.</t>
  </si>
  <si>
    <t>1999-05-25</t>
  </si>
  <si>
    <t>1995-11-15</t>
  </si>
  <si>
    <t>12601371:eng</t>
  </si>
  <si>
    <t>16682120</t>
  </si>
  <si>
    <t>991001245959702656</t>
  </si>
  <si>
    <t>2272132350002656</t>
  </si>
  <si>
    <t>9780801621956</t>
  </si>
  <si>
    <t>30001003261718</t>
  </si>
  <si>
    <t>893284595</t>
  </si>
  <si>
    <t>QU 145 H472n 1950</t>
  </si>
  <si>
    <t>0                      QU 0145000H  472n        1950</t>
  </si>
  <si>
    <t>Nutritional data : (formerly "Nutritional charts") / Compiled by Harold A. Wooster, Jr., and Fred C. Blanck.</t>
  </si>
  <si>
    <t>H.J. Heinz Company. Research Department.</t>
  </si>
  <si>
    <t>Pittsburgh : H.J. Heinz Co., [c1950].</t>
  </si>
  <si>
    <t>1950</t>
  </si>
  <si>
    <t>1992-03-21</t>
  </si>
  <si>
    <t>1909037229:eng</t>
  </si>
  <si>
    <t>3231651</t>
  </si>
  <si>
    <t>991000906509702656</t>
  </si>
  <si>
    <t>2261657310002656</t>
  </si>
  <si>
    <t>30001000177099</t>
  </si>
  <si>
    <t>893826170</t>
  </si>
  <si>
    <t>QU 145 H851n 1982</t>
  </si>
  <si>
    <t>0                      QU 0145000H  851n        1982</t>
  </si>
  <si>
    <t>Nutrition in clinical care / Rosanne Beatrice Howard, Nancie Harvey Herbold.</t>
  </si>
  <si>
    <t>Howard, Rosanne Beatrice.</t>
  </si>
  <si>
    <t>New York : McGraw-Hill, c1982.</t>
  </si>
  <si>
    <t>354704745:eng</t>
  </si>
  <si>
    <t>7615485</t>
  </si>
  <si>
    <t>991000493399702656</t>
  </si>
  <si>
    <t>2267122350002656</t>
  </si>
  <si>
    <t>9780070305144</t>
  </si>
  <si>
    <t>30001000045957</t>
  </si>
  <si>
    <t>893629516</t>
  </si>
  <si>
    <t>QU 145 H9183 v. 2 1979</t>
  </si>
  <si>
    <t>0                      QU 0145000H  9183                                                    v. 2 1979</t>
  </si>
  <si>
    <t>Nutrition and growth / edited by Derrick B. Jelliffe and E. F. Patrice Jelliffe.</t>
  </si>
  <si>
    <t>Human nutrition ; v. 2</t>
  </si>
  <si>
    <t>1988-02-03</t>
  </si>
  <si>
    <t>365341799:eng</t>
  </si>
  <si>
    <t>4515905</t>
  </si>
  <si>
    <t>991000906789702656</t>
  </si>
  <si>
    <t>2262911770002656</t>
  </si>
  <si>
    <t>9780306401282</t>
  </si>
  <si>
    <t>30001000177446</t>
  </si>
  <si>
    <t>893460120</t>
  </si>
  <si>
    <t>QU 145 H9183 1979 v.4</t>
  </si>
  <si>
    <t>0                      QU 0145000H  9183        1979                                        v.4</t>
  </si>
  <si>
    <t>Nutrition : metabolic and clinical applications / edited by Robert E. Hodges.</t>
  </si>
  <si>
    <t>Human nutrition ; v. 4</t>
  </si>
  <si>
    <t>1991-02-22</t>
  </si>
  <si>
    <t>894510057:eng</t>
  </si>
  <si>
    <t>4491596</t>
  </si>
  <si>
    <t>991000906699702656</t>
  </si>
  <si>
    <t>2264032600002656</t>
  </si>
  <si>
    <t>9780306402036</t>
  </si>
  <si>
    <t>30001000177420</t>
  </si>
  <si>
    <t>893273469</t>
  </si>
  <si>
    <t>QU 145 H9183 1989 v.6</t>
  </si>
  <si>
    <t>0                      QU 0145000H  9183        1989                                        v.6</t>
  </si>
  <si>
    <t>Nutrition, aging, and the elderly / edited by Hamish N. Munro and Darla E. Danford.</t>
  </si>
  <si>
    <t>New York : Plenum Press, c1989.</t>
  </si>
  <si>
    <t>Human nutrition : a comprehensive treatise ; v. 6.</t>
  </si>
  <si>
    <t>1999-07-21</t>
  </si>
  <si>
    <t>1989-07-08</t>
  </si>
  <si>
    <t>355544015:eng</t>
  </si>
  <si>
    <t>18681315</t>
  </si>
  <si>
    <t>991001310459702656</t>
  </si>
  <si>
    <t>2262183950002656</t>
  </si>
  <si>
    <t>9780306430473</t>
  </si>
  <si>
    <t>30001001750696</t>
  </si>
  <si>
    <t>893460459</t>
  </si>
  <si>
    <t>QU 145 H9183 1991 v.7</t>
  </si>
  <si>
    <t>0                      QU 0145000H  9183        1991                                        v.7</t>
  </si>
  <si>
    <t>Cancer and nutrition / edited by Roslyn B. Alfin-Slater and David Kritchevsky.</t>
  </si>
  <si>
    <t>V.7</t>
  </si>
  <si>
    <t>New York : Plenum, c1991.</t>
  </si>
  <si>
    <t>Human nutrition ; v. 7</t>
  </si>
  <si>
    <t>3856612874:eng</t>
  </si>
  <si>
    <t>22665316</t>
  </si>
  <si>
    <t>991000827449702656</t>
  </si>
  <si>
    <t>2257222170002656</t>
  </si>
  <si>
    <t>9780306434259</t>
  </si>
  <si>
    <t>30001002089433</t>
  </si>
  <si>
    <t>893731348</t>
  </si>
  <si>
    <t>QU 145 H9186 1982</t>
  </si>
  <si>
    <t>0                      QU 0145000H  9186        1982</t>
  </si>
  <si>
    <t>Human nutrition : current issues and controversies / edited by A. Neuberger, T.H. Jukes.</t>
  </si>
  <si>
    <t>Englewood, N.J. : J.K. Burgess, c1982.</t>
  </si>
  <si>
    <t>1997-04-27</t>
  </si>
  <si>
    <t>1987-08-25</t>
  </si>
  <si>
    <t>836621938:eng</t>
  </si>
  <si>
    <t>8291727</t>
  </si>
  <si>
    <t>991001487089702656</t>
  </si>
  <si>
    <t>2261782460002656</t>
  </si>
  <si>
    <t>9780937218372</t>
  </si>
  <si>
    <t>30001000575425</t>
  </si>
  <si>
    <t>893284856</t>
  </si>
  <si>
    <t>QU 145 J23g 1991</t>
  </si>
  <si>
    <t>0                      QU 0145000J  23g         1991</t>
  </si>
  <si>
    <t>Geriatric nutrition and diet therapy / by Marie Jaffe.</t>
  </si>
  <si>
    <t>Jaffe, Marie S.</t>
  </si>
  <si>
    <t>El Paso, Texas : Skidmore-Roth Publishing, c1991.</t>
  </si>
  <si>
    <t>1994-02-19</t>
  </si>
  <si>
    <t>1992-06-10</t>
  </si>
  <si>
    <t>30933482:eng</t>
  </si>
  <si>
    <t>28425986</t>
  </si>
  <si>
    <t>991001228729702656</t>
  </si>
  <si>
    <t>2261040540002656</t>
  </si>
  <si>
    <t>9780944132654</t>
  </si>
  <si>
    <t>30001002335281</t>
  </si>
  <si>
    <t>893736341</t>
  </si>
  <si>
    <t>QU 145 K65m 1978</t>
  </si>
  <si>
    <t>0                      QU 0145000K  65m         1978</t>
  </si>
  <si>
    <t>Mealtime manual for people with disabilities and the aging / compiled by Judith Lannefeld Klinger with the Institute of Rehabilitation Medicine, New York University Medical Center and Campbell Soup Company.</t>
  </si>
  <si>
    <t>Klinger, Judith Lannefeld.</t>
  </si>
  <si>
    <t>New York ; Camden, New Jersey : Institute of Rehabilitation Medicine ; Campbell Soup Company, c1978.</t>
  </si>
  <si>
    <t>2nd ed. / rev. and updated ed. of Mealtime Manual for the aged and handicapped.</t>
  </si>
  <si>
    <t>1994-04-04</t>
  </si>
  <si>
    <t>13433078:eng</t>
  </si>
  <si>
    <t>3923584</t>
  </si>
  <si>
    <t>991001531619702656</t>
  </si>
  <si>
    <t>2268100750002656</t>
  </si>
  <si>
    <t>30001000621658</t>
  </si>
  <si>
    <t>893121611</t>
  </si>
  <si>
    <t>QU 145 K91s 1990</t>
  </si>
  <si>
    <t>0                      QU 0145000K  91s         1990</t>
  </si>
  <si>
    <t>A simplified scientific approach to nutrition / Edward Kravitz.</t>
  </si>
  <si>
    <t>Kravitz, Edward.</t>
  </si>
  <si>
    <t>New York : Vantage Press, c1990.</t>
  </si>
  <si>
    <t>1992-10-14</t>
  </si>
  <si>
    <t>1990-10-05</t>
  </si>
  <si>
    <t>24915571:eng</t>
  </si>
  <si>
    <t>23659880</t>
  </si>
  <si>
    <t>991000763739702656</t>
  </si>
  <si>
    <t>2260520700002656</t>
  </si>
  <si>
    <t>9780533086306</t>
  </si>
  <si>
    <t>30001002060632</t>
  </si>
  <si>
    <t>893825642</t>
  </si>
  <si>
    <t>QU 145 L317n 1990</t>
  </si>
  <si>
    <t>0                      QU 0145000L  317n        1990</t>
  </si>
  <si>
    <t>Nutrition in clinical nursing / Idamarie Laquatra, Mary Jo Gerlach.</t>
  </si>
  <si>
    <t>Laquatra, Idamarie.</t>
  </si>
  <si>
    <t>Albany, N.Y. : Delmar Publishers, c1990.</t>
  </si>
  <si>
    <t>2001-10-15</t>
  </si>
  <si>
    <t>1990-07-10</t>
  </si>
  <si>
    <t>22056552:eng</t>
  </si>
  <si>
    <t>20357167</t>
  </si>
  <si>
    <t>991001451439702656</t>
  </si>
  <si>
    <t>2265595670002656</t>
  </si>
  <si>
    <t>9780827330757</t>
  </si>
  <si>
    <t>30001001883117</t>
  </si>
  <si>
    <t>893460614</t>
  </si>
  <si>
    <t>QU 145 L348n 1986</t>
  </si>
  <si>
    <t>0                      QU 0145000L  348n        1986</t>
  </si>
  <si>
    <t>Nutrition for family and primary care practitioners / Anita B. Lasswell, Daphne A. Roe, Louis Hochheiser.</t>
  </si>
  <si>
    <t>Lasswell, Anita B.</t>
  </si>
  <si>
    <t>Philadelphia : George F. Stickley Company, c1986.</t>
  </si>
  <si>
    <t>1997-04-15</t>
  </si>
  <si>
    <t>7311244:eng</t>
  </si>
  <si>
    <t>13524380</t>
  </si>
  <si>
    <t>991000906739702656</t>
  </si>
  <si>
    <t>2268724150002656</t>
  </si>
  <si>
    <t>9780893130428</t>
  </si>
  <si>
    <t>30001000177461</t>
  </si>
  <si>
    <t>893632460</t>
  </si>
  <si>
    <t>QU 145 M145n 1978</t>
  </si>
  <si>
    <t>0                      QU 0145000M  145n        1978</t>
  </si>
  <si>
    <t>The no-nonsense guide to food and nutrition : the facts for everyone ... by the people who know / Marion McGill, Orrea Pye ; [ill. by Mel Klapholz].</t>
  </si>
  <si>
    <t>McGill, Marion.</t>
  </si>
  <si>
    <t>New York : Butterick Pub., c1978.</t>
  </si>
  <si>
    <t>1998-02-15</t>
  </si>
  <si>
    <t>399413:eng</t>
  </si>
  <si>
    <t>4005113</t>
  </si>
  <si>
    <t>991000911609702656</t>
  </si>
  <si>
    <t>2264833510002656</t>
  </si>
  <si>
    <t>9780884210542</t>
  </si>
  <si>
    <t>30001000178204</t>
  </si>
  <si>
    <t>893815909</t>
  </si>
  <si>
    <t>QU145 M6812n 2003</t>
  </si>
  <si>
    <t>0                      QU 0145000M  6812n       2003</t>
  </si>
  <si>
    <t>Nutrition across the life span / Mary Kay Mitchell.</t>
  </si>
  <si>
    <t>Mitchell, Mary Kay.</t>
  </si>
  <si>
    <t>Philadelphia, Pa. : Saunders, c2003.</t>
  </si>
  <si>
    <t>2006-04-18</t>
  </si>
  <si>
    <t>2003-02-03</t>
  </si>
  <si>
    <t>2709781:eng</t>
  </si>
  <si>
    <t>49326920</t>
  </si>
  <si>
    <t>991000338749702656</t>
  </si>
  <si>
    <t>2261232150002656</t>
  </si>
  <si>
    <t>9780721692920</t>
  </si>
  <si>
    <t>30001004501708</t>
  </si>
  <si>
    <t>893537077</t>
  </si>
  <si>
    <t>QU 145 M689 1989</t>
  </si>
  <si>
    <t>0                      QU 0145000M  689         1989</t>
  </si>
  <si>
    <t>Modern lifestyles, lower energy intake, and micronutrient status / edited by Klaus Pietrzik.</t>
  </si>
  <si>
    <t>London ; New York : Springer-Verlag, c1991.</t>
  </si>
  <si>
    <t>ILSI human nutrition reviews, 0936-4072</t>
  </si>
  <si>
    <t>1998-12-03</t>
  </si>
  <si>
    <t>1995-10-17</t>
  </si>
  <si>
    <t>356154241:eng</t>
  </si>
  <si>
    <t>22109207</t>
  </si>
  <si>
    <t>991001494839702656</t>
  </si>
  <si>
    <t>2267865510002656</t>
  </si>
  <si>
    <t>9780387196299</t>
  </si>
  <si>
    <t>30001003261304</t>
  </si>
  <si>
    <t>893121566</t>
  </si>
  <si>
    <t>QU 145 M928 1990</t>
  </si>
  <si>
    <t>0                      QU 0145000M  928         1990</t>
  </si>
  <si>
    <t>The Mount Sinai School of Medicine complete book of nutrition / Victor Herbert and Genell J. Subak-Sharpe, editors ; Delia A. Hammock, associate editor.</t>
  </si>
  <si>
    <t>New York : St. Martin's Press, c1990.</t>
  </si>
  <si>
    <t>1992-01-30</t>
  </si>
  <si>
    <t>55337116:eng</t>
  </si>
  <si>
    <t>21600625</t>
  </si>
  <si>
    <t>991001027949702656</t>
  </si>
  <si>
    <t>2260219520002656</t>
  </si>
  <si>
    <t>9780312051297</t>
  </si>
  <si>
    <t>30001002243055</t>
  </si>
  <si>
    <t>893826391</t>
  </si>
  <si>
    <t>QU 145 N2795n 1986</t>
  </si>
  <si>
    <t>0                      QU 0145000N  2795n       1986</t>
  </si>
  <si>
    <t>Nutritional care of the older adult / Annette B. Natow, Jo-Ann Heslin, with the assistance of Allen J. Natow.</t>
  </si>
  <si>
    <t>Natow, Annette B.</t>
  </si>
  <si>
    <t>New York : Macmillan, c1986.</t>
  </si>
  <si>
    <t>1992-09-25</t>
  </si>
  <si>
    <t>5424452:eng</t>
  </si>
  <si>
    <t>12808033</t>
  </si>
  <si>
    <t>991001345259702656</t>
  </si>
  <si>
    <t>2259673290002656</t>
  </si>
  <si>
    <t>9780023862007</t>
  </si>
  <si>
    <t>30001002457036</t>
  </si>
  <si>
    <t>893731937</t>
  </si>
  <si>
    <t>QU 145 N671n 1992</t>
  </si>
  <si>
    <t>0                      QU 0145000N  671n        1992</t>
  </si>
  <si>
    <t>Nutrition / David C. Nieman, Diane E. Butterworth, Catherine N. Nieman.</t>
  </si>
  <si>
    <t>Nieman, David C., 1950-</t>
  </si>
  <si>
    <t>Dubuque, IA : W.C. Brown, [1991], c1992.</t>
  </si>
  <si>
    <t>Rev. 1st ed.</t>
  </si>
  <si>
    <t>1995-04-11</t>
  </si>
  <si>
    <t>1991-12-03</t>
  </si>
  <si>
    <t>22712331:eng</t>
  </si>
  <si>
    <t>26768544</t>
  </si>
  <si>
    <t>991000950519702656</t>
  </si>
  <si>
    <t>2264869830002656</t>
  </si>
  <si>
    <t>9780697122452</t>
  </si>
  <si>
    <t>30001002194837</t>
  </si>
  <si>
    <t>893121048</t>
  </si>
  <si>
    <t>QU 145 N97155 1985</t>
  </si>
  <si>
    <t>0                      QU 0145000N  97155       1985</t>
  </si>
  <si>
    <t>Nutrition and aging / edited by Martha L. Hutchinson, Hamish N. Munro.</t>
  </si>
  <si>
    <t>Bristol-Myers nutrition symposia ; v. 5</t>
  </si>
  <si>
    <t>356058522:eng</t>
  </si>
  <si>
    <t>13760882</t>
  </si>
  <si>
    <t>991000909249702656</t>
  </si>
  <si>
    <t>2271402410002656</t>
  </si>
  <si>
    <t>9780123628756</t>
  </si>
  <si>
    <t>30001000177800</t>
  </si>
  <si>
    <t>893834488</t>
  </si>
  <si>
    <t>QU 145 N97536 1991</t>
  </si>
  <si>
    <t>0                      QU 0145000N  97536       1991</t>
  </si>
  <si>
    <t>Nutrition of the elderly / editors, Hamish Munro, Günter Schlierf.</t>
  </si>
  <si>
    <t>Vevey, Switzerland : Nestlé Nutrition Services ; New York : Raven Press, c1992.</t>
  </si>
  <si>
    <t>Nestlé Nutrition workshop series ; v. 29</t>
  </si>
  <si>
    <t>2002-02-26</t>
  </si>
  <si>
    <t>1992-04-29</t>
  </si>
  <si>
    <t>358283427:eng</t>
  </si>
  <si>
    <t>24668590</t>
  </si>
  <si>
    <t>991001303399702656</t>
  </si>
  <si>
    <t>2256971750002656</t>
  </si>
  <si>
    <t>9780881678741</t>
  </si>
  <si>
    <t>30001002412726</t>
  </si>
  <si>
    <t>893455677</t>
  </si>
  <si>
    <t>QU 145 N976 1987</t>
  </si>
  <si>
    <t>0                      QU 0145000N  976         1987</t>
  </si>
  <si>
    <t>Nutritional anthropology / editor, Francis E. Johnston.</t>
  </si>
  <si>
    <t>1999-03-20</t>
  </si>
  <si>
    <t>9813497:eng</t>
  </si>
  <si>
    <t>15252580</t>
  </si>
  <si>
    <t>991001530779702656</t>
  </si>
  <si>
    <t>2254825520002656</t>
  </si>
  <si>
    <t>9780845142165</t>
  </si>
  <si>
    <t>30001000621468</t>
  </si>
  <si>
    <t>893374691</t>
  </si>
  <si>
    <t>QU 145 N976 1988</t>
  </si>
  <si>
    <t>0                      QU 0145000N  976         1988</t>
  </si>
  <si>
    <t>Nutrition education : program evaluation handbook / prepared for the Center for Health Promotion and Education, United States Centers for Disease Control, the Office of Disease Prevention and Health Promotion, Office of the Assistant Secretary for Health, United States Dept. of Health and Human Services by IOX Assessment Associates.</t>
  </si>
  <si>
    <t>Los Angeles, CA. : IOX Assessment Associates, c1988.</t>
  </si>
  <si>
    <t>[Rev.]</t>
  </si>
  <si>
    <t>1991-11-12</t>
  </si>
  <si>
    <t>1989-01-16</t>
  </si>
  <si>
    <t>3856304671:eng</t>
  </si>
  <si>
    <t>19565958</t>
  </si>
  <si>
    <t>991001110389702656</t>
  </si>
  <si>
    <t>2264282120002656</t>
  </si>
  <si>
    <t>30001001611971</t>
  </si>
  <si>
    <t>893455482</t>
  </si>
  <si>
    <t>QU 145 N976 1991</t>
  </si>
  <si>
    <t>0                      QU 0145000N  976         1991</t>
  </si>
  <si>
    <t>Nutrition in the '90s : current controversies and analysis / edited by Gerald E. Gaull, Frank N. Kotsonis, Maureen A. Mackey.</t>
  </si>
  <si>
    <t>New York : M. Dekker, c1991.</t>
  </si>
  <si>
    <t>1997-10-11</t>
  </si>
  <si>
    <t>1991-05-30</t>
  </si>
  <si>
    <t>799517079:eng</t>
  </si>
  <si>
    <t>22892595</t>
  </si>
  <si>
    <t>991000938259702656</t>
  </si>
  <si>
    <t>2267342100002656</t>
  </si>
  <si>
    <t>9780824785253</t>
  </si>
  <si>
    <t>30001002191742</t>
  </si>
  <si>
    <t>893740594</t>
  </si>
  <si>
    <t>QU 145 N9763 1985</t>
  </si>
  <si>
    <t>0                      QU 0145000N  9763        1985</t>
  </si>
  <si>
    <t>Nutritional biochemistry and metabolism : with clinical applications / edited by Maria C. Linder ; with a foreword by Hamish N. Munro.</t>
  </si>
  <si>
    <t>New York : Elsevier, c1985.</t>
  </si>
  <si>
    <t>836665206:eng</t>
  </si>
  <si>
    <t>10753000</t>
  </si>
  <si>
    <t>991000908819702656</t>
  </si>
  <si>
    <t>2265481670002656</t>
  </si>
  <si>
    <t>9780444009104</t>
  </si>
  <si>
    <t>30001000177776</t>
  </si>
  <si>
    <t>893546203</t>
  </si>
  <si>
    <t>QU145 N9765 1990</t>
  </si>
  <si>
    <t>0                      QU 0145000N  9765        1990</t>
  </si>
  <si>
    <t>Nutrition almanac / Lavon J. Dunne ; Nutrition Search, Inc., John D. Kirschmann, director.</t>
  </si>
  <si>
    <t>New York : McGraw-Hill, 1990.</t>
  </si>
  <si>
    <t>11777811:eng</t>
  </si>
  <si>
    <t>19887512</t>
  </si>
  <si>
    <t>991000155619702656</t>
  </si>
  <si>
    <t>2260411260002656</t>
  </si>
  <si>
    <t>9780070349124</t>
  </si>
  <si>
    <t>30001001797200</t>
  </si>
  <si>
    <t>893359352</t>
  </si>
  <si>
    <t>QU 145 O97n 1999</t>
  </si>
  <si>
    <t>0                      QU 0145000O  97n         1999</t>
  </si>
  <si>
    <t>Nutrition in the community : the art and science of delivering services / Anita L. Owen, Patricia L. Splett, George M. Owen.</t>
  </si>
  <si>
    <t>Owen, Anita Yanochik, 1937-</t>
  </si>
  <si>
    <t>Boston : WCB/McGraw-Hill, c1999.</t>
  </si>
  <si>
    <t>5389150:eng</t>
  </si>
  <si>
    <t>38504338</t>
  </si>
  <si>
    <t>991000691539702656</t>
  </si>
  <si>
    <t>2266932520002656</t>
  </si>
  <si>
    <t>9780815133117</t>
  </si>
  <si>
    <t>30001004036655</t>
  </si>
  <si>
    <t>893730969</t>
  </si>
  <si>
    <t>QU 145 P526m 1975</t>
  </si>
  <si>
    <t>0                      QU 0145000P  526m        1975</t>
  </si>
  <si>
    <t>Mental and elemental nutrients : a physician's guide to nutrition and health care / Carl C. Pfeiffer and the Publications Committee of the Brain Bio Center.</t>
  </si>
  <si>
    <t>Pfeiffer, Carl Curt.</t>
  </si>
  <si>
    <t>New Canaan, Conn. : Keats Pub., c1975.</t>
  </si>
  <si>
    <t>1993-11-22</t>
  </si>
  <si>
    <t>1987-11-15</t>
  </si>
  <si>
    <t>540479:eng</t>
  </si>
  <si>
    <t>2123144</t>
  </si>
  <si>
    <t>991000878149702656</t>
  </si>
  <si>
    <t>2272455390002656</t>
  </si>
  <si>
    <t>9780879831141</t>
  </si>
  <si>
    <t>30001000820193</t>
  </si>
  <si>
    <t>893464942</t>
  </si>
  <si>
    <t>QU 145 P764n 1991</t>
  </si>
  <si>
    <t>0                      QU 0145000P  764n        1991</t>
  </si>
  <si>
    <t>Nutrition : essentials and diet therapy.</t>
  </si>
  <si>
    <t>Poleman, Charlotte M.</t>
  </si>
  <si>
    <t>Philadelphia : Saunders, c1991.</t>
  </si>
  <si>
    <t>6th ed. / Charlotte M. Poleman, Nancy J. Peckenpaugh.</t>
  </si>
  <si>
    <t>1991-12-12</t>
  </si>
  <si>
    <t>8358842:eng</t>
  </si>
  <si>
    <t>22279813</t>
  </si>
  <si>
    <t>991001025549702656</t>
  </si>
  <si>
    <t>2265758170002656</t>
  </si>
  <si>
    <t>9780721672816</t>
  </si>
  <si>
    <t>30001002242586</t>
  </si>
  <si>
    <t>893546314</t>
  </si>
  <si>
    <t>QU 145 P896 1989</t>
  </si>
  <si>
    <t>0                      QU 0145000P  896         1989</t>
  </si>
  <si>
    <t>Practical nutrition : a quick reference for the health care practitioner / [edited by] Margaret D. Simko, Catherine Cowell, Maureen S. Hreha.</t>
  </si>
  <si>
    <t>Rockville, Md. : Aspen Publishers, c1989.</t>
  </si>
  <si>
    <t>1989-05-26</t>
  </si>
  <si>
    <t>422908344:eng</t>
  </si>
  <si>
    <t>18984163</t>
  </si>
  <si>
    <t>991001249249702656</t>
  </si>
  <si>
    <t>2269172750002656</t>
  </si>
  <si>
    <t>9780834200487</t>
  </si>
  <si>
    <t>30001001678509</t>
  </si>
  <si>
    <t>893363911</t>
  </si>
  <si>
    <t>QU 145 R296f 1973</t>
  </si>
  <si>
    <t>0                      QU 0145000R  296f        1973</t>
  </si>
  <si>
    <t>Food, nutrition and health : a multidisciplinary treatise addressed to the major nutrition problems from a world wide perspective / Editor: Miloslav Rechcigl ; with a foreword from Dr. Jean Mayer.</t>
  </si>
  <si>
    <t>New York : S. Karger, 1973.</t>
  </si>
  <si>
    <t>World review of nutrition and dietetics ; v. 16</t>
  </si>
  <si>
    <t>1998-06-23</t>
  </si>
  <si>
    <t>1990-02-28</t>
  </si>
  <si>
    <t>866854897:eng</t>
  </si>
  <si>
    <t>965996</t>
  </si>
  <si>
    <t>991000986139702656</t>
  </si>
  <si>
    <t>2261199340002656</t>
  </si>
  <si>
    <t>9783805513982</t>
  </si>
  <si>
    <t>30001000217275</t>
  </si>
  <si>
    <t>893826317</t>
  </si>
  <si>
    <t>QU 145 S948n 1984</t>
  </si>
  <si>
    <t>0                      QU 0145000S  948n        1984</t>
  </si>
  <si>
    <t>Nutrition, principles and application in health promotion / Carol Jean West Suitor, Merrily Forbes Crowley.</t>
  </si>
  <si>
    <t>Suitor, Carol West.</t>
  </si>
  <si>
    <t>Philadelphia : Lippincott, c1984.</t>
  </si>
  <si>
    <t xml:space="preserve">aa </t>
  </si>
  <si>
    <t>1997-10-10</t>
  </si>
  <si>
    <t>18424025:eng</t>
  </si>
  <si>
    <t>9620091</t>
  </si>
  <si>
    <t>991000911209702656</t>
  </si>
  <si>
    <t>2269415420002656</t>
  </si>
  <si>
    <t>9780397544240</t>
  </si>
  <si>
    <t>30001000177990</t>
  </si>
  <si>
    <t>893551930</t>
  </si>
  <si>
    <t>QU 145 T897 1983</t>
  </si>
  <si>
    <t>0                      QU 0145000T  897         1983</t>
  </si>
  <si>
    <t>Human nutrition / Murray M. Tuckerman and Salvatore J. Turco.</t>
  </si>
  <si>
    <t>Tuckerman, Murray M.</t>
  </si>
  <si>
    <t>Philadelphia : Lea &amp; Febiger, c1983.</t>
  </si>
  <si>
    <t>1998-06-04</t>
  </si>
  <si>
    <t>1987-08-20</t>
  </si>
  <si>
    <t>32593739:eng</t>
  </si>
  <si>
    <t>8629602</t>
  </si>
  <si>
    <t>991000747019702656</t>
  </si>
  <si>
    <t>2262374860002656</t>
  </si>
  <si>
    <t>9780812108538</t>
  </si>
  <si>
    <t>30001000046021</t>
  </si>
  <si>
    <t>893362953</t>
  </si>
  <si>
    <t>QU 145 U58ss 1988</t>
  </si>
  <si>
    <t>0                      QU 0145000U  58ss        1988</t>
  </si>
  <si>
    <t>The surgeon general's report on nutrition and health : summary and recommendations / [C. Everett Koop].</t>
  </si>
  <si>
    <t>United States. Public Health Service. Office of the Surgeon General.</t>
  </si>
  <si>
    <t>Washington, D.C. : U.S.G.P.O., 1988.</t>
  </si>
  <si>
    <t>DHHS publication ; no. (PHS) 88-50211</t>
  </si>
  <si>
    <t>1996-11-21</t>
  </si>
  <si>
    <t>1989-02-18</t>
  </si>
  <si>
    <t>8907727338:eng</t>
  </si>
  <si>
    <t>21197246</t>
  </si>
  <si>
    <t>991001103329702656</t>
  </si>
  <si>
    <t>2264167770002656</t>
  </si>
  <si>
    <t>30001001610148</t>
  </si>
  <si>
    <t>893557590</t>
  </si>
  <si>
    <t>QU145 W266p 2002</t>
  </si>
  <si>
    <t>0                      QU 0145000W  266p        2002</t>
  </si>
  <si>
    <t>Perspectives in nutrition / Gordon M. Wardlaw, Margaret W. Kessel.</t>
  </si>
  <si>
    <t>Wardlaw, Gordon M.</t>
  </si>
  <si>
    <t>Boston : McGraw-Hill, c2002.</t>
  </si>
  <si>
    <t>2003-04-16</t>
  </si>
  <si>
    <t>2002-01-24</t>
  </si>
  <si>
    <t>651500:eng</t>
  </si>
  <si>
    <t>45962954</t>
  </si>
  <si>
    <t>991000303659702656</t>
  </si>
  <si>
    <t>2259528620002656</t>
  </si>
  <si>
    <t>9780071122863</t>
  </si>
  <si>
    <t>30001004236529</t>
  </si>
  <si>
    <t>893737195</t>
  </si>
  <si>
    <t>QU 145 W468 1980</t>
  </si>
  <si>
    <t>0                      QU 0145000W  468         1980</t>
  </si>
  <si>
    <t>Nutrition : the challenge of being well nourished / Dorothy A. Wenck, Martin Baren, Sat Paul Dewan.</t>
  </si>
  <si>
    <t>Wenck, Dorothy A.</t>
  </si>
  <si>
    <t>Reston, Va. : Reston Pub. Co., c1980.</t>
  </si>
  <si>
    <t>2003-05-04</t>
  </si>
  <si>
    <t>497611:eng</t>
  </si>
  <si>
    <t>5611743</t>
  </si>
  <si>
    <t>991000911329702656</t>
  </si>
  <si>
    <t>2261239200002656</t>
  </si>
  <si>
    <t>9780835950619</t>
  </si>
  <si>
    <t>30001000178097</t>
  </si>
  <si>
    <t>893460126</t>
  </si>
  <si>
    <t>QU 145 W618ua 1998</t>
  </si>
  <si>
    <t>0                      QU 0145000W  618ua       1998</t>
  </si>
  <si>
    <t>Understanding normal and clinical nutrition / Eleanor Noss Whitney, Corinne Balog Cataldo, Sharon Rady Rolfes.</t>
  </si>
  <si>
    <t>Whitney, Eleanor Noss.</t>
  </si>
  <si>
    <t>Belmont, CA : West/Wadsworth, c1998.</t>
  </si>
  <si>
    <t>2009-08-30</t>
  </si>
  <si>
    <t>1999-01-19</t>
  </si>
  <si>
    <t>3805421720:eng</t>
  </si>
  <si>
    <t>37640621</t>
  </si>
  <si>
    <t>991001530889702656</t>
  </si>
  <si>
    <t>2269097590002656</t>
  </si>
  <si>
    <t>9780534533342</t>
  </si>
  <si>
    <t>30001003961424</t>
  </si>
  <si>
    <t>893460685</t>
  </si>
  <si>
    <t>QU 145 W694n 1982</t>
  </si>
  <si>
    <t>0                      QU 0145000W  694n        1982</t>
  </si>
  <si>
    <t>Nutrition for the practicing physician / Mervyn D. Willard.</t>
  </si>
  <si>
    <t>Willard, Mervyn D., 1943-</t>
  </si>
  <si>
    <t>Menlo Park, Calif. : Addison-Wesley, Medical/Nursing Division, c1982.</t>
  </si>
  <si>
    <t>Addison-Wesley clinical practice series</t>
  </si>
  <si>
    <t>43567120:eng</t>
  </si>
  <si>
    <t>8688445</t>
  </si>
  <si>
    <t>991000911359702656</t>
  </si>
  <si>
    <t>2266360190002656</t>
  </si>
  <si>
    <t>9780201083200</t>
  </si>
  <si>
    <t>30001000178089</t>
  </si>
  <si>
    <t>893731528</t>
  </si>
  <si>
    <t>QU 145 W726n 1962</t>
  </si>
  <si>
    <t>0                      QU 0145000W  726n        1962</t>
  </si>
  <si>
    <t>Nutrition in a nutshell / Roger J. Williams.</t>
  </si>
  <si>
    <t>Williams, Roger J. (Roger John), 1893-1988.</t>
  </si>
  <si>
    <t>Garden City, N.Y., Doubleday, c1962.</t>
  </si>
  <si>
    <t>1962</t>
  </si>
  <si>
    <t>Dolphin books ; C396</t>
  </si>
  <si>
    <t>2007-02-04</t>
  </si>
  <si>
    <t>131137363:eng</t>
  </si>
  <si>
    <t>1978085</t>
  </si>
  <si>
    <t>991000911389702656</t>
  </si>
  <si>
    <t>2267898660002656</t>
  </si>
  <si>
    <t>30001000178105</t>
  </si>
  <si>
    <t>893731529</t>
  </si>
  <si>
    <t>QU 145 W727e 1982</t>
  </si>
  <si>
    <t>0                      QU 0145000W  727e        1982</t>
  </si>
  <si>
    <t>Essentials of nutrition and diet therapy / Sue Rodwell Williams.</t>
  </si>
  <si>
    <t>Williams, Sue Rodwell.</t>
  </si>
  <si>
    <t>3373085004:eng</t>
  </si>
  <si>
    <t>7814344</t>
  </si>
  <si>
    <t>991000911419702656</t>
  </si>
  <si>
    <t>2272625140002656</t>
  </si>
  <si>
    <t>9780801655753</t>
  </si>
  <si>
    <t>30001000178113</t>
  </si>
  <si>
    <t>893273474</t>
  </si>
  <si>
    <t>QU 145.5 B786f 1998</t>
  </si>
  <si>
    <t>0                      QU 0145500B  786f        1998</t>
  </si>
  <si>
    <t>Bowes &amp; Church's food values of portions commonly used.</t>
  </si>
  <si>
    <t>Philadelphia : Lippincott, c1998.</t>
  </si>
  <si>
    <t>17th ed. / revised by Jean A.T. Pennington.</t>
  </si>
  <si>
    <t>2009-09-30</t>
  </si>
  <si>
    <t>1997-12-18</t>
  </si>
  <si>
    <t>37037405</t>
  </si>
  <si>
    <t>991001277539702656</t>
  </si>
  <si>
    <t>2259357170002656</t>
  </si>
  <si>
    <t>9780397554355</t>
  </si>
  <si>
    <t>30001003700095</t>
  </si>
  <si>
    <t>893369280</t>
  </si>
  <si>
    <t>QU145.5 P536 2007</t>
  </si>
  <si>
    <t>0                      QU 0145500P  536         2007</t>
  </si>
  <si>
    <t>Pharmaceutical care with dietary supplements : concepts and common sense / [edited by] Cydney E. McQueen ; with nine contributors.</t>
  </si>
  <si>
    <t>Bethesda, Md. : American Society of Health-System Pharmacists, c2007.</t>
  </si>
  <si>
    <t>2008-05-30</t>
  </si>
  <si>
    <t>2007-11-26</t>
  </si>
  <si>
    <t>366999126:eng</t>
  </si>
  <si>
    <t>75087957</t>
  </si>
  <si>
    <t>991000663609702656</t>
  </si>
  <si>
    <t>2268391720002656</t>
  </si>
  <si>
    <t>9781585281435</t>
  </si>
  <si>
    <t>30001005269768</t>
  </si>
  <si>
    <t>893267086</t>
  </si>
  <si>
    <t>QU 146.1 J54n 1983</t>
  </si>
  <si>
    <t>0                      QU 0146100J  54n         1983</t>
  </si>
  <si>
    <t>Nutritional assessment : a manual for practitioners / Terri G. Jensen, Deanne M. Englert, Stanley J. Dudrick.</t>
  </si>
  <si>
    <t>Jensen, Terri G.</t>
  </si>
  <si>
    <t>Norwalk, CT : Appleton-Century-Crofts, c1983.</t>
  </si>
  <si>
    <t>1994-04-06</t>
  </si>
  <si>
    <t>836711168:eng</t>
  </si>
  <si>
    <t>9133037</t>
  </si>
  <si>
    <t>991000911509702656</t>
  </si>
  <si>
    <t>2268809090002656</t>
  </si>
  <si>
    <t>9780838570784</t>
  </si>
  <si>
    <t>30001000178188</t>
  </si>
  <si>
    <t>893831721</t>
  </si>
  <si>
    <t>QU 160 A838 1990</t>
  </si>
  <si>
    <t>0                      QU 0160000A  838         1990</t>
  </si>
  <si>
    <t>Aspects of some vitamins, minerals, and enzymes in health and disease / volume editor, Geoffrey H. Bourne.</t>
  </si>
  <si>
    <t>Basel ; New York : Karger, c1990.</t>
  </si>
  <si>
    <t>World review of nutrition and dietetics ; vol. 62</t>
  </si>
  <si>
    <t>1991-01-31</t>
  </si>
  <si>
    <t>1990-12-17</t>
  </si>
  <si>
    <t>22674803:eng</t>
  </si>
  <si>
    <t>20492372</t>
  </si>
  <si>
    <t>991000768159702656</t>
  </si>
  <si>
    <t>2268315800002656</t>
  </si>
  <si>
    <t>9783805549943</t>
  </si>
  <si>
    <t>30001002061440</t>
  </si>
  <si>
    <t>893834310</t>
  </si>
  <si>
    <t>QU 160 M346g 1975</t>
  </si>
  <si>
    <t>0                      QU 0160000M  346g        1975</t>
  </si>
  <si>
    <t>A guide to the vitamins : their role in health and disease / John Marks.</t>
  </si>
  <si>
    <t>Marks, John, 1924-</t>
  </si>
  <si>
    <t>Lancaster, Eng. : Medical and Technical Pub. Co., c1975.</t>
  </si>
  <si>
    <t>1996-02-14</t>
  </si>
  <si>
    <t>478694168:eng</t>
  </si>
  <si>
    <t>2074097</t>
  </si>
  <si>
    <t>991000911679702656</t>
  </si>
  <si>
    <t>2264012550002656</t>
  </si>
  <si>
    <t>30001000178261</t>
  </si>
  <si>
    <t>893278457</t>
  </si>
  <si>
    <t>QU 160 R815d 1974</t>
  </si>
  <si>
    <t>0                      QU 0160000R  815d        1974</t>
  </si>
  <si>
    <t>The doctor's book of vitamin therapy : megavitamins for health / by Harold Rosenberg and A. N. Feldzamen.</t>
  </si>
  <si>
    <t>Rosenberg, Harold, 1921-</t>
  </si>
  <si>
    <t>New York : Putnam, [1974]</t>
  </si>
  <si>
    <t>2002-10-21</t>
  </si>
  <si>
    <t>472771:eng</t>
  </si>
  <si>
    <t>1119394</t>
  </si>
  <si>
    <t>991000911569702656</t>
  </si>
  <si>
    <t>2256072410002656</t>
  </si>
  <si>
    <t>30001000178212</t>
  </si>
  <si>
    <t>893736038</t>
  </si>
  <si>
    <t>QU 160 U67v 1953</t>
  </si>
  <si>
    <t>0                      QU 0160000U  67v         1953</t>
  </si>
  <si>
    <t>Vitamin manual.</t>
  </si>
  <si>
    <t>Upjohn Company.</t>
  </si>
  <si>
    <t>Kalamazoo, Mich. : Upjohn Company, c1953.</t>
  </si>
  <si>
    <t>1953</t>
  </si>
  <si>
    <t>1997-04-22</t>
  </si>
  <si>
    <t>1232614:eng</t>
  </si>
  <si>
    <t>8258602</t>
  </si>
  <si>
    <t>991000911799702656</t>
  </si>
  <si>
    <t>2260851160002656</t>
  </si>
  <si>
    <t>30001000178428</t>
  </si>
  <si>
    <t>893455275</t>
  </si>
  <si>
    <t>QU 160 V837 1994</t>
  </si>
  <si>
    <t>0                      QU 0160000V  837         1994</t>
  </si>
  <si>
    <t>Vitamin receptors : vitamins as ligands in cell communication / edited by Krishnamurti Dakshinamurti.</t>
  </si>
  <si>
    <t>Cambridge [England] ; New York, NY : Cambridge University Press, c1994.</t>
  </si>
  <si>
    <t>2001-11-19</t>
  </si>
  <si>
    <t>30846311:eng</t>
  </si>
  <si>
    <t>28149663</t>
  </si>
  <si>
    <t>991001395449702656</t>
  </si>
  <si>
    <t>2271456050002656</t>
  </si>
  <si>
    <t>9780521392808</t>
  </si>
  <si>
    <t>30001003145879</t>
  </si>
  <si>
    <t>893652003</t>
  </si>
  <si>
    <t>QU 160 V8383 1981</t>
  </si>
  <si>
    <t>0                      QU 0160000V  8383        1981</t>
  </si>
  <si>
    <t>Vitamins in human biology and medicine / editor, Michael H. Briggs.</t>
  </si>
  <si>
    <t>Boca Raton, Fla. : CRC Press, c1981.</t>
  </si>
  <si>
    <t>1995-06-12</t>
  </si>
  <si>
    <t>508742:eng</t>
  </si>
  <si>
    <t>6625917</t>
  </si>
  <si>
    <t>991000911719702656</t>
  </si>
  <si>
    <t>2256963420002656</t>
  </si>
  <si>
    <t>9780849356735</t>
  </si>
  <si>
    <t>30001000178287</t>
  </si>
  <si>
    <t>893120721</t>
  </si>
  <si>
    <t>QU 167 G197b 1989</t>
  </si>
  <si>
    <t>0                      QU 0167000G  197b        1989</t>
  </si>
  <si>
    <t>Biochemistry of vitamin A / author, Jagannath Ganguly.</t>
  </si>
  <si>
    <t>Ganguly, Jagannath, 1921-</t>
  </si>
  <si>
    <t>2010-12-16</t>
  </si>
  <si>
    <t>18991733:eng</t>
  </si>
  <si>
    <t>18982662</t>
  </si>
  <si>
    <t>991001313939702656</t>
  </si>
  <si>
    <t>2269108170002656</t>
  </si>
  <si>
    <t>9780849368905</t>
  </si>
  <si>
    <t>30001001752064</t>
  </si>
  <si>
    <t>893363955</t>
  </si>
  <si>
    <t>QU 167 R438 1994</t>
  </si>
  <si>
    <t>0                      QU 0167000R  438         1994</t>
  </si>
  <si>
    <t>The Retinoids : biology, chemistry, and medicine / editors, Michael B. Sporn, Anita B. Roberts, DeWitt S. Goodman.</t>
  </si>
  <si>
    <t>New York : Raven Press, c1994.</t>
  </si>
  <si>
    <t>2004-11-19</t>
  </si>
  <si>
    <t>1994-02-10</t>
  </si>
  <si>
    <t>3857387902:eng</t>
  </si>
  <si>
    <t>27814431</t>
  </si>
  <si>
    <t>991000651839702656</t>
  </si>
  <si>
    <t>2259599000002656</t>
  </si>
  <si>
    <t>9780781700825</t>
  </si>
  <si>
    <t>30001002691170</t>
  </si>
  <si>
    <t>893147852</t>
  </si>
  <si>
    <t>QU 173 N842v 1979</t>
  </si>
  <si>
    <t>0                      QU 0173000N  842v        1979</t>
  </si>
  <si>
    <t>Vitamin D : the calcium homeostatic steroid hormone / by Anthony W. Norman.</t>
  </si>
  <si>
    <t>Norman, A. W. (Anthony W.), 1938-</t>
  </si>
  <si>
    <t>1997-04-28</t>
  </si>
  <si>
    <t>3768685094:eng</t>
  </si>
  <si>
    <t>5171867</t>
  </si>
  <si>
    <t>991000912029702656</t>
  </si>
  <si>
    <t>2259035510002656</t>
  </si>
  <si>
    <t>9780125210508</t>
  </si>
  <si>
    <t>30001000178725</t>
  </si>
  <si>
    <t>893815910</t>
  </si>
  <si>
    <t>QU 179 V837 1993</t>
  </si>
  <si>
    <t>0                      QU 0179000V  837         1993</t>
  </si>
  <si>
    <t>Vitamin E : its usefulness in health and in curing diseases / edited by Makoto Mino... [et al.].</t>
  </si>
  <si>
    <t>Tokyo : Japan Scientific Societies Press ; Basel ; New York : Karger, c1993.</t>
  </si>
  <si>
    <t>2007-03-14</t>
  </si>
  <si>
    <t>1993-10-22</t>
  </si>
  <si>
    <t>3901355783:eng</t>
  </si>
  <si>
    <t>28529916</t>
  </si>
  <si>
    <t>991001488329702656</t>
  </si>
  <si>
    <t>2268434280002656</t>
  </si>
  <si>
    <t>9783805557535</t>
  </si>
  <si>
    <t>30001002579888</t>
  </si>
  <si>
    <t>893451255</t>
  </si>
  <si>
    <t>QU 181 V8375 1990</t>
  </si>
  <si>
    <t>0                      QU 0181000V  8375        1990</t>
  </si>
  <si>
    <t>Vitamin K-dependent proteins and their metabolic roles / editors, Hidehiko Saito, J.W. Suttie.</t>
  </si>
  <si>
    <t>New York : Elsevier, c1990.</t>
  </si>
  <si>
    <t>1991-08-07</t>
  </si>
  <si>
    <t>365304214:eng</t>
  </si>
  <si>
    <t>22596872</t>
  </si>
  <si>
    <t>991000943159702656</t>
  </si>
  <si>
    <t>2255051440002656</t>
  </si>
  <si>
    <t>9780444015662</t>
  </si>
  <si>
    <t>30001002193078</t>
  </si>
  <si>
    <t>893134108</t>
  </si>
  <si>
    <t>QU 210 C626v 1989</t>
  </si>
  <si>
    <t>0                      QU 0210000C  626v        1989</t>
  </si>
  <si>
    <t>Vitamin C / author, C. Alan B. Clemetson.</t>
  </si>
  <si>
    <t>Clemetson, C. Alan B.</t>
  </si>
  <si>
    <t>1989-09-14</t>
  </si>
  <si>
    <t>8907564501:eng</t>
  </si>
  <si>
    <t>17918592</t>
  </si>
  <si>
    <t>991001321989702656</t>
  </si>
  <si>
    <t>2255124380002656</t>
  </si>
  <si>
    <t>9780849348419</t>
  </si>
  <si>
    <t>30001001753831</t>
  </si>
  <si>
    <t>893736463</t>
  </si>
  <si>
    <t>30001001753823</t>
  </si>
  <si>
    <t>893727457</t>
  </si>
  <si>
    <t>30001001753849</t>
  </si>
  <si>
    <t>893727456</t>
  </si>
  <si>
    <t>QU 220 F589 1998</t>
  </si>
  <si>
    <t>0                      QU 0220000F  589         1998</t>
  </si>
  <si>
    <t>Flavonoids in health and disease / edited by Catherine A. Rice-Evans, Lester Packer.</t>
  </si>
  <si>
    <t>Antioxidants in health and disease ; 7</t>
  </si>
  <si>
    <t>1998-10-21</t>
  </si>
  <si>
    <t>1997-11-04</t>
  </si>
  <si>
    <t>766933536:eng</t>
  </si>
  <si>
    <t>37451778</t>
  </si>
  <si>
    <t>991001198879702656</t>
  </si>
  <si>
    <t>2260268420002656</t>
  </si>
  <si>
    <t>9780824700966</t>
  </si>
  <si>
    <t>30001003653849</t>
  </si>
  <si>
    <t>893161759</t>
  </si>
  <si>
    <t>QU 230 B61443 1982</t>
  </si>
  <si>
    <t>0                      QU 0230000B  61443       1982</t>
  </si>
  <si>
    <t>Biomedicinal aspects of fluorine chemistry / Robert Filler and Yoshiro Kobayashi, editors.</t>
  </si>
  <si>
    <t>Amsterdam ; New York : Elsevier Biomedical Press, c1982.</t>
  </si>
  <si>
    <t>365575847:eng</t>
  </si>
  <si>
    <t>8827600</t>
  </si>
  <si>
    <t>991000911829702656</t>
  </si>
  <si>
    <t>2266445620002656</t>
  </si>
  <si>
    <t>9780444804662</t>
  </si>
  <si>
    <t>30001000178550</t>
  </si>
  <si>
    <t>893368891</t>
  </si>
  <si>
    <t>QU 325 T227s 2008</t>
  </si>
  <si>
    <t>0                      QU 0325000T  227s        2008</t>
  </si>
  <si>
    <t>Stem cells and regenerative medicine. Volume III, Pharmacology and therapy / Phillippe Taupin.</t>
  </si>
  <si>
    <t>Taupin, Philippe.</t>
  </si>
  <si>
    <t>Hauppauge, N.Y. : Nova Science ; Lancaster : Gazelle [distributor], 2008.</t>
  </si>
  <si>
    <t>2009-05-22</t>
  </si>
  <si>
    <t>119732712:eng</t>
  </si>
  <si>
    <t>232366099</t>
  </si>
  <si>
    <t>991001465109702656</t>
  </si>
  <si>
    <t>2255425760002656</t>
  </si>
  <si>
    <t>9781604564723</t>
  </si>
  <si>
    <t>30001004916831</t>
  </si>
  <si>
    <t>893358630</t>
  </si>
  <si>
    <t>QU 375 S5784 2008</t>
  </si>
  <si>
    <t>0                      QU 0375000S  5784        2008</t>
  </si>
  <si>
    <t>Signal transduction : new research / Lorenzo F. Greco and Alessandro L. Martino, editors.</t>
  </si>
  <si>
    <t>2010-01-07</t>
  </si>
  <si>
    <t>138074859:eng</t>
  </si>
  <si>
    <t>229430561</t>
  </si>
  <si>
    <t>991001554499702656</t>
  </si>
  <si>
    <t>2270869690002656</t>
  </si>
  <si>
    <t>9781604563382</t>
  </si>
  <si>
    <t>30001005366564</t>
  </si>
  <si>
    <t>893826862</t>
  </si>
  <si>
    <t>QU 475 G328 2008</t>
  </si>
  <si>
    <t>0                      QU 0475000G  328         2008</t>
  </si>
  <si>
    <t>Genetic recombination research progress / Jacob H. Schulz, editor.</t>
  </si>
  <si>
    <t>2009-05-21</t>
  </si>
  <si>
    <t>119997398:eng</t>
  </si>
  <si>
    <t>192134520</t>
  </si>
  <si>
    <t>991001463319702656</t>
  </si>
  <si>
    <t>2266782310002656</t>
  </si>
  <si>
    <t>9781604564822</t>
  </si>
  <si>
    <t>30001004916450</t>
  </si>
  <si>
    <t>893552532</t>
  </si>
  <si>
    <t>QU 475 R62665 2008</t>
  </si>
  <si>
    <t>0                      QU 0475000R  62665       2008</t>
  </si>
  <si>
    <t>RNA interference research progress / Roger T. Lyland and Irving B. Browning, editors.</t>
  </si>
  <si>
    <t>1220130471:eng</t>
  </si>
  <si>
    <t>192134508</t>
  </si>
  <si>
    <t>991001463109702656</t>
  </si>
  <si>
    <t>2266795340002656</t>
  </si>
  <si>
    <t>9781604564464</t>
  </si>
  <si>
    <t>30001004916542</t>
  </si>
  <si>
    <t>893552531</t>
  </si>
  <si>
    <t>QU 766 G849m 1931</t>
  </si>
  <si>
    <t>0                      QU 0766000G  849m        1931</t>
  </si>
  <si>
    <t>A modern herbal : the medicinal, culinary, cosmetic and economic properties, cultivation and folk-lore of herbs, grasses, fungi, shrubs &amp; trees with all their modern scientific uses / by Mrs. M. Grieve.</t>
  </si>
  <si>
    <t>Grieve, M. (Maud)</t>
  </si>
  <si>
    <t>London : J. Cape, 1931.</t>
  </si>
  <si>
    <t>1931</t>
  </si>
  <si>
    <t>1908973603:eng</t>
  </si>
  <si>
    <t>4920247</t>
  </si>
  <si>
    <t>991000913409702656</t>
  </si>
  <si>
    <t>2270391760002656</t>
  </si>
  <si>
    <t>30001000178873</t>
  </si>
  <si>
    <t>893120724</t>
  </si>
  <si>
    <t>30001000178881</t>
  </si>
  <si>
    <t>893161466</t>
  </si>
  <si>
    <t>Keep in Collection? (Yes/No)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</si>
</sst>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x14ac:knownFonts="1">
    <font>
      <sz val="11"/>
      <color theme="1"/>
      <name val="Calibri"/>
      <family val="2"/>
      <scheme val="minor"/>
    </font>
    <font>
      <b/>
      <sz val="11"/>
      <color theme="1"/>
      <name val="Calibri"/>
      <family val="2"/>
      <scheme val="minor"/>
    </font>
    <font>
      <u/>
      <sz val="11"/>
      <color rgb="FF0000FF"/>
      <name val="Calibri"/>
      <family val="2"/>
      <scheme val="minor"/>
    </font>
  </fonts>
  <fills count="3">
    <fill>
      <patternFill patternType="none"/>
    </fill>
    <fill>
      <patternFill patternType="gray125"/>
    </fill>
    <fill>
      <patternFill patternType="solid">
        <fgColor rgb="FFC0C0C0"/>
        <bgColor indexed="64"/>
      </patternFill>
    </fill>
  </fills>
  <borders count="1">
    <border>
      <left/>
      <right/>
      <top/>
      <bottom/>
      <diagonal/>
    </border>
  </borders>
  <cellStyleXfs count="1">
    <xf numFmtId="0" fontId="0" fillId="0" borderId="0"/>
  </cellStyleXfs>
  <cellXfs count="9">
    <xf numFmtId="0" fontId="0" fillId="0" borderId="0" xfId="0"/>
    <xf numFmtId="0" fontId="1" fillId="2" borderId="0" xfId="0" applyFont="1" applyFill="1" applyAlignment="1">
      <alignment horizontal="center" vertical="center" wrapText="1"/>
    </xf>
    <xf numFmtId="0" fontId="0" fillId="0" borderId="0" xfId="0" applyAlignment="1">
      <alignment vertical="center" wrapText="1"/>
    </xf>
    <xf numFmtId="49" fontId="0" fillId="0" borderId="0" xfId="0" applyNumberFormat="1" applyAlignment="1">
      <alignment horizontal="center" vertical="center"/>
    </xf>
    <xf numFmtId="3" fontId="0" fillId="0" borderId="0" xfId="0" applyNumberFormat="1" applyAlignment="1">
      <alignment horizontal="center" vertical="center"/>
    </xf>
    <xf numFmtId="164" fontId="0" fillId="0" borderId="0" xfId="0" applyNumberFormat="1" applyAlignment="1">
      <alignment horizontal="center" vertical="center"/>
    </xf>
    <xf numFmtId="0" fontId="2" fillId="0" borderId="0" xfId="0" applyFont="1" applyAlignment="1">
      <alignment horizontal="center" vertical="center" wrapText="1"/>
    </xf>
    <xf numFmtId="0" fontId="0" fillId="0" borderId="0" xfId="0" applyProtection="1">
      <protection locked="0"/>
    </xf>
    <xf numFmtId="0" fontId="1" fillId="2" borderId="0" xfId="0" applyFont="1" applyFill="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CA3CE-D9C5-4451-8925-12F69D7DF6F3}">
  <dimension ref="A1:BD476"/>
  <sheetViews>
    <sheetView tabSelected="1" workbookViewId="0">
      <pane ySplit="1" topLeftCell="A2" activePane="bottomLeft" state="frozen"/>
      <selection pane="bottomLeft" activeCell="L2" sqref="L2"/>
    </sheetView>
  </sheetViews>
  <sheetFormatPr defaultRowHeight="40.5" customHeight="1" x14ac:dyDescent="0.25"/>
  <cols>
    <col min="1" max="1" width="17.28515625" customWidth="1"/>
    <col min="2" max="2" width="20" customWidth="1"/>
    <col min="3" max="3" width="0" hidden="1" customWidth="1"/>
    <col min="4" max="4" width="46.85546875" customWidth="1"/>
    <col min="6" max="10" width="0" hidden="1" customWidth="1"/>
    <col min="11" max="12" width="18" customWidth="1"/>
    <col min="14" max="17" width="0" hidden="1" customWidth="1"/>
    <col min="20" max="26" width="0" hidden="1" customWidth="1"/>
    <col min="28" max="28" width="0" hidden="1" customWidth="1"/>
    <col min="30" max="30" width="0" hidden="1" customWidth="1"/>
    <col min="31" max="31" width="17.28515625" customWidth="1"/>
    <col min="32" max="41" width="0" hidden="1" customWidth="1"/>
    <col min="42" max="44" width="10" customWidth="1"/>
    <col min="47" max="56" width="0" hidden="1" customWidth="1"/>
  </cols>
  <sheetData>
    <row r="1" spans="1:56" ht="51.75" customHeight="1" x14ac:dyDescent="0.25">
      <c r="A1" s="8" t="s">
        <v>5872</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row>
    <row r="2" spans="1:56" ht="40.5" customHeight="1" x14ac:dyDescent="0.25">
      <c r="A2" s="7" t="s">
        <v>58</v>
      </c>
      <c r="B2" s="2" t="s">
        <v>55</v>
      </c>
      <c r="C2" s="2" t="s">
        <v>56</v>
      </c>
      <c r="D2" s="2" t="s">
        <v>57</v>
      </c>
      <c r="F2" s="3" t="s">
        <v>58</v>
      </c>
      <c r="G2" s="3" t="s">
        <v>59</v>
      </c>
      <c r="H2" s="3" t="s">
        <v>58</v>
      </c>
      <c r="I2" s="3" t="s">
        <v>58</v>
      </c>
      <c r="J2" s="3" t="s">
        <v>60</v>
      </c>
      <c r="K2" s="2" t="s">
        <v>61</v>
      </c>
      <c r="L2" s="2" t="s">
        <v>62</v>
      </c>
      <c r="M2" s="3" t="s">
        <v>63</v>
      </c>
      <c r="O2" s="3" t="s">
        <v>64</v>
      </c>
      <c r="P2" s="3" t="s">
        <v>65</v>
      </c>
      <c r="R2" s="3" t="s">
        <v>66</v>
      </c>
      <c r="S2" s="4">
        <v>3</v>
      </c>
      <c r="T2" s="4">
        <v>3</v>
      </c>
      <c r="U2" s="5" t="s">
        <v>67</v>
      </c>
      <c r="V2" s="5" t="s">
        <v>67</v>
      </c>
      <c r="W2" s="5" t="s">
        <v>68</v>
      </c>
      <c r="X2" s="5" t="s">
        <v>68</v>
      </c>
      <c r="Y2" s="4">
        <v>48</v>
      </c>
      <c r="Z2" s="4">
        <v>45</v>
      </c>
      <c r="AA2" s="4">
        <v>55</v>
      </c>
      <c r="AB2" s="4">
        <v>1</v>
      </c>
      <c r="AC2" s="4">
        <v>1</v>
      </c>
      <c r="AD2" s="4">
        <v>0</v>
      </c>
      <c r="AE2" s="4">
        <v>0</v>
      </c>
      <c r="AF2" s="4">
        <v>0</v>
      </c>
      <c r="AG2" s="4">
        <v>0</v>
      </c>
      <c r="AH2" s="4">
        <v>0</v>
      </c>
      <c r="AI2" s="4">
        <v>0</v>
      </c>
      <c r="AJ2" s="4">
        <v>0</v>
      </c>
      <c r="AK2" s="4">
        <v>0</v>
      </c>
      <c r="AL2" s="4">
        <v>0</v>
      </c>
      <c r="AM2" s="4">
        <v>0</v>
      </c>
      <c r="AN2" s="4">
        <v>0</v>
      </c>
      <c r="AO2" s="4">
        <v>0</v>
      </c>
      <c r="AP2" s="3" t="s">
        <v>58</v>
      </c>
      <c r="AQ2" s="3" t="s">
        <v>58</v>
      </c>
      <c r="AS2" s="6" t="str">
        <f>HYPERLINK("https://creighton-primo.hosted.exlibrisgroup.com/primo-explore/search?tab=default_tab&amp;search_scope=EVERYTHING&amp;vid=01CRU&amp;lang=en_US&amp;offset=0&amp;query=any,contains,991000861739702656","Catalog Record")</f>
        <v>Catalog Record</v>
      </c>
      <c r="AT2" s="6" t="str">
        <f>HYPERLINK("http://www.worldcat.org/oclc/9220392","WorldCat Record")</f>
        <v>WorldCat Record</v>
      </c>
      <c r="AU2" s="3" t="s">
        <v>69</v>
      </c>
      <c r="AV2" s="3" t="s">
        <v>70</v>
      </c>
      <c r="AW2" s="3" t="s">
        <v>71</v>
      </c>
      <c r="AX2" s="3" t="s">
        <v>71</v>
      </c>
      <c r="AY2" s="3" t="s">
        <v>72</v>
      </c>
      <c r="AZ2" s="3" t="s">
        <v>73</v>
      </c>
      <c r="BC2" s="3" t="s">
        <v>74</v>
      </c>
      <c r="BD2" s="3" t="s">
        <v>75</v>
      </c>
    </row>
    <row r="3" spans="1:56" ht="40.5" customHeight="1" x14ac:dyDescent="0.25">
      <c r="A3" s="7" t="s">
        <v>58</v>
      </c>
      <c r="B3" s="2" t="s">
        <v>76</v>
      </c>
      <c r="C3" s="2" t="s">
        <v>77</v>
      </c>
      <c r="D3" s="2" t="s">
        <v>78</v>
      </c>
      <c r="F3" s="3" t="s">
        <v>58</v>
      </c>
      <c r="G3" s="3" t="s">
        <v>59</v>
      </c>
      <c r="H3" s="3" t="s">
        <v>58</v>
      </c>
      <c r="I3" s="3" t="s">
        <v>58</v>
      </c>
      <c r="J3" s="3" t="s">
        <v>60</v>
      </c>
      <c r="K3" s="2" t="s">
        <v>79</v>
      </c>
      <c r="L3" s="2" t="s">
        <v>80</v>
      </c>
      <c r="M3" s="3" t="s">
        <v>81</v>
      </c>
      <c r="O3" s="3" t="s">
        <v>64</v>
      </c>
      <c r="P3" s="3" t="s">
        <v>82</v>
      </c>
      <c r="R3" s="3" t="s">
        <v>66</v>
      </c>
      <c r="S3" s="4">
        <v>8</v>
      </c>
      <c r="T3" s="4">
        <v>8</v>
      </c>
      <c r="U3" s="5" t="s">
        <v>83</v>
      </c>
      <c r="V3" s="5" t="s">
        <v>83</v>
      </c>
      <c r="W3" s="5" t="s">
        <v>84</v>
      </c>
      <c r="X3" s="5" t="s">
        <v>84</v>
      </c>
      <c r="Y3" s="4">
        <v>181</v>
      </c>
      <c r="Z3" s="4">
        <v>131</v>
      </c>
      <c r="AA3" s="4">
        <v>210</v>
      </c>
      <c r="AB3" s="4">
        <v>3</v>
      </c>
      <c r="AC3" s="4">
        <v>3</v>
      </c>
      <c r="AD3" s="4">
        <v>3</v>
      </c>
      <c r="AE3" s="4">
        <v>4</v>
      </c>
      <c r="AF3" s="4">
        <v>1</v>
      </c>
      <c r="AG3" s="4">
        <v>1</v>
      </c>
      <c r="AH3" s="4">
        <v>0</v>
      </c>
      <c r="AI3" s="4">
        <v>0</v>
      </c>
      <c r="AJ3" s="4">
        <v>0</v>
      </c>
      <c r="AK3" s="4">
        <v>1</v>
      </c>
      <c r="AL3" s="4">
        <v>2</v>
      </c>
      <c r="AM3" s="4">
        <v>2</v>
      </c>
      <c r="AN3" s="4">
        <v>0</v>
      </c>
      <c r="AO3" s="4">
        <v>0</v>
      </c>
      <c r="AP3" s="3" t="s">
        <v>58</v>
      </c>
      <c r="AQ3" s="3" t="s">
        <v>85</v>
      </c>
      <c r="AR3" s="6" t="str">
        <f>HYPERLINK("http://catalog.hathitrust.org/Record/001576925","HathiTrust Record")</f>
        <v>HathiTrust Record</v>
      </c>
      <c r="AS3" s="6" t="str">
        <f>HYPERLINK("https://creighton-primo.hosted.exlibrisgroup.com/primo-explore/search?tab=default_tab&amp;search_scope=EVERYTHING&amp;vid=01CRU&amp;lang=en_US&amp;offset=0&amp;query=any,contains,991001503839702656","Catalog Record")</f>
        <v>Catalog Record</v>
      </c>
      <c r="AT3" s="6" t="str">
        <f>HYPERLINK("http://www.worldcat.org/oclc/841611","WorldCat Record")</f>
        <v>WorldCat Record</v>
      </c>
      <c r="AU3" s="3" t="s">
        <v>86</v>
      </c>
      <c r="AV3" s="3" t="s">
        <v>87</v>
      </c>
      <c r="AW3" s="3" t="s">
        <v>88</v>
      </c>
      <c r="AX3" s="3" t="s">
        <v>88</v>
      </c>
      <c r="AY3" s="3" t="s">
        <v>89</v>
      </c>
      <c r="AZ3" s="3" t="s">
        <v>73</v>
      </c>
      <c r="BB3" s="3" t="s">
        <v>90</v>
      </c>
      <c r="BC3" s="3" t="s">
        <v>91</v>
      </c>
      <c r="BD3" s="3" t="s">
        <v>92</v>
      </c>
    </row>
    <row r="4" spans="1:56" ht="40.5" customHeight="1" x14ac:dyDescent="0.25">
      <c r="A4" s="7" t="s">
        <v>58</v>
      </c>
      <c r="B4" s="2" t="s">
        <v>93</v>
      </c>
      <c r="C4" s="2" t="s">
        <v>94</v>
      </c>
      <c r="D4" s="2" t="s">
        <v>95</v>
      </c>
      <c r="E4" s="3" t="s">
        <v>96</v>
      </c>
      <c r="F4" s="3" t="s">
        <v>85</v>
      </c>
      <c r="G4" s="3" t="s">
        <v>59</v>
      </c>
      <c r="H4" s="3" t="s">
        <v>58</v>
      </c>
      <c r="I4" s="3" t="s">
        <v>58</v>
      </c>
      <c r="J4" s="3" t="s">
        <v>60</v>
      </c>
      <c r="L4" s="2" t="s">
        <v>97</v>
      </c>
      <c r="M4" s="3" t="s">
        <v>98</v>
      </c>
      <c r="O4" s="3" t="s">
        <v>64</v>
      </c>
      <c r="P4" s="3" t="s">
        <v>65</v>
      </c>
      <c r="R4" s="3" t="s">
        <v>66</v>
      </c>
      <c r="S4" s="4">
        <v>2</v>
      </c>
      <c r="T4" s="4">
        <v>3</v>
      </c>
      <c r="U4" s="5" t="s">
        <v>99</v>
      </c>
      <c r="V4" s="5" t="s">
        <v>99</v>
      </c>
      <c r="W4" s="5" t="s">
        <v>68</v>
      </c>
      <c r="X4" s="5" t="s">
        <v>100</v>
      </c>
      <c r="Y4" s="4">
        <v>167</v>
      </c>
      <c r="Z4" s="4">
        <v>131</v>
      </c>
      <c r="AA4" s="4">
        <v>132</v>
      </c>
      <c r="AB4" s="4">
        <v>2</v>
      </c>
      <c r="AC4" s="4">
        <v>2</v>
      </c>
      <c r="AD4" s="4">
        <v>3</v>
      </c>
      <c r="AE4" s="4">
        <v>3</v>
      </c>
      <c r="AF4" s="4">
        <v>0</v>
      </c>
      <c r="AG4" s="4">
        <v>0</v>
      </c>
      <c r="AH4" s="4">
        <v>1</v>
      </c>
      <c r="AI4" s="4">
        <v>1</v>
      </c>
      <c r="AJ4" s="4">
        <v>2</v>
      </c>
      <c r="AK4" s="4">
        <v>2</v>
      </c>
      <c r="AL4" s="4">
        <v>1</v>
      </c>
      <c r="AM4" s="4">
        <v>1</v>
      </c>
      <c r="AN4" s="4">
        <v>0</v>
      </c>
      <c r="AO4" s="4">
        <v>0</v>
      </c>
      <c r="AP4" s="3" t="s">
        <v>58</v>
      </c>
      <c r="AQ4" s="3" t="s">
        <v>85</v>
      </c>
      <c r="AR4" s="6" t="str">
        <f>HYPERLINK("http://catalog.hathitrust.org/Record/008331274","HathiTrust Record")</f>
        <v>HathiTrust Record</v>
      </c>
      <c r="AS4" s="6" t="str">
        <f>HYPERLINK("https://creighton-primo.hosted.exlibrisgroup.com/primo-explore/search?tab=default_tab&amp;search_scope=EVERYTHING&amp;vid=01CRU&amp;lang=en_US&amp;offset=0&amp;query=any,contains,991000861809702656","Catalog Record")</f>
        <v>Catalog Record</v>
      </c>
      <c r="AT4" s="6" t="str">
        <f>HYPERLINK("http://www.worldcat.org/oclc/8553453","WorldCat Record")</f>
        <v>WorldCat Record</v>
      </c>
      <c r="AU4" s="3" t="s">
        <v>101</v>
      </c>
      <c r="AV4" s="3" t="s">
        <v>102</v>
      </c>
      <c r="AW4" s="3" t="s">
        <v>103</v>
      </c>
      <c r="AX4" s="3" t="s">
        <v>103</v>
      </c>
      <c r="AY4" s="3" t="s">
        <v>104</v>
      </c>
      <c r="AZ4" s="3" t="s">
        <v>73</v>
      </c>
      <c r="BB4" s="3" t="s">
        <v>105</v>
      </c>
      <c r="BC4" s="3" t="s">
        <v>106</v>
      </c>
      <c r="BD4" s="3" t="s">
        <v>107</v>
      </c>
    </row>
    <row r="5" spans="1:56" ht="40.5" customHeight="1" x14ac:dyDescent="0.25">
      <c r="A5" s="7" t="s">
        <v>58</v>
      </c>
      <c r="B5" s="2" t="s">
        <v>93</v>
      </c>
      <c r="C5" s="2" t="s">
        <v>94</v>
      </c>
      <c r="D5" s="2" t="s">
        <v>95</v>
      </c>
      <c r="E5" s="3" t="s">
        <v>108</v>
      </c>
      <c r="F5" s="3" t="s">
        <v>85</v>
      </c>
      <c r="G5" s="3" t="s">
        <v>59</v>
      </c>
      <c r="H5" s="3" t="s">
        <v>58</v>
      </c>
      <c r="I5" s="3" t="s">
        <v>58</v>
      </c>
      <c r="J5" s="3" t="s">
        <v>60</v>
      </c>
      <c r="L5" s="2" t="s">
        <v>97</v>
      </c>
      <c r="M5" s="3" t="s">
        <v>98</v>
      </c>
      <c r="O5" s="3" t="s">
        <v>64</v>
      </c>
      <c r="P5" s="3" t="s">
        <v>65</v>
      </c>
      <c r="R5" s="3" t="s">
        <v>66</v>
      </c>
      <c r="S5" s="4">
        <v>1</v>
      </c>
      <c r="T5" s="4">
        <v>3</v>
      </c>
      <c r="U5" s="5" t="s">
        <v>109</v>
      </c>
      <c r="V5" s="5" t="s">
        <v>99</v>
      </c>
      <c r="W5" s="5" t="s">
        <v>100</v>
      </c>
      <c r="X5" s="5" t="s">
        <v>100</v>
      </c>
      <c r="Y5" s="4">
        <v>167</v>
      </c>
      <c r="Z5" s="4">
        <v>131</v>
      </c>
      <c r="AA5" s="4">
        <v>132</v>
      </c>
      <c r="AB5" s="4">
        <v>2</v>
      </c>
      <c r="AC5" s="4">
        <v>2</v>
      </c>
      <c r="AD5" s="4">
        <v>3</v>
      </c>
      <c r="AE5" s="4">
        <v>3</v>
      </c>
      <c r="AF5" s="4">
        <v>0</v>
      </c>
      <c r="AG5" s="4">
        <v>0</v>
      </c>
      <c r="AH5" s="4">
        <v>1</v>
      </c>
      <c r="AI5" s="4">
        <v>1</v>
      </c>
      <c r="AJ5" s="4">
        <v>2</v>
      </c>
      <c r="AK5" s="4">
        <v>2</v>
      </c>
      <c r="AL5" s="4">
        <v>1</v>
      </c>
      <c r="AM5" s="4">
        <v>1</v>
      </c>
      <c r="AN5" s="4">
        <v>0</v>
      </c>
      <c r="AO5" s="4">
        <v>0</v>
      </c>
      <c r="AP5" s="3" t="s">
        <v>58</v>
      </c>
      <c r="AQ5" s="3" t="s">
        <v>85</v>
      </c>
      <c r="AR5" s="6" t="str">
        <f>HYPERLINK("http://catalog.hathitrust.org/Record/008331274","HathiTrust Record")</f>
        <v>HathiTrust Record</v>
      </c>
      <c r="AS5" s="6" t="str">
        <f>HYPERLINK("https://creighton-primo.hosted.exlibrisgroup.com/primo-explore/search?tab=default_tab&amp;search_scope=EVERYTHING&amp;vid=01CRU&amp;lang=en_US&amp;offset=0&amp;query=any,contains,991000861809702656","Catalog Record")</f>
        <v>Catalog Record</v>
      </c>
      <c r="AT5" s="6" t="str">
        <f>HYPERLINK("http://www.worldcat.org/oclc/8553453","WorldCat Record")</f>
        <v>WorldCat Record</v>
      </c>
      <c r="AU5" s="3" t="s">
        <v>101</v>
      </c>
      <c r="AV5" s="3" t="s">
        <v>102</v>
      </c>
      <c r="AW5" s="3" t="s">
        <v>103</v>
      </c>
      <c r="AX5" s="3" t="s">
        <v>103</v>
      </c>
      <c r="AY5" s="3" t="s">
        <v>104</v>
      </c>
      <c r="AZ5" s="3" t="s">
        <v>73</v>
      </c>
      <c r="BB5" s="3" t="s">
        <v>105</v>
      </c>
      <c r="BC5" s="3" t="s">
        <v>110</v>
      </c>
      <c r="BD5" s="3" t="s">
        <v>111</v>
      </c>
    </row>
    <row r="6" spans="1:56" ht="40.5" customHeight="1" x14ac:dyDescent="0.25">
      <c r="A6" s="7" t="s">
        <v>58</v>
      </c>
      <c r="B6" s="2" t="s">
        <v>112</v>
      </c>
      <c r="C6" s="2" t="s">
        <v>113</v>
      </c>
      <c r="D6" s="2" t="s">
        <v>114</v>
      </c>
      <c r="F6" s="3" t="s">
        <v>58</v>
      </c>
      <c r="G6" s="3" t="s">
        <v>59</v>
      </c>
      <c r="H6" s="3" t="s">
        <v>58</v>
      </c>
      <c r="I6" s="3" t="s">
        <v>58</v>
      </c>
      <c r="J6" s="3" t="s">
        <v>60</v>
      </c>
      <c r="L6" s="2" t="s">
        <v>115</v>
      </c>
      <c r="M6" s="3" t="s">
        <v>116</v>
      </c>
      <c r="O6" s="3" t="s">
        <v>64</v>
      </c>
      <c r="P6" s="3" t="s">
        <v>117</v>
      </c>
      <c r="Q6" s="2" t="s">
        <v>118</v>
      </c>
      <c r="R6" s="3" t="s">
        <v>66</v>
      </c>
      <c r="S6" s="4">
        <v>6</v>
      </c>
      <c r="T6" s="4">
        <v>6</v>
      </c>
      <c r="U6" s="5" t="s">
        <v>119</v>
      </c>
      <c r="V6" s="5" t="s">
        <v>119</v>
      </c>
      <c r="W6" s="5" t="s">
        <v>120</v>
      </c>
      <c r="X6" s="5" t="s">
        <v>120</v>
      </c>
      <c r="Y6" s="4">
        <v>210</v>
      </c>
      <c r="Z6" s="4">
        <v>102</v>
      </c>
      <c r="AA6" s="4">
        <v>112</v>
      </c>
      <c r="AB6" s="4">
        <v>1</v>
      </c>
      <c r="AC6" s="4">
        <v>1</v>
      </c>
      <c r="AD6" s="4">
        <v>4</v>
      </c>
      <c r="AE6" s="4">
        <v>4</v>
      </c>
      <c r="AF6" s="4">
        <v>2</v>
      </c>
      <c r="AG6" s="4">
        <v>2</v>
      </c>
      <c r="AH6" s="4">
        <v>1</v>
      </c>
      <c r="AI6" s="4">
        <v>1</v>
      </c>
      <c r="AJ6" s="4">
        <v>2</v>
      </c>
      <c r="AK6" s="4">
        <v>2</v>
      </c>
      <c r="AL6" s="4">
        <v>0</v>
      </c>
      <c r="AM6" s="4">
        <v>0</v>
      </c>
      <c r="AN6" s="4">
        <v>0</v>
      </c>
      <c r="AO6" s="4">
        <v>0</v>
      </c>
      <c r="AP6" s="3" t="s">
        <v>58</v>
      </c>
      <c r="AQ6" s="3" t="s">
        <v>85</v>
      </c>
      <c r="AR6" s="6" t="str">
        <f>HYPERLINK("http://catalog.hathitrust.org/Record/002563611","HathiTrust Record")</f>
        <v>HathiTrust Record</v>
      </c>
      <c r="AS6" s="6" t="str">
        <f>HYPERLINK("https://creighton-primo.hosted.exlibrisgroup.com/primo-explore/search?tab=default_tab&amp;search_scope=EVERYTHING&amp;vid=01CRU&amp;lang=en_US&amp;offset=0&amp;query=any,contains,991001012859702656","Catalog Record")</f>
        <v>Catalog Record</v>
      </c>
      <c r="AT6" s="6" t="str">
        <f>HYPERLINK("http://www.worldcat.org/oclc/23355630","WorldCat Record")</f>
        <v>WorldCat Record</v>
      </c>
      <c r="AU6" s="3" t="s">
        <v>121</v>
      </c>
      <c r="AV6" s="3" t="s">
        <v>122</v>
      </c>
      <c r="AW6" s="3" t="s">
        <v>123</v>
      </c>
      <c r="AX6" s="3" t="s">
        <v>123</v>
      </c>
      <c r="AY6" s="3" t="s">
        <v>124</v>
      </c>
      <c r="AZ6" s="3" t="s">
        <v>73</v>
      </c>
      <c r="BB6" s="3" t="s">
        <v>125</v>
      </c>
      <c r="BC6" s="3" t="s">
        <v>126</v>
      </c>
      <c r="BD6" s="3" t="s">
        <v>127</v>
      </c>
    </row>
    <row r="7" spans="1:56" ht="40.5" customHeight="1" x14ac:dyDescent="0.25">
      <c r="A7" s="7" t="s">
        <v>58</v>
      </c>
      <c r="B7" s="2" t="s">
        <v>128</v>
      </c>
      <c r="C7" s="2" t="s">
        <v>129</v>
      </c>
      <c r="D7" s="2" t="s">
        <v>130</v>
      </c>
      <c r="F7" s="3" t="s">
        <v>58</v>
      </c>
      <c r="G7" s="3" t="s">
        <v>59</v>
      </c>
      <c r="H7" s="3" t="s">
        <v>58</v>
      </c>
      <c r="I7" s="3" t="s">
        <v>58</v>
      </c>
      <c r="J7" s="3" t="s">
        <v>60</v>
      </c>
      <c r="K7" s="2" t="s">
        <v>131</v>
      </c>
      <c r="L7" s="2" t="s">
        <v>132</v>
      </c>
      <c r="M7" s="3" t="s">
        <v>133</v>
      </c>
      <c r="N7" s="2" t="s">
        <v>134</v>
      </c>
      <c r="O7" s="3" t="s">
        <v>64</v>
      </c>
      <c r="P7" s="3" t="s">
        <v>135</v>
      </c>
      <c r="R7" s="3" t="s">
        <v>66</v>
      </c>
      <c r="S7" s="4">
        <v>184</v>
      </c>
      <c r="T7" s="4">
        <v>184</v>
      </c>
      <c r="U7" s="5" t="s">
        <v>136</v>
      </c>
      <c r="V7" s="5" t="s">
        <v>136</v>
      </c>
      <c r="W7" s="5" t="s">
        <v>137</v>
      </c>
      <c r="X7" s="5" t="s">
        <v>137</v>
      </c>
      <c r="Y7" s="4">
        <v>20</v>
      </c>
      <c r="Z7" s="4">
        <v>6</v>
      </c>
      <c r="AA7" s="4">
        <v>13</v>
      </c>
      <c r="AB7" s="4">
        <v>1</v>
      </c>
      <c r="AC7" s="4">
        <v>1</v>
      </c>
      <c r="AD7" s="4">
        <v>0</v>
      </c>
      <c r="AE7" s="4">
        <v>0</v>
      </c>
      <c r="AF7" s="4">
        <v>0</v>
      </c>
      <c r="AG7" s="4">
        <v>0</v>
      </c>
      <c r="AH7" s="4">
        <v>0</v>
      </c>
      <c r="AI7" s="4">
        <v>0</v>
      </c>
      <c r="AJ7" s="4">
        <v>0</v>
      </c>
      <c r="AK7" s="4">
        <v>0</v>
      </c>
      <c r="AL7" s="4">
        <v>0</v>
      </c>
      <c r="AM7" s="4">
        <v>0</v>
      </c>
      <c r="AN7" s="4">
        <v>0</v>
      </c>
      <c r="AO7" s="4">
        <v>0</v>
      </c>
      <c r="AP7" s="3" t="s">
        <v>58</v>
      </c>
      <c r="AQ7" s="3" t="s">
        <v>58</v>
      </c>
      <c r="AS7" s="6" t="str">
        <f>HYPERLINK("https://creighton-primo.hosted.exlibrisgroup.com/primo-explore/search?tab=default_tab&amp;search_scope=EVERYTHING&amp;vid=01CRU&amp;lang=en_US&amp;offset=0&amp;query=any,contains,991000328299702656","Catalog Record")</f>
        <v>Catalog Record</v>
      </c>
      <c r="AT7" s="6" t="str">
        <f>HYPERLINK("http://www.worldcat.org/oclc/49833218","WorldCat Record")</f>
        <v>WorldCat Record</v>
      </c>
      <c r="AU7" s="3" t="s">
        <v>138</v>
      </c>
      <c r="AV7" s="3" t="s">
        <v>139</v>
      </c>
      <c r="AW7" s="3" t="s">
        <v>140</v>
      </c>
      <c r="AX7" s="3" t="s">
        <v>140</v>
      </c>
      <c r="AY7" s="3" t="s">
        <v>141</v>
      </c>
      <c r="AZ7" s="3" t="s">
        <v>73</v>
      </c>
      <c r="BB7" s="3" t="s">
        <v>142</v>
      </c>
      <c r="BC7" s="3" t="s">
        <v>143</v>
      </c>
      <c r="BD7" s="3" t="s">
        <v>144</v>
      </c>
    </row>
    <row r="8" spans="1:56" ht="40.5" customHeight="1" x14ac:dyDescent="0.25">
      <c r="A8" s="7" t="s">
        <v>58</v>
      </c>
      <c r="B8" s="2" t="s">
        <v>145</v>
      </c>
      <c r="C8" s="2" t="s">
        <v>146</v>
      </c>
      <c r="D8" s="2" t="s">
        <v>147</v>
      </c>
      <c r="F8" s="3" t="s">
        <v>58</v>
      </c>
      <c r="G8" s="3" t="s">
        <v>59</v>
      </c>
      <c r="H8" s="3" t="s">
        <v>58</v>
      </c>
      <c r="I8" s="3" t="s">
        <v>85</v>
      </c>
      <c r="J8" s="3" t="s">
        <v>60</v>
      </c>
      <c r="K8" s="2" t="s">
        <v>148</v>
      </c>
      <c r="L8" s="2" t="s">
        <v>149</v>
      </c>
      <c r="M8" s="3" t="s">
        <v>150</v>
      </c>
      <c r="N8" s="2" t="s">
        <v>151</v>
      </c>
      <c r="O8" s="3" t="s">
        <v>64</v>
      </c>
      <c r="P8" s="3" t="s">
        <v>152</v>
      </c>
      <c r="R8" s="3" t="s">
        <v>66</v>
      </c>
      <c r="S8" s="4">
        <v>125</v>
      </c>
      <c r="T8" s="4">
        <v>125</v>
      </c>
      <c r="U8" s="5" t="s">
        <v>153</v>
      </c>
      <c r="V8" s="5" t="s">
        <v>153</v>
      </c>
      <c r="W8" s="5" t="s">
        <v>154</v>
      </c>
      <c r="X8" s="5" t="s">
        <v>154</v>
      </c>
      <c r="Y8" s="4">
        <v>116</v>
      </c>
      <c r="Z8" s="4">
        <v>48</v>
      </c>
      <c r="AA8" s="4">
        <v>296</v>
      </c>
      <c r="AB8" s="4">
        <v>1</v>
      </c>
      <c r="AC8" s="4">
        <v>1</v>
      </c>
      <c r="AD8" s="4">
        <v>0</v>
      </c>
      <c r="AE8" s="4">
        <v>6</v>
      </c>
      <c r="AF8" s="4">
        <v>0</v>
      </c>
      <c r="AG8" s="4">
        <v>1</v>
      </c>
      <c r="AH8" s="4">
        <v>0</v>
      </c>
      <c r="AI8" s="4">
        <v>1</v>
      </c>
      <c r="AJ8" s="4">
        <v>0</v>
      </c>
      <c r="AK8" s="4">
        <v>5</v>
      </c>
      <c r="AL8" s="4">
        <v>0</v>
      </c>
      <c r="AM8" s="4">
        <v>0</v>
      </c>
      <c r="AN8" s="4">
        <v>0</v>
      </c>
      <c r="AO8" s="4">
        <v>0</v>
      </c>
      <c r="AP8" s="3" t="s">
        <v>58</v>
      </c>
      <c r="AQ8" s="3" t="s">
        <v>58</v>
      </c>
      <c r="AS8" s="6" t="str">
        <f>HYPERLINK("https://creighton-primo.hosted.exlibrisgroup.com/primo-explore/search?tab=default_tab&amp;search_scope=EVERYTHING&amp;vid=01CRU&amp;lang=en_US&amp;offset=0&amp;query=any,contains,991000442339702656","Catalog Record")</f>
        <v>Catalog Record</v>
      </c>
      <c r="AT8" s="6" t="str">
        <f>HYPERLINK("http://www.worldcat.org/oclc/59130150","WorldCat Record")</f>
        <v>WorldCat Record</v>
      </c>
      <c r="AU8" s="3" t="s">
        <v>155</v>
      </c>
      <c r="AV8" s="3" t="s">
        <v>156</v>
      </c>
      <c r="AW8" s="3" t="s">
        <v>157</v>
      </c>
      <c r="AX8" s="3" t="s">
        <v>157</v>
      </c>
      <c r="AY8" s="3" t="s">
        <v>158</v>
      </c>
      <c r="AZ8" s="3" t="s">
        <v>73</v>
      </c>
      <c r="BB8" s="3" t="s">
        <v>159</v>
      </c>
      <c r="BC8" s="3" t="s">
        <v>160</v>
      </c>
      <c r="BD8" s="3" t="s">
        <v>161</v>
      </c>
    </row>
    <row r="9" spans="1:56" ht="40.5" customHeight="1" x14ac:dyDescent="0.25">
      <c r="A9" s="7" t="s">
        <v>58</v>
      </c>
      <c r="B9" s="2" t="s">
        <v>162</v>
      </c>
      <c r="C9" s="2" t="s">
        <v>163</v>
      </c>
      <c r="D9" s="2" t="s">
        <v>164</v>
      </c>
      <c r="F9" s="3" t="s">
        <v>58</v>
      </c>
      <c r="G9" s="3" t="s">
        <v>59</v>
      </c>
      <c r="H9" s="3" t="s">
        <v>58</v>
      </c>
      <c r="I9" s="3" t="s">
        <v>58</v>
      </c>
      <c r="J9" s="3" t="s">
        <v>60</v>
      </c>
      <c r="K9" s="2" t="s">
        <v>165</v>
      </c>
      <c r="L9" s="2" t="s">
        <v>166</v>
      </c>
      <c r="M9" s="3" t="s">
        <v>167</v>
      </c>
      <c r="N9" s="2" t="s">
        <v>168</v>
      </c>
      <c r="O9" s="3" t="s">
        <v>64</v>
      </c>
      <c r="P9" s="3" t="s">
        <v>82</v>
      </c>
      <c r="R9" s="3" t="s">
        <v>66</v>
      </c>
      <c r="S9" s="4">
        <v>12</v>
      </c>
      <c r="T9" s="4">
        <v>12</v>
      </c>
      <c r="U9" s="5" t="s">
        <v>169</v>
      </c>
      <c r="V9" s="5" t="s">
        <v>169</v>
      </c>
      <c r="W9" s="5" t="s">
        <v>170</v>
      </c>
      <c r="X9" s="5" t="s">
        <v>170</v>
      </c>
      <c r="Y9" s="4">
        <v>251</v>
      </c>
      <c r="Z9" s="4">
        <v>200</v>
      </c>
      <c r="AA9" s="4">
        <v>207</v>
      </c>
      <c r="AB9" s="4">
        <v>2</v>
      </c>
      <c r="AC9" s="4">
        <v>2</v>
      </c>
      <c r="AD9" s="4">
        <v>3</v>
      </c>
      <c r="AE9" s="4">
        <v>3</v>
      </c>
      <c r="AF9" s="4">
        <v>0</v>
      </c>
      <c r="AG9" s="4">
        <v>0</v>
      </c>
      <c r="AH9" s="4">
        <v>1</v>
      </c>
      <c r="AI9" s="4">
        <v>1</v>
      </c>
      <c r="AJ9" s="4">
        <v>2</v>
      </c>
      <c r="AK9" s="4">
        <v>2</v>
      </c>
      <c r="AL9" s="4">
        <v>1</v>
      </c>
      <c r="AM9" s="4">
        <v>1</v>
      </c>
      <c r="AN9" s="4">
        <v>0</v>
      </c>
      <c r="AO9" s="4">
        <v>0</v>
      </c>
      <c r="AP9" s="3" t="s">
        <v>58</v>
      </c>
      <c r="AQ9" s="3" t="s">
        <v>85</v>
      </c>
      <c r="AR9" s="6" t="str">
        <f>HYPERLINK("http://catalog.hathitrust.org/Record/000043560","HathiTrust Record")</f>
        <v>HathiTrust Record</v>
      </c>
      <c r="AS9" s="6" t="str">
        <f>HYPERLINK("https://creighton-primo.hosted.exlibrisgroup.com/primo-explore/search?tab=default_tab&amp;search_scope=EVERYTHING&amp;vid=01CRU&amp;lang=en_US&amp;offset=0&amp;query=any,contains,991000862289702656","Catalog Record")</f>
        <v>Catalog Record</v>
      </c>
      <c r="AT9" s="6" t="str">
        <f>HYPERLINK("http://www.worldcat.org/oclc/1194918","WorldCat Record")</f>
        <v>WorldCat Record</v>
      </c>
      <c r="AU9" s="3" t="s">
        <v>171</v>
      </c>
      <c r="AV9" s="3" t="s">
        <v>172</v>
      </c>
      <c r="AW9" s="3" t="s">
        <v>173</v>
      </c>
      <c r="AX9" s="3" t="s">
        <v>173</v>
      </c>
      <c r="AY9" s="3" t="s">
        <v>174</v>
      </c>
      <c r="AZ9" s="3" t="s">
        <v>73</v>
      </c>
      <c r="BB9" s="3" t="s">
        <v>175</v>
      </c>
      <c r="BC9" s="3" t="s">
        <v>176</v>
      </c>
      <c r="BD9" s="3" t="s">
        <v>177</v>
      </c>
    </row>
    <row r="10" spans="1:56" ht="40.5" customHeight="1" x14ac:dyDescent="0.25">
      <c r="A10" s="7" t="s">
        <v>58</v>
      </c>
      <c r="B10" s="2" t="s">
        <v>178</v>
      </c>
      <c r="C10" s="2" t="s">
        <v>179</v>
      </c>
      <c r="D10" s="2" t="s">
        <v>180</v>
      </c>
      <c r="F10" s="3" t="s">
        <v>58</v>
      </c>
      <c r="G10" s="3" t="s">
        <v>59</v>
      </c>
      <c r="H10" s="3" t="s">
        <v>58</v>
      </c>
      <c r="I10" s="3" t="s">
        <v>58</v>
      </c>
      <c r="J10" s="3" t="s">
        <v>59</v>
      </c>
      <c r="L10" s="2" t="s">
        <v>181</v>
      </c>
      <c r="M10" s="3" t="s">
        <v>182</v>
      </c>
      <c r="O10" s="3" t="s">
        <v>64</v>
      </c>
      <c r="P10" s="3" t="s">
        <v>65</v>
      </c>
      <c r="R10" s="3" t="s">
        <v>66</v>
      </c>
      <c r="S10" s="4">
        <v>6</v>
      </c>
      <c r="T10" s="4">
        <v>6</v>
      </c>
      <c r="U10" s="5" t="s">
        <v>183</v>
      </c>
      <c r="V10" s="5" t="s">
        <v>183</v>
      </c>
      <c r="W10" s="5" t="s">
        <v>184</v>
      </c>
      <c r="X10" s="5" t="s">
        <v>184</v>
      </c>
      <c r="Y10" s="4">
        <v>146</v>
      </c>
      <c r="Z10" s="4">
        <v>95</v>
      </c>
      <c r="AA10" s="4">
        <v>1050</v>
      </c>
      <c r="AB10" s="4">
        <v>1</v>
      </c>
      <c r="AC10" s="4">
        <v>19</v>
      </c>
      <c r="AD10" s="4">
        <v>3</v>
      </c>
      <c r="AE10" s="4">
        <v>40</v>
      </c>
      <c r="AF10" s="4">
        <v>0</v>
      </c>
      <c r="AG10" s="4">
        <v>11</v>
      </c>
      <c r="AH10" s="4">
        <v>0</v>
      </c>
      <c r="AI10" s="4">
        <v>6</v>
      </c>
      <c r="AJ10" s="4">
        <v>3</v>
      </c>
      <c r="AK10" s="4">
        <v>12</v>
      </c>
      <c r="AL10" s="4">
        <v>0</v>
      </c>
      <c r="AM10" s="4">
        <v>15</v>
      </c>
      <c r="AN10" s="4">
        <v>0</v>
      </c>
      <c r="AO10" s="4">
        <v>1</v>
      </c>
      <c r="AP10" s="3" t="s">
        <v>58</v>
      </c>
      <c r="AQ10" s="3" t="s">
        <v>85</v>
      </c>
      <c r="AR10" s="6" t="str">
        <f>HYPERLINK("http://catalog.hathitrust.org/Record/000869566","HathiTrust Record")</f>
        <v>HathiTrust Record</v>
      </c>
      <c r="AS10" s="6" t="str">
        <f>HYPERLINK("https://creighton-primo.hosted.exlibrisgroup.com/primo-explore/search?tab=default_tab&amp;search_scope=EVERYTHING&amp;vid=01CRU&amp;lang=en_US&amp;offset=0&amp;query=any,contains,991001423119702656","Catalog Record")</f>
        <v>Catalog Record</v>
      </c>
      <c r="AT10" s="6" t="str">
        <f>HYPERLINK("http://www.worldcat.org/oclc/14413523","WorldCat Record")</f>
        <v>WorldCat Record</v>
      </c>
      <c r="AU10" s="3" t="s">
        <v>185</v>
      </c>
      <c r="AV10" s="3" t="s">
        <v>186</v>
      </c>
      <c r="AW10" s="3" t="s">
        <v>187</v>
      </c>
      <c r="AX10" s="3" t="s">
        <v>187</v>
      </c>
      <c r="AY10" s="3" t="s">
        <v>188</v>
      </c>
      <c r="AZ10" s="3" t="s">
        <v>73</v>
      </c>
      <c r="BB10" s="3" t="s">
        <v>189</v>
      </c>
      <c r="BC10" s="3" t="s">
        <v>190</v>
      </c>
      <c r="BD10" s="3" t="s">
        <v>191</v>
      </c>
    </row>
    <row r="11" spans="1:56" ht="40.5" customHeight="1" x14ac:dyDescent="0.25">
      <c r="A11" s="7" t="s">
        <v>58</v>
      </c>
      <c r="B11" s="2" t="s">
        <v>192</v>
      </c>
      <c r="C11" s="2" t="s">
        <v>193</v>
      </c>
      <c r="D11" s="2" t="s">
        <v>194</v>
      </c>
      <c r="F11" s="3" t="s">
        <v>58</v>
      </c>
      <c r="G11" s="3" t="s">
        <v>59</v>
      </c>
      <c r="H11" s="3" t="s">
        <v>58</v>
      </c>
      <c r="I11" s="3" t="s">
        <v>58</v>
      </c>
      <c r="J11" s="3" t="s">
        <v>60</v>
      </c>
      <c r="K11" s="2" t="s">
        <v>195</v>
      </c>
      <c r="L11" s="2" t="s">
        <v>196</v>
      </c>
      <c r="M11" s="3" t="s">
        <v>197</v>
      </c>
      <c r="N11" s="2" t="s">
        <v>198</v>
      </c>
      <c r="O11" s="3" t="s">
        <v>64</v>
      </c>
      <c r="P11" s="3" t="s">
        <v>135</v>
      </c>
      <c r="R11" s="3" t="s">
        <v>66</v>
      </c>
      <c r="S11" s="4">
        <v>52</v>
      </c>
      <c r="T11" s="4">
        <v>52</v>
      </c>
      <c r="U11" s="5" t="s">
        <v>199</v>
      </c>
      <c r="V11" s="5" t="s">
        <v>199</v>
      </c>
      <c r="W11" s="5" t="s">
        <v>200</v>
      </c>
      <c r="X11" s="5" t="s">
        <v>200</v>
      </c>
      <c r="Y11" s="4">
        <v>132</v>
      </c>
      <c r="Z11" s="4">
        <v>55</v>
      </c>
      <c r="AA11" s="4">
        <v>126</v>
      </c>
      <c r="AB11" s="4">
        <v>1</v>
      </c>
      <c r="AC11" s="4">
        <v>2</v>
      </c>
      <c r="AD11" s="4">
        <v>1</v>
      </c>
      <c r="AE11" s="4">
        <v>5</v>
      </c>
      <c r="AF11" s="4">
        <v>0</v>
      </c>
      <c r="AG11" s="4">
        <v>1</v>
      </c>
      <c r="AH11" s="4">
        <v>1</v>
      </c>
      <c r="AI11" s="4">
        <v>2</v>
      </c>
      <c r="AJ11" s="4">
        <v>1</v>
      </c>
      <c r="AK11" s="4">
        <v>2</v>
      </c>
      <c r="AL11" s="4">
        <v>0</v>
      </c>
      <c r="AM11" s="4">
        <v>1</v>
      </c>
      <c r="AN11" s="4">
        <v>0</v>
      </c>
      <c r="AO11" s="4">
        <v>0</v>
      </c>
      <c r="AP11" s="3" t="s">
        <v>58</v>
      </c>
      <c r="AQ11" s="3" t="s">
        <v>85</v>
      </c>
      <c r="AR11" s="6" t="str">
        <f>HYPERLINK("http://catalog.hathitrust.org/Record/001097654","HathiTrust Record")</f>
        <v>HathiTrust Record</v>
      </c>
      <c r="AS11" s="6" t="str">
        <f>HYPERLINK("https://creighton-primo.hosted.exlibrisgroup.com/primo-explore/search?tab=default_tab&amp;search_scope=EVERYTHING&amp;vid=01CRU&amp;lang=en_US&amp;offset=0&amp;query=any,contains,991001445669702656","Catalog Record")</f>
        <v>Catalog Record</v>
      </c>
      <c r="AT11" s="6" t="str">
        <f>HYPERLINK("http://www.worldcat.org/oclc/17953974","WorldCat Record")</f>
        <v>WorldCat Record</v>
      </c>
      <c r="AU11" s="3" t="s">
        <v>201</v>
      </c>
      <c r="AV11" s="3" t="s">
        <v>202</v>
      </c>
      <c r="AW11" s="3" t="s">
        <v>203</v>
      </c>
      <c r="AX11" s="3" t="s">
        <v>203</v>
      </c>
      <c r="AY11" s="3" t="s">
        <v>204</v>
      </c>
      <c r="AZ11" s="3" t="s">
        <v>73</v>
      </c>
      <c r="BB11" s="3" t="s">
        <v>205</v>
      </c>
      <c r="BC11" s="3" t="s">
        <v>206</v>
      </c>
      <c r="BD11" s="3" t="s">
        <v>207</v>
      </c>
    </row>
    <row r="12" spans="1:56" ht="40.5" customHeight="1" x14ac:dyDescent="0.25">
      <c r="A12" s="7" t="s">
        <v>58</v>
      </c>
      <c r="B12" s="2" t="s">
        <v>208</v>
      </c>
      <c r="C12" s="2" t="s">
        <v>209</v>
      </c>
      <c r="D12" s="2" t="s">
        <v>210</v>
      </c>
      <c r="F12" s="3" t="s">
        <v>58</v>
      </c>
      <c r="G12" s="3" t="s">
        <v>59</v>
      </c>
      <c r="H12" s="3" t="s">
        <v>58</v>
      </c>
      <c r="I12" s="3" t="s">
        <v>58</v>
      </c>
      <c r="J12" s="3" t="s">
        <v>60</v>
      </c>
      <c r="K12" s="2" t="s">
        <v>211</v>
      </c>
      <c r="L12" s="2" t="s">
        <v>212</v>
      </c>
      <c r="M12" s="3" t="s">
        <v>213</v>
      </c>
      <c r="N12" s="2" t="s">
        <v>134</v>
      </c>
      <c r="O12" s="3" t="s">
        <v>64</v>
      </c>
      <c r="P12" s="3" t="s">
        <v>117</v>
      </c>
      <c r="R12" s="3" t="s">
        <v>66</v>
      </c>
      <c r="S12" s="4">
        <v>14</v>
      </c>
      <c r="T12" s="4">
        <v>14</v>
      </c>
      <c r="U12" s="5" t="s">
        <v>214</v>
      </c>
      <c r="V12" s="5" t="s">
        <v>214</v>
      </c>
      <c r="W12" s="5" t="s">
        <v>215</v>
      </c>
      <c r="X12" s="5" t="s">
        <v>215</v>
      </c>
      <c r="Y12" s="4">
        <v>415</v>
      </c>
      <c r="Z12" s="4">
        <v>230</v>
      </c>
      <c r="AA12" s="4">
        <v>712</v>
      </c>
      <c r="AB12" s="4">
        <v>1</v>
      </c>
      <c r="AC12" s="4">
        <v>5</v>
      </c>
      <c r="AD12" s="4">
        <v>10</v>
      </c>
      <c r="AE12" s="4">
        <v>25</v>
      </c>
      <c r="AF12" s="4">
        <v>3</v>
      </c>
      <c r="AG12" s="4">
        <v>9</v>
      </c>
      <c r="AH12" s="4">
        <v>2</v>
      </c>
      <c r="AI12" s="4">
        <v>5</v>
      </c>
      <c r="AJ12" s="4">
        <v>7</v>
      </c>
      <c r="AK12" s="4">
        <v>13</v>
      </c>
      <c r="AL12" s="4">
        <v>0</v>
      </c>
      <c r="AM12" s="4">
        <v>3</v>
      </c>
      <c r="AN12" s="4">
        <v>0</v>
      </c>
      <c r="AO12" s="4">
        <v>0</v>
      </c>
      <c r="AP12" s="3" t="s">
        <v>58</v>
      </c>
      <c r="AQ12" s="3" t="s">
        <v>85</v>
      </c>
      <c r="AR12" s="6" t="str">
        <f>HYPERLINK("http://catalog.hathitrust.org/Record/000695166","HathiTrust Record")</f>
        <v>HathiTrust Record</v>
      </c>
      <c r="AS12" s="6" t="str">
        <f>HYPERLINK("https://creighton-primo.hosted.exlibrisgroup.com/primo-explore/search?tab=default_tab&amp;search_scope=EVERYTHING&amp;vid=01CRU&amp;lang=en_US&amp;offset=0&amp;query=any,contains,991000758549702656","Catalog Record")</f>
        <v>Catalog Record</v>
      </c>
      <c r="AT12" s="6" t="str">
        <f>HYPERLINK("http://www.worldcat.org/oclc/1859736","WorldCat Record")</f>
        <v>WorldCat Record</v>
      </c>
      <c r="AU12" s="3" t="s">
        <v>216</v>
      </c>
      <c r="AV12" s="3" t="s">
        <v>217</v>
      </c>
      <c r="AW12" s="3" t="s">
        <v>218</v>
      </c>
      <c r="AX12" s="3" t="s">
        <v>218</v>
      </c>
      <c r="AY12" s="3" t="s">
        <v>219</v>
      </c>
      <c r="AZ12" s="3" t="s">
        <v>73</v>
      </c>
      <c r="BB12" s="3" t="s">
        <v>220</v>
      </c>
      <c r="BC12" s="3" t="s">
        <v>221</v>
      </c>
      <c r="BD12" s="3" t="s">
        <v>222</v>
      </c>
    </row>
    <row r="13" spans="1:56" ht="40.5" customHeight="1" x14ac:dyDescent="0.25">
      <c r="A13" s="7" t="s">
        <v>58</v>
      </c>
      <c r="B13" s="2" t="s">
        <v>223</v>
      </c>
      <c r="C13" s="2" t="s">
        <v>224</v>
      </c>
      <c r="D13" s="2" t="s">
        <v>225</v>
      </c>
      <c r="E13" s="3" t="s">
        <v>226</v>
      </c>
      <c r="F13" s="3" t="s">
        <v>58</v>
      </c>
      <c r="G13" s="3" t="s">
        <v>59</v>
      </c>
      <c r="H13" s="3" t="s">
        <v>58</v>
      </c>
      <c r="I13" s="3" t="s">
        <v>58</v>
      </c>
      <c r="J13" s="3" t="s">
        <v>60</v>
      </c>
      <c r="K13" s="2" t="s">
        <v>227</v>
      </c>
      <c r="L13" s="2" t="s">
        <v>228</v>
      </c>
      <c r="M13" s="3" t="s">
        <v>229</v>
      </c>
      <c r="O13" s="3" t="s">
        <v>64</v>
      </c>
      <c r="P13" s="3" t="s">
        <v>230</v>
      </c>
      <c r="Q13" s="2" t="s">
        <v>231</v>
      </c>
      <c r="R13" s="3" t="s">
        <v>66</v>
      </c>
      <c r="S13" s="4">
        <v>4</v>
      </c>
      <c r="T13" s="4">
        <v>4</v>
      </c>
      <c r="U13" s="5" t="s">
        <v>232</v>
      </c>
      <c r="V13" s="5" t="s">
        <v>232</v>
      </c>
      <c r="W13" s="5" t="s">
        <v>170</v>
      </c>
      <c r="X13" s="5" t="s">
        <v>170</v>
      </c>
      <c r="Y13" s="4">
        <v>151</v>
      </c>
      <c r="Z13" s="4">
        <v>100</v>
      </c>
      <c r="AA13" s="4">
        <v>102</v>
      </c>
      <c r="AB13" s="4">
        <v>2</v>
      </c>
      <c r="AC13" s="4">
        <v>2</v>
      </c>
      <c r="AD13" s="4">
        <v>2</v>
      </c>
      <c r="AE13" s="4">
        <v>2</v>
      </c>
      <c r="AF13" s="4">
        <v>0</v>
      </c>
      <c r="AG13" s="4">
        <v>0</v>
      </c>
      <c r="AH13" s="4">
        <v>1</v>
      </c>
      <c r="AI13" s="4">
        <v>1</v>
      </c>
      <c r="AJ13" s="4">
        <v>1</v>
      </c>
      <c r="AK13" s="4">
        <v>1</v>
      </c>
      <c r="AL13" s="4">
        <v>1</v>
      </c>
      <c r="AM13" s="4">
        <v>1</v>
      </c>
      <c r="AN13" s="4">
        <v>0</v>
      </c>
      <c r="AO13" s="4">
        <v>0</v>
      </c>
      <c r="AP13" s="3" t="s">
        <v>58</v>
      </c>
      <c r="AQ13" s="3" t="s">
        <v>85</v>
      </c>
      <c r="AR13" s="6" t="str">
        <f>HYPERLINK("http://catalog.hathitrust.org/Record/000138780","HathiTrust Record")</f>
        <v>HathiTrust Record</v>
      </c>
      <c r="AS13" s="6" t="str">
        <f>HYPERLINK("https://creighton-primo.hosted.exlibrisgroup.com/primo-explore/search?tab=default_tab&amp;search_scope=EVERYTHING&amp;vid=01CRU&amp;lang=en_US&amp;offset=0&amp;query=any,contains,991000861979702656","Catalog Record")</f>
        <v>Catalog Record</v>
      </c>
      <c r="AT13" s="6" t="str">
        <f>HYPERLINK("http://www.worldcat.org/oclc/4593508","WorldCat Record")</f>
        <v>WorldCat Record</v>
      </c>
      <c r="AU13" s="3" t="s">
        <v>233</v>
      </c>
      <c r="AV13" s="3" t="s">
        <v>234</v>
      </c>
      <c r="AW13" s="3" t="s">
        <v>235</v>
      </c>
      <c r="AX13" s="3" t="s">
        <v>235</v>
      </c>
      <c r="AY13" s="3" t="s">
        <v>236</v>
      </c>
      <c r="AZ13" s="3" t="s">
        <v>73</v>
      </c>
      <c r="BB13" s="3" t="s">
        <v>237</v>
      </c>
      <c r="BC13" s="3" t="s">
        <v>238</v>
      </c>
      <c r="BD13" s="3" t="s">
        <v>239</v>
      </c>
    </row>
    <row r="14" spans="1:56" ht="40.5" customHeight="1" x14ac:dyDescent="0.25">
      <c r="A14" s="7" t="s">
        <v>58</v>
      </c>
      <c r="B14" s="2" t="s">
        <v>240</v>
      </c>
      <c r="C14" s="2" t="s">
        <v>241</v>
      </c>
      <c r="D14" s="2" t="s">
        <v>242</v>
      </c>
      <c r="E14" s="3" t="s">
        <v>243</v>
      </c>
      <c r="F14" s="3" t="s">
        <v>58</v>
      </c>
      <c r="G14" s="3" t="s">
        <v>59</v>
      </c>
      <c r="H14" s="3" t="s">
        <v>58</v>
      </c>
      <c r="I14" s="3" t="s">
        <v>58</v>
      </c>
      <c r="J14" s="3" t="s">
        <v>60</v>
      </c>
      <c r="L14" s="2" t="s">
        <v>244</v>
      </c>
      <c r="M14" s="3" t="s">
        <v>245</v>
      </c>
      <c r="O14" s="3" t="s">
        <v>64</v>
      </c>
      <c r="P14" s="3" t="s">
        <v>230</v>
      </c>
      <c r="Q14" s="2" t="s">
        <v>246</v>
      </c>
      <c r="R14" s="3" t="s">
        <v>66</v>
      </c>
      <c r="S14" s="4">
        <v>1</v>
      </c>
      <c r="T14" s="4">
        <v>1</v>
      </c>
      <c r="U14" s="5" t="s">
        <v>247</v>
      </c>
      <c r="V14" s="5" t="s">
        <v>247</v>
      </c>
      <c r="W14" s="5" t="s">
        <v>248</v>
      </c>
      <c r="X14" s="5" t="s">
        <v>248</v>
      </c>
      <c r="Y14" s="4">
        <v>95</v>
      </c>
      <c r="Z14" s="4">
        <v>66</v>
      </c>
      <c r="AA14" s="4">
        <v>67</v>
      </c>
      <c r="AB14" s="4">
        <v>2</v>
      </c>
      <c r="AC14" s="4">
        <v>2</v>
      </c>
      <c r="AD14" s="4">
        <v>6</v>
      </c>
      <c r="AE14" s="4">
        <v>6</v>
      </c>
      <c r="AF14" s="4">
        <v>2</v>
      </c>
      <c r="AG14" s="4">
        <v>2</v>
      </c>
      <c r="AH14" s="4">
        <v>3</v>
      </c>
      <c r="AI14" s="4">
        <v>3</v>
      </c>
      <c r="AJ14" s="4">
        <v>5</v>
      </c>
      <c r="AK14" s="4">
        <v>5</v>
      </c>
      <c r="AL14" s="4">
        <v>1</v>
      </c>
      <c r="AM14" s="4">
        <v>1</v>
      </c>
      <c r="AN14" s="4">
        <v>0</v>
      </c>
      <c r="AO14" s="4">
        <v>0</v>
      </c>
      <c r="AP14" s="3" t="s">
        <v>58</v>
      </c>
      <c r="AQ14" s="3" t="s">
        <v>58</v>
      </c>
      <c r="AS14" s="6" t="str">
        <f>HYPERLINK("https://creighton-primo.hosted.exlibrisgroup.com/primo-explore/search?tab=default_tab&amp;search_scope=EVERYTHING&amp;vid=01CRU&amp;lang=en_US&amp;offset=0&amp;query=any,contains,991000307539702656","Catalog Record")</f>
        <v>Catalog Record</v>
      </c>
      <c r="AT14" s="6" t="str">
        <f>HYPERLINK("http://www.worldcat.org/oclc/2410119","WorldCat Record")</f>
        <v>WorldCat Record</v>
      </c>
      <c r="AU14" s="3" t="s">
        <v>249</v>
      </c>
      <c r="AV14" s="3" t="s">
        <v>250</v>
      </c>
      <c r="AW14" s="3" t="s">
        <v>251</v>
      </c>
      <c r="AX14" s="3" t="s">
        <v>251</v>
      </c>
      <c r="AY14" s="3" t="s">
        <v>252</v>
      </c>
      <c r="AZ14" s="3" t="s">
        <v>73</v>
      </c>
      <c r="BC14" s="3" t="s">
        <v>253</v>
      </c>
      <c r="BD14" s="3" t="s">
        <v>254</v>
      </c>
    </row>
    <row r="15" spans="1:56" ht="40.5" customHeight="1" x14ac:dyDescent="0.25">
      <c r="A15" s="7" t="s">
        <v>58</v>
      </c>
      <c r="B15" s="2" t="s">
        <v>255</v>
      </c>
      <c r="C15" s="2" t="s">
        <v>256</v>
      </c>
      <c r="D15" s="2" t="s">
        <v>257</v>
      </c>
      <c r="E15" s="3" t="s">
        <v>258</v>
      </c>
      <c r="F15" s="3" t="s">
        <v>85</v>
      </c>
      <c r="G15" s="3" t="s">
        <v>59</v>
      </c>
      <c r="H15" s="3" t="s">
        <v>58</v>
      </c>
      <c r="I15" s="3" t="s">
        <v>58</v>
      </c>
      <c r="J15" s="3" t="s">
        <v>60</v>
      </c>
      <c r="L15" s="2" t="s">
        <v>259</v>
      </c>
      <c r="M15" s="3" t="s">
        <v>213</v>
      </c>
      <c r="O15" s="3" t="s">
        <v>64</v>
      </c>
      <c r="P15" s="3" t="s">
        <v>117</v>
      </c>
      <c r="R15" s="3" t="s">
        <v>66</v>
      </c>
      <c r="S15" s="4">
        <v>6</v>
      </c>
      <c r="T15" s="4">
        <v>10</v>
      </c>
      <c r="U15" s="5" t="s">
        <v>260</v>
      </c>
      <c r="V15" s="5" t="s">
        <v>260</v>
      </c>
      <c r="W15" s="5" t="s">
        <v>261</v>
      </c>
      <c r="X15" s="5" t="s">
        <v>261</v>
      </c>
      <c r="Y15" s="4">
        <v>435</v>
      </c>
      <c r="Z15" s="4">
        <v>340</v>
      </c>
      <c r="AA15" s="4">
        <v>369</v>
      </c>
      <c r="AB15" s="4">
        <v>5</v>
      </c>
      <c r="AC15" s="4">
        <v>5</v>
      </c>
      <c r="AD15" s="4">
        <v>15</v>
      </c>
      <c r="AE15" s="4">
        <v>17</v>
      </c>
      <c r="AF15" s="4">
        <v>4</v>
      </c>
      <c r="AG15" s="4">
        <v>5</v>
      </c>
      <c r="AH15" s="4">
        <v>3</v>
      </c>
      <c r="AI15" s="4">
        <v>4</v>
      </c>
      <c r="AJ15" s="4">
        <v>8</v>
      </c>
      <c r="AK15" s="4">
        <v>8</v>
      </c>
      <c r="AL15" s="4">
        <v>4</v>
      </c>
      <c r="AM15" s="4">
        <v>4</v>
      </c>
      <c r="AN15" s="4">
        <v>0</v>
      </c>
      <c r="AO15" s="4">
        <v>0</v>
      </c>
      <c r="AP15" s="3" t="s">
        <v>58</v>
      </c>
      <c r="AQ15" s="3" t="s">
        <v>85</v>
      </c>
      <c r="AR15" s="6" t="str">
        <f>HYPERLINK("http://catalog.hathitrust.org/Record/000193471","HathiTrust Record")</f>
        <v>HathiTrust Record</v>
      </c>
      <c r="AS15" s="6" t="str">
        <f>HYPERLINK("https://creighton-primo.hosted.exlibrisgroup.com/primo-explore/search?tab=default_tab&amp;search_scope=EVERYTHING&amp;vid=01CRU&amp;lang=en_US&amp;offset=0&amp;query=any,contains,991000852559702656","Catalog Record")</f>
        <v>Catalog Record</v>
      </c>
      <c r="AT15" s="6" t="str">
        <f>HYPERLINK("http://www.worldcat.org/oclc/1622078","WorldCat Record")</f>
        <v>WorldCat Record</v>
      </c>
      <c r="AU15" s="3" t="s">
        <v>262</v>
      </c>
      <c r="AV15" s="3" t="s">
        <v>263</v>
      </c>
      <c r="AW15" s="3" t="s">
        <v>264</v>
      </c>
      <c r="AX15" s="3" t="s">
        <v>264</v>
      </c>
      <c r="AY15" s="3" t="s">
        <v>265</v>
      </c>
      <c r="AZ15" s="3" t="s">
        <v>73</v>
      </c>
      <c r="BB15" s="3" t="s">
        <v>266</v>
      </c>
      <c r="BC15" s="3" t="s">
        <v>267</v>
      </c>
      <c r="BD15" s="3" t="s">
        <v>268</v>
      </c>
    </row>
    <row r="16" spans="1:56" ht="40.5" customHeight="1" x14ac:dyDescent="0.25">
      <c r="A16" s="7" t="s">
        <v>58</v>
      </c>
      <c r="B16" s="2" t="s">
        <v>255</v>
      </c>
      <c r="C16" s="2" t="s">
        <v>256</v>
      </c>
      <c r="D16" s="2" t="s">
        <v>257</v>
      </c>
      <c r="E16" s="3" t="s">
        <v>96</v>
      </c>
      <c r="F16" s="3" t="s">
        <v>85</v>
      </c>
      <c r="G16" s="3" t="s">
        <v>59</v>
      </c>
      <c r="H16" s="3" t="s">
        <v>58</v>
      </c>
      <c r="I16" s="3" t="s">
        <v>58</v>
      </c>
      <c r="J16" s="3" t="s">
        <v>60</v>
      </c>
      <c r="L16" s="2" t="s">
        <v>259</v>
      </c>
      <c r="M16" s="3" t="s">
        <v>213</v>
      </c>
      <c r="O16" s="3" t="s">
        <v>64</v>
      </c>
      <c r="P16" s="3" t="s">
        <v>117</v>
      </c>
      <c r="R16" s="3" t="s">
        <v>66</v>
      </c>
      <c r="S16" s="4">
        <v>4</v>
      </c>
      <c r="T16" s="4">
        <v>10</v>
      </c>
      <c r="U16" s="5" t="s">
        <v>260</v>
      </c>
      <c r="V16" s="5" t="s">
        <v>260</v>
      </c>
      <c r="W16" s="5" t="s">
        <v>261</v>
      </c>
      <c r="X16" s="5" t="s">
        <v>261</v>
      </c>
      <c r="Y16" s="4">
        <v>435</v>
      </c>
      <c r="Z16" s="4">
        <v>340</v>
      </c>
      <c r="AA16" s="4">
        <v>369</v>
      </c>
      <c r="AB16" s="4">
        <v>5</v>
      </c>
      <c r="AC16" s="4">
        <v>5</v>
      </c>
      <c r="AD16" s="4">
        <v>15</v>
      </c>
      <c r="AE16" s="4">
        <v>17</v>
      </c>
      <c r="AF16" s="4">
        <v>4</v>
      </c>
      <c r="AG16" s="4">
        <v>5</v>
      </c>
      <c r="AH16" s="4">
        <v>3</v>
      </c>
      <c r="AI16" s="4">
        <v>4</v>
      </c>
      <c r="AJ16" s="4">
        <v>8</v>
      </c>
      <c r="AK16" s="4">
        <v>8</v>
      </c>
      <c r="AL16" s="4">
        <v>4</v>
      </c>
      <c r="AM16" s="4">
        <v>4</v>
      </c>
      <c r="AN16" s="4">
        <v>0</v>
      </c>
      <c r="AO16" s="4">
        <v>0</v>
      </c>
      <c r="AP16" s="3" t="s">
        <v>58</v>
      </c>
      <c r="AQ16" s="3" t="s">
        <v>85</v>
      </c>
      <c r="AR16" s="6" t="str">
        <f>HYPERLINK("http://catalog.hathitrust.org/Record/000193471","HathiTrust Record")</f>
        <v>HathiTrust Record</v>
      </c>
      <c r="AS16" s="6" t="str">
        <f>HYPERLINK("https://creighton-primo.hosted.exlibrisgroup.com/primo-explore/search?tab=default_tab&amp;search_scope=EVERYTHING&amp;vid=01CRU&amp;lang=en_US&amp;offset=0&amp;query=any,contains,991000852559702656","Catalog Record")</f>
        <v>Catalog Record</v>
      </c>
      <c r="AT16" s="6" t="str">
        <f>HYPERLINK("http://www.worldcat.org/oclc/1622078","WorldCat Record")</f>
        <v>WorldCat Record</v>
      </c>
      <c r="AU16" s="3" t="s">
        <v>262</v>
      </c>
      <c r="AV16" s="3" t="s">
        <v>263</v>
      </c>
      <c r="AW16" s="3" t="s">
        <v>264</v>
      </c>
      <c r="AX16" s="3" t="s">
        <v>264</v>
      </c>
      <c r="AY16" s="3" t="s">
        <v>265</v>
      </c>
      <c r="AZ16" s="3" t="s">
        <v>73</v>
      </c>
      <c r="BB16" s="3" t="s">
        <v>266</v>
      </c>
      <c r="BC16" s="3" t="s">
        <v>269</v>
      </c>
      <c r="BD16" s="3" t="s">
        <v>270</v>
      </c>
    </row>
    <row r="17" spans="1:56" ht="40.5" customHeight="1" x14ac:dyDescent="0.25">
      <c r="A17" s="7" t="s">
        <v>58</v>
      </c>
      <c r="B17" s="2" t="s">
        <v>271</v>
      </c>
      <c r="C17" s="2" t="s">
        <v>272</v>
      </c>
      <c r="D17" s="2" t="s">
        <v>273</v>
      </c>
      <c r="F17" s="3" t="s">
        <v>58</v>
      </c>
      <c r="G17" s="3" t="s">
        <v>59</v>
      </c>
      <c r="H17" s="3" t="s">
        <v>58</v>
      </c>
      <c r="I17" s="3" t="s">
        <v>85</v>
      </c>
      <c r="J17" s="3" t="s">
        <v>60</v>
      </c>
      <c r="K17" s="2" t="s">
        <v>274</v>
      </c>
      <c r="L17" s="2" t="s">
        <v>275</v>
      </c>
      <c r="M17" s="3" t="s">
        <v>63</v>
      </c>
      <c r="O17" s="3" t="s">
        <v>64</v>
      </c>
      <c r="P17" s="3" t="s">
        <v>117</v>
      </c>
      <c r="R17" s="3" t="s">
        <v>66</v>
      </c>
      <c r="S17" s="4">
        <v>100</v>
      </c>
      <c r="T17" s="4">
        <v>100</v>
      </c>
      <c r="U17" s="5" t="s">
        <v>276</v>
      </c>
      <c r="V17" s="5" t="s">
        <v>276</v>
      </c>
      <c r="W17" s="5" t="s">
        <v>215</v>
      </c>
      <c r="X17" s="5" t="s">
        <v>215</v>
      </c>
      <c r="Y17" s="4">
        <v>613</v>
      </c>
      <c r="Z17" s="4">
        <v>410</v>
      </c>
      <c r="AA17" s="4">
        <v>663</v>
      </c>
      <c r="AB17" s="4">
        <v>2</v>
      </c>
      <c r="AC17" s="4">
        <v>3</v>
      </c>
      <c r="AD17" s="4">
        <v>16</v>
      </c>
      <c r="AE17" s="4">
        <v>18</v>
      </c>
      <c r="AF17" s="4">
        <v>5</v>
      </c>
      <c r="AG17" s="4">
        <v>5</v>
      </c>
      <c r="AH17" s="4">
        <v>4</v>
      </c>
      <c r="AI17" s="4">
        <v>4</v>
      </c>
      <c r="AJ17" s="4">
        <v>10</v>
      </c>
      <c r="AK17" s="4">
        <v>11</v>
      </c>
      <c r="AL17" s="4">
        <v>1</v>
      </c>
      <c r="AM17" s="4">
        <v>2</v>
      </c>
      <c r="AN17" s="4">
        <v>0</v>
      </c>
      <c r="AO17" s="4">
        <v>0</v>
      </c>
      <c r="AP17" s="3" t="s">
        <v>58</v>
      </c>
      <c r="AQ17" s="3" t="s">
        <v>58</v>
      </c>
      <c r="AS17" s="6" t="str">
        <f>HYPERLINK("https://creighton-primo.hosted.exlibrisgroup.com/primo-explore/search?tab=default_tab&amp;search_scope=EVERYTHING&amp;vid=01CRU&amp;lang=en_US&amp;offset=0&amp;query=any,contains,991000494769702656","Catalog Record")</f>
        <v>Catalog Record</v>
      </c>
      <c r="AT17" s="6" t="str">
        <f>HYPERLINK("http://www.worldcat.org/oclc/10628559","WorldCat Record")</f>
        <v>WorldCat Record</v>
      </c>
      <c r="AU17" s="3" t="s">
        <v>277</v>
      </c>
      <c r="AV17" s="3" t="s">
        <v>278</v>
      </c>
      <c r="AW17" s="3" t="s">
        <v>279</v>
      </c>
      <c r="AX17" s="3" t="s">
        <v>279</v>
      </c>
      <c r="AY17" s="3" t="s">
        <v>280</v>
      </c>
      <c r="AZ17" s="3" t="s">
        <v>73</v>
      </c>
      <c r="BC17" s="3" t="s">
        <v>281</v>
      </c>
      <c r="BD17" s="3" t="s">
        <v>282</v>
      </c>
    </row>
    <row r="18" spans="1:56" ht="40.5" customHeight="1" x14ac:dyDescent="0.25">
      <c r="A18" s="7" t="s">
        <v>58</v>
      </c>
      <c r="B18" s="2" t="s">
        <v>283</v>
      </c>
      <c r="C18" s="2" t="s">
        <v>284</v>
      </c>
      <c r="D18" s="2" t="s">
        <v>285</v>
      </c>
      <c r="F18" s="3" t="s">
        <v>58</v>
      </c>
      <c r="G18" s="3" t="s">
        <v>59</v>
      </c>
      <c r="H18" s="3" t="s">
        <v>58</v>
      </c>
      <c r="I18" s="3" t="s">
        <v>58</v>
      </c>
      <c r="J18" s="3" t="s">
        <v>60</v>
      </c>
      <c r="K18" s="2" t="s">
        <v>286</v>
      </c>
      <c r="L18" s="2" t="s">
        <v>287</v>
      </c>
      <c r="M18" s="3" t="s">
        <v>98</v>
      </c>
      <c r="N18" s="2" t="s">
        <v>288</v>
      </c>
      <c r="O18" s="3" t="s">
        <v>64</v>
      </c>
      <c r="P18" s="3" t="s">
        <v>65</v>
      </c>
      <c r="R18" s="3" t="s">
        <v>66</v>
      </c>
      <c r="S18" s="4">
        <v>22</v>
      </c>
      <c r="T18" s="4">
        <v>22</v>
      </c>
      <c r="U18" s="5" t="s">
        <v>289</v>
      </c>
      <c r="V18" s="5" t="s">
        <v>289</v>
      </c>
      <c r="W18" s="5" t="s">
        <v>290</v>
      </c>
      <c r="X18" s="5" t="s">
        <v>290</v>
      </c>
      <c r="Y18" s="4">
        <v>353</v>
      </c>
      <c r="Z18" s="4">
        <v>237</v>
      </c>
      <c r="AA18" s="4">
        <v>487</v>
      </c>
      <c r="AB18" s="4">
        <v>1</v>
      </c>
      <c r="AC18" s="4">
        <v>4</v>
      </c>
      <c r="AD18" s="4">
        <v>5</v>
      </c>
      <c r="AE18" s="4">
        <v>14</v>
      </c>
      <c r="AF18" s="4">
        <v>1</v>
      </c>
      <c r="AG18" s="4">
        <v>3</v>
      </c>
      <c r="AH18" s="4">
        <v>3</v>
      </c>
      <c r="AI18" s="4">
        <v>4</v>
      </c>
      <c r="AJ18" s="4">
        <v>3</v>
      </c>
      <c r="AK18" s="4">
        <v>8</v>
      </c>
      <c r="AL18" s="4">
        <v>0</v>
      </c>
      <c r="AM18" s="4">
        <v>3</v>
      </c>
      <c r="AN18" s="4">
        <v>0</v>
      </c>
      <c r="AO18" s="4">
        <v>0</v>
      </c>
      <c r="AP18" s="3" t="s">
        <v>58</v>
      </c>
      <c r="AQ18" s="3" t="s">
        <v>85</v>
      </c>
      <c r="AR18" s="6" t="str">
        <f>HYPERLINK("http://catalog.hathitrust.org/Record/000124013","HathiTrust Record")</f>
        <v>HathiTrust Record</v>
      </c>
      <c r="AS18" s="6" t="str">
        <f>HYPERLINK("https://creighton-primo.hosted.exlibrisgroup.com/primo-explore/search?tab=default_tab&amp;search_scope=EVERYTHING&amp;vid=01CRU&amp;lang=en_US&amp;offset=0&amp;query=any,contains,991000855039702656","Catalog Record")</f>
        <v>Catalog Record</v>
      </c>
      <c r="AT18" s="6" t="str">
        <f>HYPERLINK("http://www.worldcat.org/oclc/8865386","WorldCat Record")</f>
        <v>WorldCat Record</v>
      </c>
      <c r="AU18" s="3" t="s">
        <v>291</v>
      </c>
      <c r="AV18" s="3" t="s">
        <v>292</v>
      </c>
      <c r="AW18" s="3" t="s">
        <v>293</v>
      </c>
      <c r="AX18" s="3" t="s">
        <v>293</v>
      </c>
      <c r="AY18" s="3" t="s">
        <v>294</v>
      </c>
      <c r="AZ18" s="3" t="s">
        <v>73</v>
      </c>
      <c r="BB18" s="3" t="s">
        <v>295</v>
      </c>
      <c r="BC18" s="3" t="s">
        <v>296</v>
      </c>
      <c r="BD18" s="3" t="s">
        <v>297</v>
      </c>
    </row>
    <row r="19" spans="1:56" ht="40.5" customHeight="1" x14ac:dyDescent="0.25">
      <c r="A19" s="7" t="s">
        <v>58</v>
      </c>
      <c r="B19" s="2" t="s">
        <v>298</v>
      </c>
      <c r="C19" s="2" t="s">
        <v>299</v>
      </c>
      <c r="D19" s="2" t="s">
        <v>300</v>
      </c>
      <c r="F19" s="3" t="s">
        <v>58</v>
      </c>
      <c r="G19" s="3" t="s">
        <v>59</v>
      </c>
      <c r="H19" s="3" t="s">
        <v>58</v>
      </c>
      <c r="I19" s="3" t="s">
        <v>58</v>
      </c>
      <c r="J19" s="3" t="s">
        <v>60</v>
      </c>
      <c r="K19" s="2" t="s">
        <v>301</v>
      </c>
      <c r="L19" s="2" t="s">
        <v>302</v>
      </c>
      <c r="M19" s="3" t="s">
        <v>303</v>
      </c>
      <c r="O19" s="3" t="s">
        <v>64</v>
      </c>
      <c r="P19" s="3" t="s">
        <v>304</v>
      </c>
      <c r="R19" s="3" t="s">
        <v>66</v>
      </c>
      <c r="S19" s="4">
        <v>27</v>
      </c>
      <c r="T19" s="4">
        <v>27</v>
      </c>
      <c r="U19" s="5" t="s">
        <v>305</v>
      </c>
      <c r="V19" s="5" t="s">
        <v>305</v>
      </c>
      <c r="W19" s="5" t="s">
        <v>306</v>
      </c>
      <c r="X19" s="5" t="s">
        <v>306</v>
      </c>
      <c r="Y19" s="4">
        <v>74</v>
      </c>
      <c r="Z19" s="4">
        <v>37</v>
      </c>
      <c r="AA19" s="4">
        <v>96</v>
      </c>
      <c r="AB19" s="4">
        <v>1</v>
      </c>
      <c r="AC19" s="4">
        <v>1</v>
      </c>
      <c r="AD19" s="4">
        <v>0</v>
      </c>
      <c r="AE19" s="4">
        <v>0</v>
      </c>
      <c r="AF19" s="4">
        <v>0</v>
      </c>
      <c r="AG19" s="4">
        <v>0</v>
      </c>
      <c r="AH19" s="4">
        <v>0</v>
      </c>
      <c r="AI19" s="4">
        <v>0</v>
      </c>
      <c r="AJ19" s="4">
        <v>0</v>
      </c>
      <c r="AK19" s="4">
        <v>0</v>
      </c>
      <c r="AL19" s="4">
        <v>0</v>
      </c>
      <c r="AM19" s="4">
        <v>0</v>
      </c>
      <c r="AN19" s="4">
        <v>0</v>
      </c>
      <c r="AO19" s="4">
        <v>0</v>
      </c>
      <c r="AP19" s="3" t="s">
        <v>58</v>
      </c>
      <c r="AQ19" s="3" t="s">
        <v>58</v>
      </c>
      <c r="AS19" s="6" t="str">
        <f>HYPERLINK("https://creighton-primo.hosted.exlibrisgroup.com/primo-explore/search?tab=default_tab&amp;search_scope=EVERYTHING&amp;vid=01CRU&amp;lang=en_US&amp;offset=0&amp;query=any,contains,991001558409702656","Catalog Record")</f>
        <v>Catalog Record</v>
      </c>
      <c r="AT19" s="6" t="str">
        <f>HYPERLINK("http://www.worldcat.org/oclc/34371369","WorldCat Record")</f>
        <v>WorldCat Record</v>
      </c>
      <c r="AU19" s="3" t="s">
        <v>307</v>
      </c>
      <c r="AV19" s="3" t="s">
        <v>308</v>
      </c>
      <c r="AW19" s="3" t="s">
        <v>309</v>
      </c>
      <c r="AX19" s="3" t="s">
        <v>309</v>
      </c>
      <c r="AY19" s="3" t="s">
        <v>310</v>
      </c>
      <c r="AZ19" s="3" t="s">
        <v>73</v>
      </c>
      <c r="BB19" s="3" t="s">
        <v>311</v>
      </c>
      <c r="BC19" s="3" t="s">
        <v>312</v>
      </c>
      <c r="BD19" s="3" t="s">
        <v>313</v>
      </c>
    </row>
    <row r="20" spans="1:56" ht="40.5" customHeight="1" x14ac:dyDescent="0.25">
      <c r="A20" s="7" t="s">
        <v>58</v>
      </c>
      <c r="B20" s="2" t="s">
        <v>314</v>
      </c>
      <c r="C20" s="2" t="s">
        <v>315</v>
      </c>
      <c r="D20" s="2" t="s">
        <v>316</v>
      </c>
      <c r="F20" s="3" t="s">
        <v>58</v>
      </c>
      <c r="G20" s="3" t="s">
        <v>59</v>
      </c>
      <c r="H20" s="3" t="s">
        <v>58</v>
      </c>
      <c r="I20" s="3" t="s">
        <v>58</v>
      </c>
      <c r="J20" s="3" t="s">
        <v>60</v>
      </c>
      <c r="K20" s="2" t="s">
        <v>317</v>
      </c>
      <c r="L20" s="2" t="s">
        <v>318</v>
      </c>
      <c r="M20" s="3" t="s">
        <v>303</v>
      </c>
      <c r="O20" s="3" t="s">
        <v>64</v>
      </c>
      <c r="P20" s="3" t="s">
        <v>319</v>
      </c>
      <c r="R20" s="3" t="s">
        <v>66</v>
      </c>
      <c r="S20" s="4">
        <v>7</v>
      </c>
      <c r="T20" s="4">
        <v>7</v>
      </c>
      <c r="U20" s="5" t="s">
        <v>320</v>
      </c>
      <c r="V20" s="5" t="s">
        <v>320</v>
      </c>
      <c r="W20" s="5" t="s">
        <v>321</v>
      </c>
      <c r="X20" s="5" t="s">
        <v>321</v>
      </c>
      <c r="Y20" s="4">
        <v>222</v>
      </c>
      <c r="Z20" s="4">
        <v>113</v>
      </c>
      <c r="AA20" s="4">
        <v>113</v>
      </c>
      <c r="AB20" s="4">
        <v>1</v>
      </c>
      <c r="AC20" s="4">
        <v>1</v>
      </c>
      <c r="AD20" s="4">
        <v>2</v>
      </c>
      <c r="AE20" s="4">
        <v>2</v>
      </c>
      <c r="AF20" s="4">
        <v>1</v>
      </c>
      <c r="AG20" s="4">
        <v>1</v>
      </c>
      <c r="AH20" s="4">
        <v>2</v>
      </c>
      <c r="AI20" s="4">
        <v>2</v>
      </c>
      <c r="AJ20" s="4">
        <v>0</v>
      </c>
      <c r="AK20" s="4">
        <v>0</v>
      </c>
      <c r="AL20" s="4">
        <v>0</v>
      </c>
      <c r="AM20" s="4">
        <v>0</v>
      </c>
      <c r="AN20" s="4">
        <v>0</v>
      </c>
      <c r="AO20" s="4">
        <v>0</v>
      </c>
      <c r="AP20" s="3" t="s">
        <v>58</v>
      </c>
      <c r="AQ20" s="3" t="s">
        <v>58</v>
      </c>
      <c r="AS20" s="6" t="str">
        <f>HYPERLINK("https://creighton-primo.hosted.exlibrisgroup.com/primo-explore/search?tab=default_tab&amp;search_scope=EVERYTHING&amp;vid=01CRU&amp;lang=en_US&amp;offset=0&amp;query=any,contains,991000326649702656","Catalog Record")</f>
        <v>Catalog Record</v>
      </c>
      <c r="AT20" s="6" t="str">
        <f>HYPERLINK("http://www.worldcat.org/oclc/33105353","WorldCat Record")</f>
        <v>WorldCat Record</v>
      </c>
      <c r="AU20" s="3" t="s">
        <v>322</v>
      </c>
      <c r="AV20" s="3" t="s">
        <v>323</v>
      </c>
      <c r="AW20" s="3" t="s">
        <v>324</v>
      </c>
      <c r="AX20" s="3" t="s">
        <v>324</v>
      </c>
      <c r="AY20" s="3" t="s">
        <v>325</v>
      </c>
      <c r="AZ20" s="3" t="s">
        <v>73</v>
      </c>
      <c r="BB20" s="3" t="s">
        <v>326</v>
      </c>
      <c r="BC20" s="3" t="s">
        <v>327</v>
      </c>
      <c r="BD20" s="3" t="s">
        <v>328</v>
      </c>
    </row>
    <row r="21" spans="1:56" ht="40.5" customHeight="1" x14ac:dyDescent="0.25">
      <c r="A21" s="7" t="s">
        <v>58</v>
      </c>
      <c r="B21" s="2" t="s">
        <v>329</v>
      </c>
      <c r="C21" s="2" t="s">
        <v>330</v>
      </c>
      <c r="D21" s="2" t="s">
        <v>331</v>
      </c>
      <c r="F21" s="3" t="s">
        <v>58</v>
      </c>
      <c r="G21" s="3" t="s">
        <v>59</v>
      </c>
      <c r="H21" s="3" t="s">
        <v>58</v>
      </c>
      <c r="I21" s="3" t="s">
        <v>58</v>
      </c>
      <c r="J21" s="3" t="s">
        <v>60</v>
      </c>
      <c r="K21" s="2" t="s">
        <v>332</v>
      </c>
      <c r="L21" s="2" t="s">
        <v>333</v>
      </c>
      <c r="M21" s="3" t="s">
        <v>334</v>
      </c>
      <c r="N21" s="2" t="s">
        <v>288</v>
      </c>
      <c r="O21" s="3" t="s">
        <v>64</v>
      </c>
      <c r="P21" s="3" t="s">
        <v>152</v>
      </c>
      <c r="R21" s="3" t="s">
        <v>66</v>
      </c>
      <c r="S21" s="4">
        <v>13</v>
      </c>
      <c r="T21" s="4">
        <v>13</v>
      </c>
      <c r="U21" s="5" t="s">
        <v>335</v>
      </c>
      <c r="V21" s="5" t="s">
        <v>335</v>
      </c>
      <c r="W21" s="5" t="s">
        <v>336</v>
      </c>
      <c r="X21" s="5" t="s">
        <v>336</v>
      </c>
      <c r="Y21" s="4">
        <v>358</v>
      </c>
      <c r="Z21" s="4">
        <v>177</v>
      </c>
      <c r="AA21" s="4">
        <v>463</v>
      </c>
      <c r="AB21" s="4">
        <v>1</v>
      </c>
      <c r="AC21" s="4">
        <v>3</v>
      </c>
      <c r="AD21" s="4">
        <v>4</v>
      </c>
      <c r="AE21" s="4">
        <v>19</v>
      </c>
      <c r="AF21" s="4">
        <v>1</v>
      </c>
      <c r="AG21" s="4">
        <v>5</v>
      </c>
      <c r="AH21" s="4">
        <v>1</v>
      </c>
      <c r="AI21" s="4">
        <v>5</v>
      </c>
      <c r="AJ21" s="4">
        <v>4</v>
      </c>
      <c r="AK21" s="4">
        <v>11</v>
      </c>
      <c r="AL21" s="4">
        <v>0</v>
      </c>
      <c r="AM21" s="4">
        <v>2</v>
      </c>
      <c r="AN21" s="4">
        <v>0</v>
      </c>
      <c r="AO21" s="4">
        <v>0</v>
      </c>
      <c r="AP21" s="3" t="s">
        <v>58</v>
      </c>
      <c r="AQ21" s="3" t="s">
        <v>85</v>
      </c>
      <c r="AR21" s="6" t="str">
        <f>HYPERLINK("http://catalog.hathitrust.org/Record/102014941","HathiTrust Record")</f>
        <v>HathiTrust Record</v>
      </c>
      <c r="AS21" s="6" t="str">
        <f>HYPERLINK("https://creighton-primo.hosted.exlibrisgroup.com/primo-explore/search?tab=default_tab&amp;search_scope=EVERYTHING&amp;vid=01CRU&amp;lang=en_US&amp;offset=0&amp;query=any,contains,991000329579702656","Catalog Record")</f>
        <v>Catalog Record</v>
      </c>
      <c r="AT21" s="6" t="str">
        <f>HYPERLINK("http://www.worldcat.org/oclc/42290721","WorldCat Record")</f>
        <v>WorldCat Record</v>
      </c>
      <c r="AU21" s="3" t="s">
        <v>337</v>
      </c>
      <c r="AV21" s="3" t="s">
        <v>338</v>
      </c>
      <c r="AW21" s="3" t="s">
        <v>339</v>
      </c>
      <c r="AX21" s="3" t="s">
        <v>339</v>
      </c>
      <c r="AY21" s="3" t="s">
        <v>340</v>
      </c>
      <c r="AZ21" s="3" t="s">
        <v>73</v>
      </c>
      <c r="BB21" s="3" t="s">
        <v>341</v>
      </c>
      <c r="BC21" s="3" t="s">
        <v>342</v>
      </c>
      <c r="BD21" s="3" t="s">
        <v>343</v>
      </c>
    </row>
    <row r="22" spans="1:56" ht="40.5" customHeight="1" x14ac:dyDescent="0.25">
      <c r="A22" s="7" t="s">
        <v>58</v>
      </c>
      <c r="B22" s="2" t="s">
        <v>344</v>
      </c>
      <c r="C22" s="2" t="s">
        <v>345</v>
      </c>
      <c r="D22" s="2" t="s">
        <v>346</v>
      </c>
      <c r="F22" s="3" t="s">
        <v>58</v>
      </c>
      <c r="G22" s="3" t="s">
        <v>59</v>
      </c>
      <c r="H22" s="3" t="s">
        <v>58</v>
      </c>
      <c r="I22" s="3" t="s">
        <v>58</v>
      </c>
      <c r="J22" s="3" t="s">
        <v>60</v>
      </c>
      <c r="K22" s="2" t="s">
        <v>347</v>
      </c>
      <c r="L22" s="2" t="s">
        <v>348</v>
      </c>
      <c r="M22" s="3" t="s">
        <v>303</v>
      </c>
      <c r="N22" s="2" t="s">
        <v>349</v>
      </c>
      <c r="O22" s="3" t="s">
        <v>64</v>
      </c>
      <c r="P22" s="3" t="s">
        <v>350</v>
      </c>
      <c r="R22" s="3" t="s">
        <v>66</v>
      </c>
      <c r="S22" s="4">
        <v>87</v>
      </c>
      <c r="T22" s="4">
        <v>87</v>
      </c>
      <c r="U22" s="5" t="s">
        <v>351</v>
      </c>
      <c r="V22" s="5" t="s">
        <v>351</v>
      </c>
      <c r="W22" s="5" t="s">
        <v>352</v>
      </c>
      <c r="X22" s="5" t="s">
        <v>352</v>
      </c>
      <c r="Y22" s="4">
        <v>254</v>
      </c>
      <c r="Z22" s="4">
        <v>144</v>
      </c>
      <c r="AA22" s="4">
        <v>537</v>
      </c>
      <c r="AB22" s="4">
        <v>3</v>
      </c>
      <c r="AC22" s="4">
        <v>5</v>
      </c>
      <c r="AD22" s="4">
        <v>6</v>
      </c>
      <c r="AE22" s="4">
        <v>23</v>
      </c>
      <c r="AF22" s="4">
        <v>3</v>
      </c>
      <c r="AG22" s="4">
        <v>8</v>
      </c>
      <c r="AH22" s="4">
        <v>1</v>
      </c>
      <c r="AI22" s="4">
        <v>5</v>
      </c>
      <c r="AJ22" s="4">
        <v>2</v>
      </c>
      <c r="AK22" s="4">
        <v>13</v>
      </c>
      <c r="AL22" s="4">
        <v>2</v>
      </c>
      <c r="AM22" s="4">
        <v>4</v>
      </c>
      <c r="AN22" s="4">
        <v>0</v>
      </c>
      <c r="AO22" s="4">
        <v>0</v>
      </c>
      <c r="AP22" s="3" t="s">
        <v>58</v>
      </c>
      <c r="AQ22" s="3" t="s">
        <v>85</v>
      </c>
      <c r="AR22" s="6" t="str">
        <f>HYPERLINK("http://catalog.hathitrust.org/Record/003142186","HathiTrust Record")</f>
        <v>HathiTrust Record</v>
      </c>
      <c r="AS22" s="6" t="str">
        <f>HYPERLINK("https://creighton-primo.hosted.exlibrisgroup.com/primo-explore/search?tab=default_tab&amp;search_scope=EVERYTHING&amp;vid=01CRU&amp;lang=en_US&amp;offset=0&amp;query=any,contains,991000835389702656","Catalog Record")</f>
        <v>Catalog Record</v>
      </c>
      <c r="AT22" s="6" t="str">
        <f>HYPERLINK("http://www.worldcat.org/oclc/35267963","WorldCat Record")</f>
        <v>WorldCat Record</v>
      </c>
      <c r="AU22" s="3" t="s">
        <v>353</v>
      </c>
      <c r="AV22" s="3" t="s">
        <v>354</v>
      </c>
      <c r="AW22" s="3" t="s">
        <v>355</v>
      </c>
      <c r="AX22" s="3" t="s">
        <v>355</v>
      </c>
      <c r="AY22" s="3" t="s">
        <v>356</v>
      </c>
      <c r="AZ22" s="3" t="s">
        <v>73</v>
      </c>
      <c r="BB22" s="3" t="s">
        <v>357</v>
      </c>
      <c r="BC22" s="3" t="s">
        <v>358</v>
      </c>
      <c r="BD22" s="3" t="s">
        <v>359</v>
      </c>
    </row>
    <row r="23" spans="1:56" ht="40.5" customHeight="1" x14ac:dyDescent="0.25">
      <c r="A23" s="7" t="s">
        <v>58</v>
      </c>
      <c r="B23" s="2" t="s">
        <v>360</v>
      </c>
      <c r="C23" s="2" t="s">
        <v>361</v>
      </c>
      <c r="D23" s="2" t="s">
        <v>362</v>
      </c>
      <c r="F23" s="3" t="s">
        <v>58</v>
      </c>
      <c r="G23" s="3" t="s">
        <v>59</v>
      </c>
      <c r="H23" s="3" t="s">
        <v>58</v>
      </c>
      <c r="I23" s="3" t="s">
        <v>58</v>
      </c>
      <c r="J23" s="3" t="s">
        <v>60</v>
      </c>
      <c r="K23" s="2" t="s">
        <v>363</v>
      </c>
      <c r="L23" s="2" t="s">
        <v>364</v>
      </c>
      <c r="M23" s="3" t="s">
        <v>365</v>
      </c>
      <c r="N23" s="2" t="s">
        <v>198</v>
      </c>
      <c r="O23" s="3" t="s">
        <v>64</v>
      </c>
      <c r="P23" s="3" t="s">
        <v>366</v>
      </c>
      <c r="R23" s="3" t="s">
        <v>66</v>
      </c>
      <c r="S23" s="4">
        <v>38</v>
      </c>
      <c r="T23" s="4">
        <v>38</v>
      </c>
      <c r="U23" s="5" t="s">
        <v>367</v>
      </c>
      <c r="V23" s="5" t="s">
        <v>367</v>
      </c>
      <c r="W23" s="5" t="s">
        <v>368</v>
      </c>
      <c r="X23" s="5" t="s">
        <v>368</v>
      </c>
      <c r="Y23" s="4">
        <v>154</v>
      </c>
      <c r="Z23" s="4">
        <v>79</v>
      </c>
      <c r="AA23" s="4">
        <v>87</v>
      </c>
      <c r="AB23" s="4">
        <v>1</v>
      </c>
      <c r="AC23" s="4">
        <v>1</v>
      </c>
      <c r="AD23" s="4">
        <v>1</v>
      </c>
      <c r="AE23" s="4">
        <v>1</v>
      </c>
      <c r="AF23" s="4">
        <v>1</v>
      </c>
      <c r="AG23" s="4">
        <v>1</v>
      </c>
      <c r="AH23" s="4">
        <v>1</v>
      </c>
      <c r="AI23" s="4">
        <v>1</v>
      </c>
      <c r="AJ23" s="4">
        <v>0</v>
      </c>
      <c r="AK23" s="4">
        <v>0</v>
      </c>
      <c r="AL23" s="4">
        <v>0</v>
      </c>
      <c r="AM23" s="4">
        <v>0</v>
      </c>
      <c r="AN23" s="4">
        <v>0</v>
      </c>
      <c r="AO23" s="4">
        <v>0</v>
      </c>
      <c r="AP23" s="3" t="s">
        <v>58</v>
      </c>
      <c r="AQ23" s="3" t="s">
        <v>85</v>
      </c>
      <c r="AR23" s="6" t="str">
        <f>HYPERLINK("http://catalog.hathitrust.org/Record/007478058","HathiTrust Record")</f>
        <v>HathiTrust Record</v>
      </c>
      <c r="AS23" s="6" t="str">
        <f>HYPERLINK("https://creighton-primo.hosted.exlibrisgroup.com/primo-explore/search?tab=default_tab&amp;search_scope=EVERYTHING&amp;vid=01CRU&amp;lang=en_US&amp;offset=0&amp;query=any,contains,991001495619702656","Catalog Record")</f>
        <v>Catalog Record</v>
      </c>
      <c r="AT23" s="6" t="str">
        <f>HYPERLINK("http://www.worldcat.org/oclc/29702569","WorldCat Record")</f>
        <v>WorldCat Record</v>
      </c>
      <c r="AU23" s="3" t="s">
        <v>369</v>
      </c>
      <c r="AV23" s="3" t="s">
        <v>370</v>
      </c>
      <c r="AW23" s="3" t="s">
        <v>371</v>
      </c>
      <c r="AX23" s="3" t="s">
        <v>371</v>
      </c>
      <c r="AY23" s="3" t="s">
        <v>372</v>
      </c>
      <c r="AZ23" s="3" t="s">
        <v>73</v>
      </c>
      <c r="BB23" s="3" t="s">
        <v>373</v>
      </c>
      <c r="BC23" s="3" t="s">
        <v>374</v>
      </c>
      <c r="BD23" s="3" t="s">
        <v>375</v>
      </c>
    </row>
    <row r="24" spans="1:56" ht="40.5" customHeight="1" x14ac:dyDescent="0.25">
      <c r="A24" s="7" t="s">
        <v>58</v>
      </c>
      <c r="B24" s="2" t="s">
        <v>376</v>
      </c>
      <c r="C24" s="2" t="s">
        <v>377</v>
      </c>
      <c r="D24" s="2" t="s">
        <v>378</v>
      </c>
      <c r="E24" s="3" t="s">
        <v>379</v>
      </c>
      <c r="F24" s="3" t="s">
        <v>58</v>
      </c>
      <c r="G24" s="3" t="s">
        <v>59</v>
      </c>
      <c r="H24" s="3" t="s">
        <v>58</v>
      </c>
      <c r="I24" s="3" t="s">
        <v>58</v>
      </c>
      <c r="J24" s="3" t="s">
        <v>60</v>
      </c>
      <c r="L24" s="2" t="s">
        <v>380</v>
      </c>
      <c r="M24" s="3" t="s">
        <v>365</v>
      </c>
      <c r="O24" s="3" t="s">
        <v>64</v>
      </c>
      <c r="P24" s="3" t="s">
        <v>366</v>
      </c>
      <c r="R24" s="3" t="s">
        <v>66</v>
      </c>
      <c r="S24" s="4">
        <v>17</v>
      </c>
      <c r="T24" s="4">
        <v>17</v>
      </c>
      <c r="U24" s="5" t="s">
        <v>381</v>
      </c>
      <c r="V24" s="5" t="s">
        <v>381</v>
      </c>
      <c r="W24" s="5" t="s">
        <v>368</v>
      </c>
      <c r="X24" s="5" t="s">
        <v>368</v>
      </c>
      <c r="Y24" s="4">
        <v>125</v>
      </c>
      <c r="Z24" s="4">
        <v>60</v>
      </c>
      <c r="AA24" s="4">
        <v>67</v>
      </c>
      <c r="AB24" s="4">
        <v>1</v>
      </c>
      <c r="AC24" s="4">
        <v>1</v>
      </c>
      <c r="AD24" s="4">
        <v>0</v>
      </c>
      <c r="AE24" s="4">
        <v>0</v>
      </c>
      <c r="AF24" s="4">
        <v>0</v>
      </c>
      <c r="AG24" s="4">
        <v>0</v>
      </c>
      <c r="AH24" s="4">
        <v>0</v>
      </c>
      <c r="AI24" s="4">
        <v>0</v>
      </c>
      <c r="AJ24" s="4">
        <v>0</v>
      </c>
      <c r="AK24" s="4">
        <v>0</v>
      </c>
      <c r="AL24" s="4">
        <v>0</v>
      </c>
      <c r="AM24" s="4">
        <v>0</v>
      </c>
      <c r="AN24" s="4">
        <v>0</v>
      </c>
      <c r="AO24" s="4">
        <v>0</v>
      </c>
      <c r="AP24" s="3" t="s">
        <v>58</v>
      </c>
      <c r="AQ24" s="3" t="s">
        <v>85</v>
      </c>
      <c r="AR24" s="6" t="str">
        <f>HYPERLINK("http://catalog.hathitrust.org/Record/009208441","HathiTrust Record")</f>
        <v>HathiTrust Record</v>
      </c>
      <c r="AS24" s="6" t="str">
        <f>HYPERLINK("https://creighton-primo.hosted.exlibrisgroup.com/primo-explore/search?tab=default_tab&amp;search_scope=EVERYTHING&amp;vid=01CRU&amp;lang=en_US&amp;offset=0&amp;query=any,contains,991001495119702656","Catalog Record")</f>
        <v>Catalog Record</v>
      </c>
      <c r="AT24" s="6" t="str">
        <f>HYPERLINK("http://www.worldcat.org/oclc/31910072","WorldCat Record")</f>
        <v>WorldCat Record</v>
      </c>
      <c r="AU24" s="3" t="s">
        <v>382</v>
      </c>
      <c r="AV24" s="3" t="s">
        <v>383</v>
      </c>
      <c r="AW24" s="3" t="s">
        <v>384</v>
      </c>
      <c r="AX24" s="3" t="s">
        <v>384</v>
      </c>
      <c r="AY24" s="3" t="s">
        <v>385</v>
      </c>
      <c r="AZ24" s="3" t="s">
        <v>73</v>
      </c>
      <c r="BB24" s="3" t="s">
        <v>386</v>
      </c>
      <c r="BC24" s="3" t="s">
        <v>387</v>
      </c>
      <c r="BD24" s="3" t="s">
        <v>388</v>
      </c>
    </row>
    <row r="25" spans="1:56" ht="40.5" customHeight="1" x14ac:dyDescent="0.25">
      <c r="A25" s="7" t="s">
        <v>58</v>
      </c>
      <c r="B25" s="2" t="s">
        <v>389</v>
      </c>
      <c r="C25" s="2" t="s">
        <v>390</v>
      </c>
      <c r="D25" s="2" t="s">
        <v>391</v>
      </c>
      <c r="E25" s="3" t="s">
        <v>392</v>
      </c>
      <c r="F25" s="3" t="s">
        <v>58</v>
      </c>
      <c r="G25" s="3" t="s">
        <v>59</v>
      </c>
      <c r="H25" s="3" t="s">
        <v>58</v>
      </c>
      <c r="I25" s="3" t="s">
        <v>58</v>
      </c>
      <c r="J25" s="3" t="s">
        <v>60</v>
      </c>
      <c r="K25" s="2" t="s">
        <v>393</v>
      </c>
      <c r="L25" s="2" t="s">
        <v>394</v>
      </c>
      <c r="M25" s="3" t="s">
        <v>395</v>
      </c>
      <c r="O25" s="3" t="s">
        <v>64</v>
      </c>
      <c r="P25" s="3" t="s">
        <v>396</v>
      </c>
      <c r="Q25" s="2" t="s">
        <v>397</v>
      </c>
      <c r="R25" s="3" t="s">
        <v>66</v>
      </c>
      <c r="S25" s="4">
        <v>2</v>
      </c>
      <c r="T25" s="4">
        <v>2</v>
      </c>
      <c r="U25" s="5" t="s">
        <v>398</v>
      </c>
      <c r="V25" s="5" t="s">
        <v>398</v>
      </c>
      <c r="W25" s="5" t="s">
        <v>399</v>
      </c>
      <c r="X25" s="5" t="s">
        <v>399</v>
      </c>
      <c r="Y25" s="4">
        <v>312</v>
      </c>
      <c r="Z25" s="4">
        <v>210</v>
      </c>
      <c r="AA25" s="4">
        <v>256</v>
      </c>
      <c r="AB25" s="4">
        <v>1</v>
      </c>
      <c r="AC25" s="4">
        <v>1</v>
      </c>
      <c r="AD25" s="4">
        <v>6</v>
      </c>
      <c r="AE25" s="4">
        <v>7</v>
      </c>
      <c r="AF25" s="4">
        <v>0</v>
      </c>
      <c r="AG25" s="4">
        <v>1</v>
      </c>
      <c r="AH25" s="4">
        <v>4</v>
      </c>
      <c r="AI25" s="4">
        <v>4</v>
      </c>
      <c r="AJ25" s="4">
        <v>4</v>
      </c>
      <c r="AK25" s="4">
        <v>5</v>
      </c>
      <c r="AL25" s="4">
        <v>0</v>
      </c>
      <c r="AM25" s="4">
        <v>0</v>
      </c>
      <c r="AN25" s="4">
        <v>0</v>
      </c>
      <c r="AO25" s="4">
        <v>0</v>
      </c>
      <c r="AP25" s="3" t="s">
        <v>58</v>
      </c>
      <c r="AQ25" s="3" t="s">
        <v>85</v>
      </c>
      <c r="AR25" s="6" t="str">
        <f>HYPERLINK("http://catalog.hathitrust.org/Record/001506959","HathiTrust Record")</f>
        <v>HathiTrust Record</v>
      </c>
      <c r="AS25" s="6" t="str">
        <f>HYPERLINK("https://creighton-primo.hosted.exlibrisgroup.com/primo-explore/search?tab=default_tab&amp;search_scope=EVERYTHING&amp;vid=01CRU&amp;lang=en_US&amp;offset=0&amp;query=any,contains,991000853779702656","Catalog Record")</f>
        <v>Catalog Record</v>
      </c>
      <c r="AT25" s="6" t="str">
        <f>HYPERLINK("http://www.worldcat.org/oclc/221192","WorldCat Record")</f>
        <v>WorldCat Record</v>
      </c>
      <c r="AU25" s="3" t="s">
        <v>400</v>
      </c>
      <c r="AV25" s="3" t="s">
        <v>401</v>
      </c>
      <c r="AW25" s="3" t="s">
        <v>402</v>
      </c>
      <c r="AX25" s="3" t="s">
        <v>402</v>
      </c>
      <c r="AY25" s="3" t="s">
        <v>403</v>
      </c>
      <c r="AZ25" s="3" t="s">
        <v>73</v>
      </c>
      <c r="BC25" s="3" t="s">
        <v>404</v>
      </c>
      <c r="BD25" s="3" t="s">
        <v>405</v>
      </c>
    </row>
    <row r="26" spans="1:56" ht="40.5" customHeight="1" x14ac:dyDescent="0.25">
      <c r="A26" s="7" t="s">
        <v>58</v>
      </c>
      <c r="B26" s="2" t="s">
        <v>406</v>
      </c>
      <c r="C26" s="2" t="s">
        <v>407</v>
      </c>
      <c r="D26" s="2" t="s">
        <v>408</v>
      </c>
      <c r="F26" s="3" t="s">
        <v>58</v>
      </c>
      <c r="G26" s="3" t="s">
        <v>59</v>
      </c>
      <c r="H26" s="3" t="s">
        <v>58</v>
      </c>
      <c r="I26" s="3" t="s">
        <v>58</v>
      </c>
      <c r="J26" s="3" t="s">
        <v>60</v>
      </c>
      <c r="L26" s="2" t="s">
        <v>409</v>
      </c>
      <c r="M26" s="3" t="s">
        <v>63</v>
      </c>
      <c r="O26" s="3" t="s">
        <v>64</v>
      </c>
      <c r="P26" s="3" t="s">
        <v>65</v>
      </c>
      <c r="Q26" s="2" t="s">
        <v>410</v>
      </c>
      <c r="R26" s="3" t="s">
        <v>66</v>
      </c>
      <c r="S26" s="4">
        <v>1</v>
      </c>
      <c r="T26" s="4">
        <v>1</v>
      </c>
      <c r="U26" s="5" t="s">
        <v>411</v>
      </c>
      <c r="V26" s="5" t="s">
        <v>411</v>
      </c>
      <c r="W26" s="5" t="s">
        <v>290</v>
      </c>
      <c r="X26" s="5" t="s">
        <v>290</v>
      </c>
      <c r="Y26" s="4">
        <v>142</v>
      </c>
      <c r="Z26" s="4">
        <v>106</v>
      </c>
      <c r="AA26" s="4">
        <v>106</v>
      </c>
      <c r="AB26" s="4">
        <v>2</v>
      </c>
      <c r="AC26" s="4">
        <v>2</v>
      </c>
      <c r="AD26" s="4">
        <v>1</v>
      </c>
      <c r="AE26" s="4">
        <v>1</v>
      </c>
      <c r="AF26" s="4">
        <v>0</v>
      </c>
      <c r="AG26" s="4">
        <v>0</v>
      </c>
      <c r="AH26" s="4">
        <v>0</v>
      </c>
      <c r="AI26" s="4">
        <v>0</v>
      </c>
      <c r="AJ26" s="4">
        <v>0</v>
      </c>
      <c r="AK26" s="4">
        <v>0</v>
      </c>
      <c r="AL26" s="4">
        <v>1</v>
      </c>
      <c r="AM26" s="4">
        <v>1</v>
      </c>
      <c r="AN26" s="4">
        <v>0</v>
      </c>
      <c r="AO26" s="4">
        <v>0</v>
      </c>
      <c r="AP26" s="3" t="s">
        <v>58</v>
      </c>
      <c r="AQ26" s="3" t="s">
        <v>85</v>
      </c>
      <c r="AR26" s="6" t="str">
        <f>HYPERLINK("http://catalog.hathitrust.org/Record/000145573","HathiTrust Record")</f>
        <v>HathiTrust Record</v>
      </c>
      <c r="AS26" s="6" t="str">
        <f>HYPERLINK("https://creighton-primo.hosted.exlibrisgroup.com/primo-explore/search?tab=default_tab&amp;search_scope=EVERYTHING&amp;vid=01CRU&amp;lang=en_US&amp;offset=0&amp;query=any,contains,991000917889702656","Catalog Record")</f>
        <v>Catalog Record</v>
      </c>
      <c r="AT26" s="6" t="str">
        <f>HYPERLINK("http://www.worldcat.org/oclc/7572690","WorldCat Record")</f>
        <v>WorldCat Record</v>
      </c>
      <c r="AU26" s="3" t="s">
        <v>412</v>
      </c>
      <c r="AV26" s="3" t="s">
        <v>413</v>
      </c>
      <c r="AW26" s="3" t="s">
        <v>414</v>
      </c>
      <c r="AX26" s="3" t="s">
        <v>414</v>
      </c>
      <c r="AY26" s="3" t="s">
        <v>415</v>
      </c>
      <c r="AZ26" s="3" t="s">
        <v>73</v>
      </c>
      <c r="BB26" s="3" t="s">
        <v>416</v>
      </c>
      <c r="BC26" s="3" t="s">
        <v>417</v>
      </c>
      <c r="BD26" s="3" t="s">
        <v>418</v>
      </c>
    </row>
    <row r="27" spans="1:56" ht="40.5" customHeight="1" x14ac:dyDescent="0.25">
      <c r="A27" s="7" t="s">
        <v>58</v>
      </c>
      <c r="B27" s="2" t="s">
        <v>419</v>
      </c>
      <c r="C27" s="2" t="s">
        <v>420</v>
      </c>
      <c r="D27" s="2" t="s">
        <v>421</v>
      </c>
      <c r="E27" s="3" t="s">
        <v>422</v>
      </c>
      <c r="F27" s="3" t="s">
        <v>58</v>
      </c>
      <c r="G27" s="3" t="s">
        <v>59</v>
      </c>
      <c r="H27" s="3" t="s">
        <v>58</v>
      </c>
      <c r="I27" s="3" t="s">
        <v>58</v>
      </c>
      <c r="J27" s="3" t="s">
        <v>60</v>
      </c>
      <c r="L27" s="2" t="s">
        <v>423</v>
      </c>
      <c r="M27" s="3" t="s">
        <v>424</v>
      </c>
      <c r="O27" s="3" t="s">
        <v>64</v>
      </c>
      <c r="P27" s="3" t="s">
        <v>230</v>
      </c>
      <c r="Q27" s="2" t="s">
        <v>425</v>
      </c>
      <c r="R27" s="3" t="s">
        <v>66</v>
      </c>
      <c r="S27" s="4">
        <v>5</v>
      </c>
      <c r="T27" s="4">
        <v>5</v>
      </c>
      <c r="U27" s="5" t="s">
        <v>426</v>
      </c>
      <c r="V27" s="5" t="s">
        <v>426</v>
      </c>
      <c r="W27" s="5" t="s">
        <v>427</v>
      </c>
      <c r="X27" s="5" t="s">
        <v>427</v>
      </c>
      <c r="Y27" s="4">
        <v>380</v>
      </c>
      <c r="Z27" s="4">
        <v>244</v>
      </c>
      <c r="AA27" s="4">
        <v>278</v>
      </c>
      <c r="AB27" s="4">
        <v>2</v>
      </c>
      <c r="AC27" s="4">
        <v>2</v>
      </c>
      <c r="AD27" s="4">
        <v>10</v>
      </c>
      <c r="AE27" s="4">
        <v>10</v>
      </c>
      <c r="AF27" s="4">
        <v>5</v>
      </c>
      <c r="AG27" s="4">
        <v>5</v>
      </c>
      <c r="AH27" s="4">
        <v>3</v>
      </c>
      <c r="AI27" s="4">
        <v>3</v>
      </c>
      <c r="AJ27" s="4">
        <v>6</v>
      </c>
      <c r="AK27" s="4">
        <v>6</v>
      </c>
      <c r="AL27" s="4">
        <v>1</v>
      </c>
      <c r="AM27" s="4">
        <v>1</v>
      </c>
      <c r="AN27" s="4">
        <v>0</v>
      </c>
      <c r="AO27" s="4">
        <v>0</v>
      </c>
      <c r="AP27" s="3" t="s">
        <v>58</v>
      </c>
      <c r="AQ27" s="3" t="s">
        <v>85</v>
      </c>
      <c r="AR27" s="6" t="str">
        <f>HYPERLINK("http://catalog.hathitrust.org/Record/000382802","HathiTrust Record")</f>
        <v>HathiTrust Record</v>
      </c>
      <c r="AS27" s="6" t="str">
        <f>HYPERLINK("https://creighton-primo.hosted.exlibrisgroup.com/primo-explore/search?tab=default_tab&amp;search_scope=EVERYTHING&amp;vid=01CRU&amp;lang=en_US&amp;offset=0&amp;query=any,contains,991001240229702656","Catalog Record")</f>
        <v>Catalog Record</v>
      </c>
      <c r="AT27" s="6" t="str">
        <f>HYPERLINK("http://www.worldcat.org/oclc/12614074","WorldCat Record")</f>
        <v>WorldCat Record</v>
      </c>
      <c r="AU27" s="3" t="s">
        <v>428</v>
      </c>
      <c r="AV27" s="3" t="s">
        <v>429</v>
      </c>
      <c r="AW27" s="3" t="s">
        <v>430</v>
      </c>
      <c r="AX27" s="3" t="s">
        <v>430</v>
      </c>
      <c r="AY27" s="3" t="s">
        <v>431</v>
      </c>
      <c r="AZ27" s="3" t="s">
        <v>73</v>
      </c>
      <c r="BB27" s="3" t="s">
        <v>432</v>
      </c>
      <c r="BC27" s="3" t="s">
        <v>433</v>
      </c>
      <c r="BD27" s="3" t="s">
        <v>434</v>
      </c>
    </row>
    <row r="28" spans="1:56" ht="40.5" customHeight="1" x14ac:dyDescent="0.25">
      <c r="A28" s="7" t="s">
        <v>58</v>
      </c>
      <c r="B28" s="2" t="s">
        <v>435</v>
      </c>
      <c r="C28" s="2" t="s">
        <v>436</v>
      </c>
      <c r="D28" s="2" t="s">
        <v>437</v>
      </c>
      <c r="E28" s="3" t="s">
        <v>438</v>
      </c>
      <c r="F28" s="3" t="s">
        <v>58</v>
      </c>
      <c r="G28" s="3" t="s">
        <v>59</v>
      </c>
      <c r="H28" s="3" t="s">
        <v>58</v>
      </c>
      <c r="I28" s="3" t="s">
        <v>58</v>
      </c>
      <c r="J28" s="3" t="s">
        <v>60</v>
      </c>
      <c r="L28" s="2" t="s">
        <v>439</v>
      </c>
      <c r="M28" s="3" t="s">
        <v>182</v>
      </c>
      <c r="O28" s="3" t="s">
        <v>64</v>
      </c>
      <c r="P28" s="3" t="s">
        <v>230</v>
      </c>
      <c r="Q28" s="2" t="s">
        <v>440</v>
      </c>
      <c r="R28" s="3" t="s">
        <v>66</v>
      </c>
      <c r="S28" s="4">
        <v>3</v>
      </c>
      <c r="T28" s="4">
        <v>3</v>
      </c>
      <c r="U28" s="5" t="s">
        <v>426</v>
      </c>
      <c r="V28" s="5" t="s">
        <v>426</v>
      </c>
      <c r="W28" s="5" t="s">
        <v>427</v>
      </c>
      <c r="X28" s="5" t="s">
        <v>427</v>
      </c>
      <c r="Y28" s="4">
        <v>307</v>
      </c>
      <c r="Z28" s="4">
        <v>205</v>
      </c>
      <c r="AA28" s="4">
        <v>247</v>
      </c>
      <c r="AB28" s="4">
        <v>2</v>
      </c>
      <c r="AC28" s="4">
        <v>2</v>
      </c>
      <c r="AD28" s="4">
        <v>10</v>
      </c>
      <c r="AE28" s="4">
        <v>11</v>
      </c>
      <c r="AF28" s="4">
        <v>5</v>
      </c>
      <c r="AG28" s="4">
        <v>6</v>
      </c>
      <c r="AH28" s="4">
        <v>3</v>
      </c>
      <c r="AI28" s="4">
        <v>4</v>
      </c>
      <c r="AJ28" s="4">
        <v>6</v>
      </c>
      <c r="AK28" s="4">
        <v>6</v>
      </c>
      <c r="AL28" s="4">
        <v>1</v>
      </c>
      <c r="AM28" s="4">
        <v>1</v>
      </c>
      <c r="AN28" s="4">
        <v>0</v>
      </c>
      <c r="AO28" s="4">
        <v>0</v>
      </c>
      <c r="AP28" s="3" t="s">
        <v>58</v>
      </c>
      <c r="AQ28" s="3" t="s">
        <v>85</v>
      </c>
      <c r="AR28" s="6" t="str">
        <f>HYPERLINK("http://catalog.hathitrust.org/Record/000913267","HathiTrust Record")</f>
        <v>HathiTrust Record</v>
      </c>
      <c r="AS28" s="6" t="str">
        <f>HYPERLINK("https://creighton-primo.hosted.exlibrisgroup.com/primo-explore/search?tab=default_tab&amp;search_scope=EVERYTHING&amp;vid=01CRU&amp;lang=en_US&amp;offset=0&amp;query=any,contains,991001240059702656","Catalog Record")</f>
        <v>Catalog Record</v>
      </c>
      <c r="AT28" s="6" t="str">
        <f>HYPERLINK("http://www.worldcat.org/oclc/18782154","WorldCat Record")</f>
        <v>WorldCat Record</v>
      </c>
      <c r="AU28" s="3" t="s">
        <v>441</v>
      </c>
      <c r="AV28" s="3" t="s">
        <v>442</v>
      </c>
      <c r="AW28" s="3" t="s">
        <v>443</v>
      </c>
      <c r="AX28" s="3" t="s">
        <v>443</v>
      </c>
      <c r="AY28" s="3" t="s">
        <v>444</v>
      </c>
      <c r="AZ28" s="3" t="s">
        <v>73</v>
      </c>
      <c r="BB28" s="3" t="s">
        <v>445</v>
      </c>
      <c r="BC28" s="3" t="s">
        <v>446</v>
      </c>
      <c r="BD28" s="3" t="s">
        <v>447</v>
      </c>
    </row>
    <row r="29" spans="1:56" ht="40.5" customHeight="1" x14ac:dyDescent="0.25">
      <c r="A29" s="7" t="s">
        <v>58</v>
      </c>
      <c r="B29" s="2" t="s">
        <v>448</v>
      </c>
      <c r="C29" s="2" t="s">
        <v>449</v>
      </c>
      <c r="D29" s="2" t="s">
        <v>450</v>
      </c>
      <c r="F29" s="3" t="s">
        <v>58</v>
      </c>
      <c r="G29" s="3" t="s">
        <v>59</v>
      </c>
      <c r="H29" s="3" t="s">
        <v>58</v>
      </c>
      <c r="I29" s="3" t="s">
        <v>58</v>
      </c>
      <c r="J29" s="3" t="s">
        <v>60</v>
      </c>
      <c r="K29" s="2" t="s">
        <v>451</v>
      </c>
      <c r="L29" s="2" t="s">
        <v>452</v>
      </c>
      <c r="M29" s="3" t="s">
        <v>63</v>
      </c>
      <c r="N29" s="2" t="s">
        <v>453</v>
      </c>
      <c r="O29" s="3" t="s">
        <v>64</v>
      </c>
      <c r="P29" s="3" t="s">
        <v>65</v>
      </c>
      <c r="R29" s="3" t="s">
        <v>66</v>
      </c>
      <c r="S29" s="4">
        <v>23</v>
      </c>
      <c r="T29" s="4">
        <v>23</v>
      </c>
      <c r="U29" s="5" t="s">
        <v>454</v>
      </c>
      <c r="V29" s="5" t="s">
        <v>454</v>
      </c>
      <c r="W29" s="5" t="s">
        <v>215</v>
      </c>
      <c r="X29" s="5" t="s">
        <v>215</v>
      </c>
      <c r="Y29" s="4">
        <v>331</v>
      </c>
      <c r="Z29" s="4">
        <v>246</v>
      </c>
      <c r="AA29" s="4">
        <v>491</v>
      </c>
      <c r="AB29" s="4">
        <v>4</v>
      </c>
      <c r="AC29" s="4">
        <v>7</v>
      </c>
      <c r="AD29" s="4">
        <v>8</v>
      </c>
      <c r="AE29" s="4">
        <v>21</v>
      </c>
      <c r="AF29" s="4">
        <v>3</v>
      </c>
      <c r="AG29" s="4">
        <v>6</v>
      </c>
      <c r="AH29" s="4">
        <v>1</v>
      </c>
      <c r="AI29" s="4">
        <v>4</v>
      </c>
      <c r="AJ29" s="4">
        <v>4</v>
      </c>
      <c r="AK29" s="4">
        <v>12</v>
      </c>
      <c r="AL29" s="4">
        <v>2</v>
      </c>
      <c r="AM29" s="4">
        <v>5</v>
      </c>
      <c r="AN29" s="4">
        <v>0</v>
      </c>
      <c r="AO29" s="4">
        <v>0</v>
      </c>
      <c r="AP29" s="3" t="s">
        <v>58</v>
      </c>
      <c r="AQ29" s="3" t="s">
        <v>85</v>
      </c>
      <c r="AR29" s="6" t="str">
        <f>HYPERLINK("http://catalog.hathitrust.org/Record/000265540","HathiTrust Record")</f>
        <v>HathiTrust Record</v>
      </c>
      <c r="AS29" s="6" t="str">
        <f>HYPERLINK("https://creighton-primo.hosted.exlibrisgroup.com/primo-explore/search?tab=default_tab&amp;search_scope=EVERYTHING&amp;vid=01CRU&amp;lang=en_US&amp;offset=0&amp;query=any,contains,991000758649702656","Catalog Record")</f>
        <v>Catalog Record</v>
      </c>
      <c r="AT29" s="6" t="str">
        <f>HYPERLINK("http://www.worldcat.org/oclc/7774051","WorldCat Record")</f>
        <v>WorldCat Record</v>
      </c>
      <c r="AU29" s="3" t="s">
        <v>455</v>
      </c>
      <c r="AV29" s="3" t="s">
        <v>456</v>
      </c>
      <c r="AW29" s="3" t="s">
        <v>457</v>
      </c>
      <c r="AX29" s="3" t="s">
        <v>457</v>
      </c>
      <c r="AY29" s="3" t="s">
        <v>458</v>
      </c>
      <c r="AZ29" s="3" t="s">
        <v>73</v>
      </c>
      <c r="BB29" s="3" t="s">
        <v>459</v>
      </c>
      <c r="BC29" s="3" t="s">
        <v>460</v>
      </c>
      <c r="BD29" s="3" t="s">
        <v>461</v>
      </c>
    </row>
    <row r="30" spans="1:56" ht="40.5" customHeight="1" x14ac:dyDescent="0.25">
      <c r="A30" s="7" t="s">
        <v>58</v>
      </c>
      <c r="B30" s="2" t="s">
        <v>462</v>
      </c>
      <c r="C30" s="2" t="s">
        <v>463</v>
      </c>
      <c r="D30" s="2" t="s">
        <v>464</v>
      </c>
      <c r="F30" s="3" t="s">
        <v>58</v>
      </c>
      <c r="G30" s="3" t="s">
        <v>59</v>
      </c>
      <c r="H30" s="3" t="s">
        <v>58</v>
      </c>
      <c r="I30" s="3" t="s">
        <v>58</v>
      </c>
      <c r="J30" s="3" t="s">
        <v>60</v>
      </c>
      <c r="K30" s="2" t="s">
        <v>465</v>
      </c>
      <c r="L30" s="2" t="s">
        <v>466</v>
      </c>
      <c r="M30" s="3" t="s">
        <v>467</v>
      </c>
      <c r="N30" s="2" t="s">
        <v>198</v>
      </c>
      <c r="O30" s="3" t="s">
        <v>64</v>
      </c>
      <c r="P30" s="3" t="s">
        <v>135</v>
      </c>
      <c r="Q30" s="2" t="s">
        <v>468</v>
      </c>
      <c r="R30" s="3" t="s">
        <v>66</v>
      </c>
      <c r="S30" s="4">
        <v>4</v>
      </c>
      <c r="T30" s="4">
        <v>4</v>
      </c>
      <c r="U30" s="5" t="s">
        <v>469</v>
      </c>
      <c r="V30" s="5" t="s">
        <v>469</v>
      </c>
      <c r="W30" s="5" t="s">
        <v>290</v>
      </c>
      <c r="X30" s="5" t="s">
        <v>290</v>
      </c>
      <c r="Y30" s="4">
        <v>190</v>
      </c>
      <c r="Z30" s="4">
        <v>120</v>
      </c>
      <c r="AA30" s="4">
        <v>339</v>
      </c>
      <c r="AB30" s="4">
        <v>1</v>
      </c>
      <c r="AC30" s="4">
        <v>6</v>
      </c>
      <c r="AD30" s="4">
        <v>5</v>
      </c>
      <c r="AE30" s="4">
        <v>20</v>
      </c>
      <c r="AF30" s="4">
        <v>1</v>
      </c>
      <c r="AG30" s="4">
        <v>7</v>
      </c>
      <c r="AH30" s="4">
        <v>2</v>
      </c>
      <c r="AI30" s="4">
        <v>4</v>
      </c>
      <c r="AJ30" s="4">
        <v>4</v>
      </c>
      <c r="AK30" s="4">
        <v>10</v>
      </c>
      <c r="AL30" s="4">
        <v>0</v>
      </c>
      <c r="AM30" s="4">
        <v>5</v>
      </c>
      <c r="AN30" s="4">
        <v>0</v>
      </c>
      <c r="AO30" s="4">
        <v>0</v>
      </c>
      <c r="AP30" s="3" t="s">
        <v>58</v>
      </c>
      <c r="AQ30" s="3" t="s">
        <v>58</v>
      </c>
      <c r="AS30" s="6" t="str">
        <f>HYPERLINK("https://creighton-primo.hosted.exlibrisgroup.com/primo-explore/search?tab=default_tab&amp;search_scope=EVERYTHING&amp;vid=01CRU&amp;lang=en_US&amp;offset=0&amp;query=any,contains,991000854309702656","Catalog Record")</f>
        <v>Catalog Record</v>
      </c>
      <c r="AT30" s="6" t="str">
        <f>HYPERLINK("http://www.worldcat.org/oclc/7815574","WorldCat Record")</f>
        <v>WorldCat Record</v>
      </c>
      <c r="AU30" s="3" t="s">
        <v>470</v>
      </c>
      <c r="AV30" s="3" t="s">
        <v>471</v>
      </c>
      <c r="AW30" s="3" t="s">
        <v>472</v>
      </c>
      <c r="AX30" s="3" t="s">
        <v>472</v>
      </c>
      <c r="AY30" s="3" t="s">
        <v>473</v>
      </c>
      <c r="AZ30" s="3" t="s">
        <v>73</v>
      </c>
      <c r="BB30" s="3" t="s">
        <v>474</v>
      </c>
      <c r="BC30" s="3" t="s">
        <v>475</v>
      </c>
      <c r="BD30" s="3" t="s">
        <v>476</v>
      </c>
    </row>
    <row r="31" spans="1:56" ht="40.5" customHeight="1" x14ac:dyDescent="0.25">
      <c r="A31" s="7" t="s">
        <v>58</v>
      </c>
      <c r="B31" s="2" t="s">
        <v>477</v>
      </c>
      <c r="C31" s="2" t="s">
        <v>478</v>
      </c>
      <c r="D31" s="2" t="s">
        <v>479</v>
      </c>
      <c r="F31" s="3" t="s">
        <v>58</v>
      </c>
      <c r="G31" s="3" t="s">
        <v>59</v>
      </c>
      <c r="H31" s="3" t="s">
        <v>58</v>
      </c>
      <c r="I31" s="3" t="s">
        <v>58</v>
      </c>
      <c r="J31" s="3" t="s">
        <v>60</v>
      </c>
      <c r="K31" s="2" t="s">
        <v>480</v>
      </c>
      <c r="L31" s="2" t="s">
        <v>481</v>
      </c>
      <c r="M31" s="3" t="s">
        <v>482</v>
      </c>
      <c r="O31" s="3" t="s">
        <v>64</v>
      </c>
      <c r="P31" s="3" t="s">
        <v>135</v>
      </c>
      <c r="Q31" s="2" t="s">
        <v>468</v>
      </c>
      <c r="R31" s="3" t="s">
        <v>66</v>
      </c>
      <c r="S31" s="4">
        <v>3</v>
      </c>
      <c r="T31" s="4">
        <v>3</v>
      </c>
      <c r="U31" s="5" t="s">
        <v>483</v>
      </c>
      <c r="V31" s="5" t="s">
        <v>483</v>
      </c>
      <c r="W31" s="5" t="s">
        <v>290</v>
      </c>
      <c r="X31" s="5" t="s">
        <v>290</v>
      </c>
      <c r="Y31" s="4">
        <v>461</v>
      </c>
      <c r="Z31" s="4">
        <v>330</v>
      </c>
      <c r="AA31" s="4">
        <v>360</v>
      </c>
      <c r="AB31" s="4">
        <v>4</v>
      </c>
      <c r="AC31" s="4">
        <v>4</v>
      </c>
      <c r="AD31" s="4">
        <v>12</v>
      </c>
      <c r="AE31" s="4">
        <v>14</v>
      </c>
      <c r="AF31" s="4">
        <v>5</v>
      </c>
      <c r="AG31" s="4">
        <v>7</v>
      </c>
      <c r="AH31" s="4">
        <v>2</v>
      </c>
      <c r="AI31" s="4">
        <v>2</v>
      </c>
      <c r="AJ31" s="4">
        <v>4</v>
      </c>
      <c r="AK31" s="4">
        <v>6</v>
      </c>
      <c r="AL31" s="4">
        <v>3</v>
      </c>
      <c r="AM31" s="4">
        <v>3</v>
      </c>
      <c r="AN31" s="4">
        <v>0</v>
      </c>
      <c r="AO31" s="4">
        <v>0</v>
      </c>
      <c r="AP31" s="3" t="s">
        <v>58</v>
      </c>
      <c r="AQ31" s="3" t="s">
        <v>85</v>
      </c>
      <c r="AR31" s="6" t="str">
        <f>HYPERLINK("http://catalog.hathitrust.org/Record/000083036","HathiTrust Record")</f>
        <v>HathiTrust Record</v>
      </c>
      <c r="AS31" s="6" t="str">
        <f>HYPERLINK("https://creighton-primo.hosted.exlibrisgroup.com/primo-explore/search?tab=default_tab&amp;search_scope=EVERYTHING&amp;vid=01CRU&amp;lang=en_US&amp;offset=0&amp;query=any,contains,991000854489702656","Catalog Record")</f>
        <v>Catalog Record</v>
      </c>
      <c r="AT31" s="6" t="str">
        <f>HYPERLINK("http://www.worldcat.org/oclc/2508313","WorldCat Record")</f>
        <v>WorldCat Record</v>
      </c>
      <c r="AU31" s="3" t="s">
        <v>484</v>
      </c>
      <c r="AV31" s="3" t="s">
        <v>485</v>
      </c>
      <c r="AW31" s="3" t="s">
        <v>486</v>
      </c>
      <c r="AX31" s="3" t="s">
        <v>486</v>
      </c>
      <c r="AY31" s="3" t="s">
        <v>487</v>
      </c>
      <c r="AZ31" s="3" t="s">
        <v>73</v>
      </c>
      <c r="BB31" s="3" t="s">
        <v>488</v>
      </c>
      <c r="BC31" s="3" t="s">
        <v>489</v>
      </c>
      <c r="BD31" s="3" t="s">
        <v>490</v>
      </c>
    </row>
    <row r="32" spans="1:56" ht="40.5" customHeight="1" x14ac:dyDescent="0.25">
      <c r="A32" s="7" t="s">
        <v>58</v>
      </c>
      <c r="B32" s="2" t="s">
        <v>491</v>
      </c>
      <c r="C32" s="2" t="s">
        <v>492</v>
      </c>
      <c r="D32" s="2" t="s">
        <v>493</v>
      </c>
      <c r="F32" s="3" t="s">
        <v>58</v>
      </c>
      <c r="G32" s="3" t="s">
        <v>59</v>
      </c>
      <c r="H32" s="3" t="s">
        <v>58</v>
      </c>
      <c r="I32" s="3" t="s">
        <v>58</v>
      </c>
      <c r="J32" s="3" t="s">
        <v>60</v>
      </c>
      <c r="K32" s="2" t="s">
        <v>494</v>
      </c>
      <c r="L32" s="2" t="s">
        <v>495</v>
      </c>
      <c r="M32" s="3" t="s">
        <v>496</v>
      </c>
      <c r="O32" s="3" t="s">
        <v>64</v>
      </c>
      <c r="P32" s="3" t="s">
        <v>135</v>
      </c>
      <c r="Q32" s="2" t="s">
        <v>468</v>
      </c>
      <c r="R32" s="3" t="s">
        <v>66</v>
      </c>
      <c r="S32" s="4">
        <v>5</v>
      </c>
      <c r="T32" s="4">
        <v>5</v>
      </c>
      <c r="U32" s="5" t="s">
        <v>497</v>
      </c>
      <c r="V32" s="5" t="s">
        <v>497</v>
      </c>
      <c r="W32" s="5" t="s">
        <v>290</v>
      </c>
      <c r="X32" s="5" t="s">
        <v>290</v>
      </c>
      <c r="Y32" s="4">
        <v>294</v>
      </c>
      <c r="Z32" s="4">
        <v>206</v>
      </c>
      <c r="AA32" s="4">
        <v>213</v>
      </c>
      <c r="AB32" s="4">
        <v>2</v>
      </c>
      <c r="AC32" s="4">
        <v>2</v>
      </c>
      <c r="AD32" s="4">
        <v>7</v>
      </c>
      <c r="AE32" s="4">
        <v>7</v>
      </c>
      <c r="AF32" s="4">
        <v>2</v>
      </c>
      <c r="AG32" s="4">
        <v>2</v>
      </c>
      <c r="AH32" s="4">
        <v>2</v>
      </c>
      <c r="AI32" s="4">
        <v>2</v>
      </c>
      <c r="AJ32" s="4">
        <v>3</v>
      </c>
      <c r="AK32" s="4">
        <v>3</v>
      </c>
      <c r="AL32" s="4">
        <v>1</v>
      </c>
      <c r="AM32" s="4">
        <v>1</v>
      </c>
      <c r="AN32" s="4">
        <v>0</v>
      </c>
      <c r="AO32" s="4">
        <v>0</v>
      </c>
      <c r="AP32" s="3" t="s">
        <v>58</v>
      </c>
      <c r="AQ32" s="3" t="s">
        <v>85</v>
      </c>
      <c r="AR32" s="6" t="str">
        <f>HYPERLINK("http://catalog.hathitrust.org/Record/000570423","HathiTrust Record")</f>
        <v>HathiTrust Record</v>
      </c>
      <c r="AS32" s="6" t="str">
        <f>HYPERLINK("https://creighton-primo.hosted.exlibrisgroup.com/primo-explore/search?tab=default_tab&amp;search_scope=EVERYTHING&amp;vid=01CRU&amp;lang=en_US&amp;offset=0&amp;query=any,contains,991000854239702656","Catalog Record")</f>
        <v>Catalog Record</v>
      </c>
      <c r="AT32" s="6" t="str">
        <f>HYPERLINK("http://www.worldcat.org/oclc/10752379","WorldCat Record")</f>
        <v>WorldCat Record</v>
      </c>
      <c r="AU32" s="3" t="s">
        <v>498</v>
      </c>
      <c r="AV32" s="3" t="s">
        <v>499</v>
      </c>
      <c r="AW32" s="3" t="s">
        <v>500</v>
      </c>
      <c r="AX32" s="3" t="s">
        <v>500</v>
      </c>
      <c r="AY32" s="3" t="s">
        <v>501</v>
      </c>
      <c r="AZ32" s="3" t="s">
        <v>73</v>
      </c>
      <c r="BB32" s="3" t="s">
        <v>502</v>
      </c>
      <c r="BC32" s="3" t="s">
        <v>503</v>
      </c>
      <c r="BD32" s="3" t="s">
        <v>504</v>
      </c>
    </row>
    <row r="33" spans="1:56" ht="40.5" customHeight="1" x14ac:dyDescent="0.25">
      <c r="A33" s="7" t="s">
        <v>58</v>
      </c>
      <c r="B33" s="2" t="s">
        <v>505</v>
      </c>
      <c r="C33" s="2" t="s">
        <v>506</v>
      </c>
      <c r="D33" s="2" t="s">
        <v>507</v>
      </c>
      <c r="F33" s="3" t="s">
        <v>58</v>
      </c>
      <c r="G33" s="3" t="s">
        <v>59</v>
      </c>
      <c r="H33" s="3" t="s">
        <v>58</v>
      </c>
      <c r="I33" s="3" t="s">
        <v>58</v>
      </c>
      <c r="J33" s="3" t="s">
        <v>60</v>
      </c>
      <c r="K33" s="2" t="s">
        <v>508</v>
      </c>
      <c r="L33" s="2" t="s">
        <v>509</v>
      </c>
      <c r="M33" s="3" t="s">
        <v>167</v>
      </c>
      <c r="O33" s="3" t="s">
        <v>64</v>
      </c>
      <c r="P33" s="3" t="s">
        <v>135</v>
      </c>
      <c r="Q33" s="2" t="s">
        <v>468</v>
      </c>
      <c r="R33" s="3" t="s">
        <v>66</v>
      </c>
      <c r="S33" s="4">
        <v>5</v>
      </c>
      <c r="T33" s="4">
        <v>5</v>
      </c>
      <c r="U33" s="5" t="s">
        <v>510</v>
      </c>
      <c r="V33" s="5" t="s">
        <v>510</v>
      </c>
      <c r="W33" s="5" t="s">
        <v>511</v>
      </c>
      <c r="X33" s="5" t="s">
        <v>511</v>
      </c>
      <c r="Y33" s="4">
        <v>374</v>
      </c>
      <c r="Z33" s="4">
        <v>246</v>
      </c>
      <c r="AA33" s="4">
        <v>253</v>
      </c>
      <c r="AB33" s="4">
        <v>2</v>
      </c>
      <c r="AC33" s="4">
        <v>2</v>
      </c>
      <c r="AD33" s="4">
        <v>9</v>
      </c>
      <c r="AE33" s="4">
        <v>9</v>
      </c>
      <c r="AF33" s="4">
        <v>3</v>
      </c>
      <c r="AG33" s="4">
        <v>3</v>
      </c>
      <c r="AH33" s="4">
        <v>3</v>
      </c>
      <c r="AI33" s="4">
        <v>3</v>
      </c>
      <c r="AJ33" s="4">
        <v>5</v>
      </c>
      <c r="AK33" s="4">
        <v>5</v>
      </c>
      <c r="AL33" s="4">
        <v>1</v>
      </c>
      <c r="AM33" s="4">
        <v>1</v>
      </c>
      <c r="AN33" s="4">
        <v>0</v>
      </c>
      <c r="AO33" s="4">
        <v>0</v>
      </c>
      <c r="AP33" s="3" t="s">
        <v>58</v>
      </c>
      <c r="AQ33" s="3" t="s">
        <v>85</v>
      </c>
      <c r="AR33" s="6" t="str">
        <f>HYPERLINK("http://catalog.hathitrust.org/Record/000017268","HathiTrust Record")</f>
        <v>HathiTrust Record</v>
      </c>
      <c r="AS33" s="6" t="str">
        <f>HYPERLINK("https://creighton-primo.hosted.exlibrisgroup.com/primo-explore/search?tab=default_tab&amp;search_scope=EVERYTHING&amp;vid=01CRU&amp;lang=en_US&amp;offset=0&amp;query=any,contains,991000855109702656","Catalog Record")</f>
        <v>Catalog Record</v>
      </c>
      <c r="AT33" s="6" t="str">
        <f>HYPERLINK("http://www.worldcat.org/oclc/1529522","WorldCat Record")</f>
        <v>WorldCat Record</v>
      </c>
      <c r="AU33" s="3" t="s">
        <v>512</v>
      </c>
      <c r="AV33" s="3" t="s">
        <v>513</v>
      </c>
      <c r="AW33" s="3" t="s">
        <v>514</v>
      </c>
      <c r="AX33" s="3" t="s">
        <v>514</v>
      </c>
      <c r="AY33" s="3" t="s">
        <v>515</v>
      </c>
      <c r="AZ33" s="3" t="s">
        <v>73</v>
      </c>
      <c r="BB33" s="3" t="s">
        <v>516</v>
      </c>
      <c r="BC33" s="3" t="s">
        <v>517</v>
      </c>
      <c r="BD33" s="3" t="s">
        <v>518</v>
      </c>
    </row>
    <row r="34" spans="1:56" ht="40.5" customHeight="1" x14ac:dyDescent="0.25">
      <c r="A34" s="7" t="s">
        <v>58</v>
      </c>
      <c r="B34" s="2" t="s">
        <v>519</v>
      </c>
      <c r="C34" s="2" t="s">
        <v>520</v>
      </c>
      <c r="D34" s="2" t="s">
        <v>521</v>
      </c>
      <c r="F34" s="3" t="s">
        <v>58</v>
      </c>
      <c r="G34" s="3" t="s">
        <v>59</v>
      </c>
      <c r="H34" s="3" t="s">
        <v>58</v>
      </c>
      <c r="I34" s="3" t="s">
        <v>58</v>
      </c>
      <c r="J34" s="3" t="s">
        <v>60</v>
      </c>
      <c r="K34" s="2" t="s">
        <v>522</v>
      </c>
      <c r="L34" s="2" t="s">
        <v>495</v>
      </c>
      <c r="M34" s="3" t="s">
        <v>496</v>
      </c>
      <c r="O34" s="3" t="s">
        <v>64</v>
      </c>
      <c r="P34" s="3" t="s">
        <v>135</v>
      </c>
      <c r="Q34" s="2" t="s">
        <v>523</v>
      </c>
      <c r="R34" s="3" t="s">
        <v>66</v>
      </c>
      <c r="S34" s="4">
        <v>5</v>
      </c>
      <c r="T34" s="4">
        <v>5</v>
      </c>
      <c r="U34" s="5" t="s">
        <v>524</v>
      </c>
      <c r="V34" s="5" t="s">
        <v>524</v>
      </c>
      <c r="W34" s="5" t="s">
        <v>290</v>
      </c>
      <c r="X34" s="5" t="s">
        <v>290</v>
      </c>
      <c r="Y34" s="4">
        <v>316</v>
      </c>
      <c r="Z34" s="4">
        <v>196</v>
      </c>
      <c r="AA34" s="4">
        <v>216</v>
      </c>
      <c r="AB34" s="4">
        <v>2</v>
      </c>
      <c r="AC34" s="4">
        <v>2</v>
      </c>
      <c r="AD34" s="4">
        <v>5</v>
      </c>
      <c r="AE34" s="4">
        <v>6</v>
      </c>
      <c r="AF34" s="4">
        <v>2</v>
      </c>
      <c r="AG34" s="4">
        <v>3</v>
      </c>
      <c r="AH34" s="4">
        <v>1</v>
      </c>
      <c r="AI34" s="4">
        <v>1</v>
      </c>
      <c r="AJ34" s="4">
        <v>2</v>
      </c>
      <c r="AK34" s="4">
        <v>3</v>
      </c>
      <c r="AL34" s="4">
        <v>0</v>
      </c>
      <c r="AM34" s="4">
        <v>0</v>
      </c>
      <c r="AN34" s="4">
        <v>0</v>
      </c>
      <c r="AO34" s="4">
        <v>0</v>
      </c>
      <c r="AP34" s="3" t="s">
        <v>58</v>
      </c>
      <c r="AQ34" s="3" t="s">
        <v>58</v>
      </c>
      <c r="AS34" s="6" t="str">
        <f>HYPERLINK("https://creighton-primo.hosted.exlibrisgroup.com/primo-explore/search?tab=default_tab&amp;search_scope=EVERYTHING&amp;vid=01CRU&amp;lang=en_US&amp;offset=0&amp;query=any,contains,991000854279702656","Catalog Record")</f>
        <v>Catalog Record</v>
      </c>
      <c r="AT34" s="6" t="str">
        <f>HYPERLINK("http://www.worldcat.org/oclc/10185345","WorldCat Record")</f>
        <v>WorldCat Record</v>
      </c>
      <c r="AU34" s="3" t="s">
        <v>525</v>
      </c>
      <c r="AV34" s="3" t="s">
        <v>526</v>
      </c>
      <c r="AW34" s="3" t="s">
        <v>527</v>
      </c>
      <c r="AX34" s="3" t="s">
        <v>527</v>
      </c>
      <c r="AY34" s="3" t="s">
        <v>528</v>
      </c>
      <c r="AZ34" s="3" t="s">
        <v>73</v>
      </c>
      <c r="BB34" s="3" t="s">
        <v>529</v>
      </c>
      <c r="BC34" s="3" t="s">
        <v>530</v>
      </c>
      <c r="BD34" s="3" t="s">
        <v>531</v>
      </c>
    </row>
    <row r="35" spans="1:56" ht="40.5" customHeight="1" x14ac:dyDescent="0.25">
      <c r="A35" s="7" t="s">
        <v>58</v>
      </c>
      <c r="B35" s="2" t="s">
        <v>532</v>
      </c>
      <c r="C35" s="2" t="s">
        <v>533</v>
      </c>
      <c r="D35" s="2" t="s">
        <v>534</v>
      </c>
      <c r="F35" s="3" t="s">
        <v>58</v>
      </c>
      <c r="G35" s="3" t="s">
        <v>59</v>
      </c>
      <c r="H35" s="3" t="s">
        <v>58</v>
      </c>
      <c r="I35" s="3" t="s">
        <v>58</v>
      </c>
      <c r="J35" s="3" t="s">
        <v>60</v>
      </c>
      <c r="K35" s="2" t="s">
        <v>535</v>
      </c>
      <c r="L35" s="2" t="s">
        <v>536</v>
      </c>
      <c r="M35" s="3" t="s">
        <v>63</v>
      </c>
      <c r="O35" s="3" t="s">
        <v>64</v>
      </c>
      <c r="P35" s="3" t="s">
        <v>135</v>
      </c>
      <c r="Q35" s="2" t="s">
        <v>523</v>
      </c>
      <c r="R35" s="3" t="s">
        <v>66</v>
      </c>
      <c r="S35" s="4">
        <v>7</v>
      </c>
      <c r="T35" s="4">
        <v>7</v>
      </c>
      <c r="U35" s="5" t="s">
        <v>214</v>
      </c>
      <c r="V35" s="5" t="s">
        <v>214</v>
      </c>
      <c r="W35" s="5" t="s">
        <v>290</v>
      </c>
      <c r="X35" s="5" t="s">
        <v>290</v>
      </c>
      <c r="Y35" s="4">
        <v>264</v>
      </c>
      <c r="Z35" s="4">
        <v>163</v>
      </c>
      <c r="AA35" s="4">
        <v>180</v>
      </c>
      <c r="AB35" s="4">
        <v>1</v>
      </c>
      <c r="AC35" s="4">
        <v>1</v>
      </c>
      <c r="AD35" s="4">
        <v>5</v>
      </c>
      <c r="AE35" s="4">
        <v>5</v>
      </c>
      <c r="AF35" s="4">
        <v>2</v>
      </c>
      <c r="AG35" s="4">
        <v>2</v>
      </c>
      <c r="AH35" s="4">
        <v>1</v>
      </c>
      <c r="AI35" s="4">
        <v>1</v>
      </c>
      <c r="AJ35" s="4">
        <v>4</v>
      </c>
      <c r="AK35" s="4">
        <v>4</v>
      </c>
      <c r="AL35" s="4">
        <v>0</v>
      </c>
      <c r="AM35" s="4">
        <v>0</v>
      </c>
      <c r="AN35" s="4">
        <v>0</v>
      </c>
      <c r="AO35" s="4">
        <v>0</v>
      </c>
      <c r="AP35" s="3" t="s">
        <v>58</v>
      </c>
      <c r="AQ35" s="3" t="s">
        <v>85</v>
      </c>
      <c r="AR35" s="6" t="str">
        <f>HYPERLINK("http://catalog.hathitrust.org/Record/000784474","HathiTrust Record")</f>
        <v>HathiTrust Record</v>
      </c>
      <c r="AS35" s="6" t="str">
        <f>HYPERLINK("https://creighton-primo.hosted.exlibrisgroup.com/primo-explore/search?tab=default_tab&amp;search_scope=EVERYTHING&amp;vid=01CRU&amp;lang=en_US&amp;offset=0&amp;query=any,contains,991000854059702656","Catalog Record")</f>
        <v>Catalog Record</v>
      </c>
      <c r="AT35" s="6" t="str">
        <f>HYPERLINK("http://www.worldcat.org/oclc/8533499","WorldCat Record")</f>
        <v>WorldCat Record</v>
      </c>
      <c r="AU35" s="3" t="s">
        <v>537</v>
      </c>
      <c r="AV35" s="3" t="s">
        <v>538</v>
      </c>
      <c r="AW35" s="3" t="s">
        <v>539</v>
      </c>
      <c r="AX35" s="3" t="s">
        <v>539</v>
      </c>
      <c r="AY35" s="3" t="s">
        <v>540</v>
      </c>
      <c r="AZ35" s="3" t="s">
        <v>73</v>
      </c>
      <c r="BB35" s="3" t="s">
        <v>541</v>
      </c>
      <c r="BC35" s="3" t="s">
        <v>542</v>
      </c>
      <c r="BD35" s="3" t="s">
        <v>543</v>
      </c>
    </row>
    <row r="36" spans="1:56" ht="40.5" customHeight="1" x14ac:dyDescent="0.25">
      <c r="A36" s="7" t="s">
        <v>58</v>
      </c>
      <c r="B36" s="2" t="s">
        <v>544</v>
      </c>
      <c r="C36" s="2" t="s">
        <v>545</v>
      </c>
      <c r="D36" s="2" t="s">
        <v>546</v>
      </c>
      <c r="F36" s="3" t="s">
        <v>58</v>
      </c>
      <c r="G36" s="3" t="s">
        <v>59</v>
      </c>
      <c r="H36" s="3" t="s">
        <v>58</v>
      </c>
      <c r="I36" s="3" t="s">
        <v>58</v>
      </c>
      <c r="J36" s="3" t="s">
        <v>60</v>
      </c>
      <c r="K36" s="2" t="s">
        <v>547</v>
      </c>
      <c r="L36" s="2" t="s">
        <v>548</v>
      </c>
      <c r="M36" s="3" t="s">
        <v>98</v>
      </c>
      <c r="O36" s="3" t="s">
        <v>64</v>
      </c>
      <c r="P36" s="3" t="s">
        <v>135</v>
      </c>
      <c r="Q36" s="2" t="s">
        <v>468</v>
      </c>
      <c r="R36" s="3" t="s">
        <v>66</v>
      </c>
      <c r="S36" s="4">
        <v>3</v>
      </c>
      <c r="T36" s="4">
        <v>3</v>
      </c>
      <c r="U36" s="5" t="s">
        <v>469</v>
      </c>
      <c r="V36" s="5" t="s">
        <v>469</v>
      </c>
      <c r="W36" s="5" t="s">
        <v>290</v>
      </c>
      <c r="X36" s="5" t="s">
        <v>290</v>
      </c>
      <c r="Y36" s="4">
        <v>274</v>
      </c>
      <c r="Z36" s="4">
        <v>168</v>
      </c>
      <c r="AA36" s="4">
        <v>169</v>
      </c>
      <c r="AB36" s="4">
        <v>1</v>
      </c>
      <c r="AC36" s="4">
        <v>1</v>
      </c>
      <c r="AD36" s="4">
        <v>5</v>
      </c>
      <c r="AE36" s="4">
        <v>5</v>
      </c>
      <c r="AF36" s="4">
        <v>3</v>
      </c>
      <c r="AG36" s="4">
        <v>3</v>
      </c>
      <c r="AH36" s="4">
        <v>0</v>
      </c>
      <c r="AI36" s="4">
        <v>0</v>
      </c>
      <c r="AJ36" s="4">
        <v>3</v>
      </c>
      <c r="AK36" s="4">
        <v>3</v>
      </c>
      <c r="AL36" s="4">
        <v>0</v>
      </c>
      <c r="AM36" s="4">
        <v>0</v>
      </c>
      <c r="AN36" s="4">
        <v>0</v>
      </c>
      <c r="AO36" s="4">
        <v>0</v>
      </c>
      <c r="AP36" s="3" t="s">
        <v>58</v>
      </c>
      <c r="AQ36" s="3" t="s">
        <v>85</v>
      </c>
      <c r="AR36" s="6" t="str">
        <f>HYPERLINK("http://catalog.hathitrust.org/Record/000569105","HathiTrust Record")</f>
        <v>HathiTrust Record</v>
      </c>
      <c r="AS36" s="6" t="str">
        <f>HYPERLINK("https://creighton-primo.hosted.exlibrisgroup.com/primo-explore/search?tab=default_tab&amp;search_scope=EVERYTHING&amp;vid=01CRU&amp;lang=en_US&amp;offset=0&amp;query=any,contains,991000854019702656","Catalog Record")</f>
        <v>Catalog Record</v>
      </c>
      <c r="AT36" s="6" t="str">
        <f>HYPERLINK("http://www.worldcat.org/oclc/9686853","WorldCat Record")</f>
        <v>WorldCat Record</v>
      </c>
      <c r="AU36" s="3" t="s">
        <v>549</v>
      </c>
      <c r="AV36" s="3" t="s">
        <v>550</v>
      </c>
      <c r="AW36" s="3" t="s">
        <v>551</v>
      </c>
      <c r="AX36" s="3" t="s">
        <v>551</v>
      </c>
      <c r="AY36" s="3" t="s">
        <v>552</v>
      </c>
      <c r="AZ36" s="3" t="s">
        <v>73</v>
      </c>
      <c r="BB36" s="3" t="s">
        <v>553</v>
      </c>
      <c r="BC36" s="3" t="s">
        <v>554</v>
      </c>
      <c r="BD36" s="3" t="s">
        <v>555</v>
      </c>
    </row>
    <row r="37" spans="1:56" ht="40.5" customHeight="1" x14ac:dyDescent="0.25">
      <c r="A37" s="7" t="s">
        <v>58</v>
      </c>
      <c r="B37" s="2" t="s">
        <v>556</v>
      </c>
      <c r="C37" s="2" t="s">
        <v>557</v>
      </c>
      <c r="D37" s="2" t="s">
        <v>558</v>
      </c>
      <c r="F37" s="3" t="s">
        <v>58</v>
      </c>
      <c r="G37" s="3" t="s">
        <v>59</v>
      </c>
      <c r="H37" s="3" t="s">
        <v>58</v>
      </c>
      <c r="I37" s="3" t="s">
        <v>58</v>
      </c>
      <c r="J37" s="3" t="s">
        <v>60</v>
      </c>
      <c r="K37" s="2" t="s">
        <v>559</v>
      </c>
      <c r="L37" s="2" t="s">
        <v>560</v>
      </c>
      <c r="M37" s="3" t="s">
        <v>229</v>
      </c>
      <c r="O37" s="3" t="s">
        <v>64</v>
      </c>
      <c r="P37" s="3" t="s">
        <v>135</v>
      </c>
      <c r="Q37" s="2" t="s">
        <v>561</v>
      </c>
      <c r="R37" s="3" t="s">
        <v>66</v>
      </c>
      <c r="S37" s="4">
        <v>20</v>
      </c>
      <c r="T37" s="4">
        <v>20</v>
      </c>
      <c r="U37" s="5" t="s">
        <v>562</v>
      </c>
      <c r="V37" s="5" t="s">
        <v>562</v>
      </c>
      <c r="W37" s="5" t="s">
        <v>290</v>
      </c>
      <c r="X37" s="5" t="s">
        <v>290</v>
      </c>
      <c r="Y37" s="4">
        <v>254</v>
      </c>
      <c r="Z37" s="4">
        <v>145</v>
      </c>
      <c r="AA37" s="4">
        <v>149</v>
      </c>
      <c r="AB37" s="4">
        <v>2</v>
      </c>
      <c r="AC37" s="4">
        <v>2</v>
      </c>
      <c r="AD37" s="4">
        <v>6</v>
      </c>
      <c r="AE37" s="4">
        <v>6</v>
      </c>
      <c r="AF37" s="4">
        <v>2</v>
      </c>
      <c r="AG37" s="4">
        <v>2</v>
      </c>
      <c r="AH37" s="4">
        <v>1</v>
      </c>
      <c r="AI37" s="4">
        <v>1</v>
      </c>
      <c r="AJ37" s="4">
        <v>5</v>
      </c>
      <c r="AK37" s="4">
        <v>5</v>
      </c>
      <c r="AL37" s="4">
        <v>1</v>
      </c>
      <c r="AM37" s="4">
        <v>1</v>
      </c>
      <c r="AN37" s="4">
        <v>0</v>
      </c>
      <c r="AO37" s="4">
        <v>0</v>
      </c>
      <c r="AP37" s="3" t="s">
        <v>58</v>
      </c>
      <c r="AQ37" s="3" t="s">
        <v>85</v>
      </c>
      <c r="AR37" s="6" t="str">
        <f>HYPERLINK("http://catalog.hathitrust.org/Record/010377763","HathiTrust Record")</f>
        <v>HathiTrust Record</v>
      </c>
      <c r="AS37" s="6" t="str">
        <f>HYPERLINK("https://creighton-primo.hosted.exlibrisgroup.com/primo-explore/search?tab=default_tab&amp;search_scope=EVERYTHING&amp;vid=01CRU&amp;lang=en_US&amp;offset=0&amp;query=any,contains,991000854709702656","Catalog Record")</f>
        <v>Catalog Record</v>
      </c>
      <c r="AT37" s="6" t="str">
        <f>HYPERLINK("http://www.worldcat.org/oclc/4193535","WorldCat Record")</f>
        <v>WorldCat Record</v>
      </c>
      <c r="AU37" s="3" t="s">
        <v>563</v>
      </c>
      <c r="AV37" s="3" t="s">
        <v>564</v>
      </c>
      <c r="AW37" s="3" t="s">
        <v>565</v>
      </c>
      <c r="AX37" s="3" t="s">
        <v>565</v>
      </c>
      <c r="AY37" s="3" t="s">
        <v>566</v>
      </c>
      <c r="AZ37" s="3" t="s">
        <v>73</v>
      </c>
      <c r="BB37" s="3" t="s">
        <v>567</v>
      </c>
      <c r="BC37" s="3" t="s">
        <v>568</v>
      </c>
      <c r="BD37" s="3" t="s">
        <v>569</v>
      </c>
    </row>
    <row r="38" spans="1:56" ht="40.5" customHeight="1" x14ac:dyDescent="0.25">
      <c r="A38" s="7" t="s">
        <v>58</v>
      </c>
      <c r="B38" s="2" t="s">
        <v>570</v>
      </c>
      <c r="C38" s="2" t="s">
        <v>571</v>
      </c>
      <c r="D38" s="2" t="s">
        <v>572</v>
      </c>
      <c r="E38" s="3" t="s">
        <v>573</v>
      </c>
      <c r="F38" s="3" t="s">
        <v>58</v>
      </c>
      <c r="G38" s="3" t="s">
        <v>59</v>
      </c>
      <c r="H38" s="3" t="s">
        <v>58</v>
      </c>
      <c r="I38" s="3" t="s">
        <v>58</v>
      </c>
      <c r="J38" s="3" t="s">
        <v>60</v>
      </c>
      <c r="K38" s="2" t="s">
        <v>574</v>
      </c>
      <c r="L38" s="2" t="s">
        <v>575</v>
      </c>
      <c r="M38" s="3" t="s">
        <v>167</v>
      </c>
      <c r="O38" s="3" t="s">
        <v>64</v>
      </c>
      <c r="P38" s="3" t="s">
        <v>135</v>
      </c>
      <c r="Q38" s="2" t="s">
        <v>576</v>
      </c>
      <c r="R38" s="3" t="s">
        <v>66</v>
      </c>
      <c r="S38" s="4">
        <v>3</v>
      </c>
      <c r="T38" s="4">
        <v>3</v>
      </c>
      <c r="U38" s="5" t="s">
        <v>577</v>
      </c>
      <c r="V38" s="5" t="s">
        <v>577</v>
      </c>
      <c r="W38" s="5" t="s">
        <v>578</v>
      </c>
      <c r="X38" s="5" t="s">
        <v>578</v>
      </c>
      <c r="Y38" s="4">
        <v>335</v>
      </c>
      <c r="Z38" s="4">
        <v>261</v>
      </c>
      <c r="AA38" s="4">
        <v>268</v>
      </c>
      <c r="AB38" s="4">
        <v>4</v>
      </c>
      <c r="AC38" s="4">
        <v>4</v>
      </c>
      <c r="AD38" s="4">
        <v>12</v>
      </c>
      <c r="AE38" s="4">
        <v>12</v>
      </c>
      <c r="AF38" s="4">
        <v>1</v>
      </c>
      <c r="AG38" s="4">
        <v>1</v>
      </c>
      <c r="AH38" s="4">
        <v>4</v>
      </c>
      <c r="AI38" s="4">
        <v>4</v>
      </c>
      <c r="AJ38" s="4">
        <v>7</v>
      </c>
      <c r="AK38" s="4">
        <v>7</v>
      </c>
      <c r="AL38" s="4">
        <v>3</v>
      </c>
      <c r="AM38" s="4">
        <v>3</v>
      </c>
      <c r="AN38" s="4">
        <v>0</v>
      </c>
      <c r="AO38" s="4">
        <v>0</v>
      </c>
      <c r="AP38" s="3" t="s">
        <v>58</v>
      </c>
      <c r="AQ38" s="3" t="s">
        <v>85</v>
      </c>
      <c r="AR38" s="6" t="str">
        <f>HYPERLINK("http://catalog.hathitrust.org/Record/001576928","HathiTrust Record")</f>
        <v>HathiTrust Record</v>
      </c>
      <c r="AS38" s="6" t="str">
        <f>HYPERLINK("https://creighton-primo.hosted.exlibrisgroup.com/primo-explore/search?tab=default_tab&amp;search_scope=EVERYTHING&amp;vid=01CRU&amp;lang=en_US&amp;offset=0&amp;query=any,contains,991001487129702656","Catalog Record")</f>
        <v>Catalog Record</v>
      </c>
      <c r="AT38" s="6" t="str">
        <f>HYPERLINK("http://www.worldcat.org/oclc/1009536","WorldCat Record")</f>
        <v>WorldCat Record</v>
      </c>
      <c r="AU38" s="3" t="s">
        <v>579</v>
      </c>
      <c r="AV38" s="3" t="s">
        <v>580</v>
      </c>
      <c r="AW38" s="3" t="s">
        <v>581</v>
      </c>
      <c r="AX38" s="3" t="s">
        <v>581</v>
      </c>
      <c r="AY38" s="3" t="s">
        <v>582</v>
      </c>
      <c r="AZ38" s="3" t="s">
        <v>73</v>
      </c>
      <c r="BB38" s="3" t="s">
        <v>583</v>
      </c>
      <c r="BC38" s="3" t="s">
        <v>584</v>
      </c>
      <c r="BD38" s="3" t="s">
        <v>585</v>
      </c>
    </row>
    <row r="39" spans="1:56" ht="40.5" customHeight="1" x14ac:dyDescent="0.25">
      <c r="A39" s="7" t="s">
        <v>58</v>
      </c>
      <c r="B39" s="2" t="s">
        <v>586</v>
      </c>
      <c r="C39" s="2" t="s">
        <v>587</v>
      </c>
      <c r="D39" s="2" t="s">
        <v>588</v>
      </c>
      <c r="F39" s="3" t="s">
        <v>58</v>
      </c>
      <c r="G39" s="3" t="s">
        <v>59</v>
      </c>
      <c r="H39" s="3" t="s">
        <v>58</v>
      </c>
      <c r="I39" s="3" t="s">
        <v>58</v>
      </c>
      <c r="J39" s="3" t="s">
        <v>60</v>
      </c>
      <c r="L39" s="2" t="s">
        <v>589</v>
      </c>
      <c r="M39" s="3" t="s">
        <v>98</v>
      </c>
      <c r="N39" s="2" t="s">
        <v>590</v>
      </c>
      <c r="O39" s="3" t="s">
        <v>64</v>
      </c>
      <c r="P39" s="3" t="s">
        <v>117</v>
      </c>
      <c r="R39" s="3" t="s">
        <v>66</v>
      </c>
      <c r="S39" s="4">
        <v>11</v>
      </c>
      <c r="T39" s="4">
        <v>11</v>
      </c>
      <c r="U39" s="5" t="s">
        <v>454</v>
      </c>
      <c r="V39" s="5" t="s">
        <v>454</v>
      </c>
      <c r="W39" s="5" t="s">
        <v>215</v>
      </c>
      <c r="X39" s="5" t="s">
        <v>215</v>
      </c>
      <c r="Y39" s="4">
        <v>386</v>
      </c>
      <c r="Z39" s="4">
        <v>265</v>
      </c>
      <c r="AA39" s="4">
        <v>274</v>
      </c>
      <c r="AB39" s="4">
        <v>1</v>
      </c>
      <c r="AC39" s="4">
        <v>1</v>
      </c>
      <c r="AD39" s="4">
        <v>6</v>
      </c>
      <c r="AE39" s="4">
        <v>6</v>
      </c>
      <c r="AF39" s="4">
        <v>2</v>
      </c>
      <c r="AG39" s="4">
        <v>2</v>
      </c>
      <c r="AH39" s="4">
        <v>1</v>
      </c>
      <c r="AI39" s="4">
        <v>1</v>
      </c>
      <c r="AJ39" s="4">
        <v>5</v>
      </c>
      <c r="AK39" s="4">
        <v>5</v>
      </c>
      <c r="AL39" s="4">
        <v>0</v>
      </c>
      <c r="AM39" s="4">
        <v>0</v>
      </c>
      <c r="AN39" s="4">
        <v>0</v>
      </c>
      <c r="AO39" s="4">
        <v>0</v>
      </c>
      <c r="AP39" s="3" t="s">
        <v>58</v>
      </c>
      <c r="AQ39" s="3" t="s">
        <v>85</v>
      </c>
      <c r="AR39" s="6" t="str">
        <f>HYPERLINK("http://catalog.hathitrust.org/Record/000771205","HathiTrust Record")</f>
        <v>HathiTrust Record</v>
      </c>
      <c r="AS39" s="6" t="str">
        <f>HYPERLINK("https://creighton-primo.hosted.exlibrisgroup.com/primo-explore/search?tab=default_tab&amp;search_scope=EVERYTHING&amp;vid=01CRU&amp;lang=en_US&amp;offset=0&amp;query=any,contains,991000758699702656","Catalog Record")</f>
        <v>Catalog Record</v>
      </c>
      <c r="AT39" s="6" t="str">
        <f>HYPERLINK("http://www.worldcat.org/oclc/8669492","WorldCat Record")</f>
        <v>WorldCat Record</v>
      </c>
      <c r="AU39" s="3" t="s">
        <v>591</v>
      </c>
      <c r="AV39" s="3" t="s">
        <v>592</v>
      </c>
      <c r="AW39" s="3" t="s">
        <v>593</v>
      </c>
      <c r="AX39" s="3" t="s">
        <v>593</v>
      </c>
      <c r="AY39" s="3" t="s">
        <v>594</v>
      </c>
      <c r="AZ39" s="3" t="s">
        <v>73</v>
      </c>
      <c r="BB39" s="3" t="s">
        <v>595</v>
      </c>
      <c r="BC39" s="3" t="s">
        <v>596</v>
      </c>
      <c r="BD39" s="3" t="s">
        <v>597</v>
      </c>
    </row>
    <row r="40" spans="1:56" ht="40.5" customHeight="1" x14ac:dyDescent="0.25">
      <c r="A40" s="7" t="s">
        <v>58</v>
      </c>
      <c r="B40" s="2" t="s">
        <v>598</v>
      </c>
      <c r="C40" s="2" t="s">
        <v>599</v>
      </c>
      <c r="D40" s="2" t="s">
        <v>600</v>
      </c>
      <c r="F40" s="3" t="s">
        <v>58</v>
      </c>
      <c r="G40" s="3" t="s">
        <v>59</v>
      </c>
      <c r="H40" s="3" t="s">
        <v>58</v>
      </c>
      <c r="I40" s="3" t="s">
        <v>85</v>
      </c>
      <c r="J40" s="3" t="s">
        <v>60</v>
      </c>
      <c r="L40" s="2" t="s">
        <v>589</v>
      </c>
      <c r="M40" s="3" t="s">
        <v>98</v>
      </c>
      <c r="N40" s="2" t="s">
        <v>590</v>
      </c>
      <c r="O40" s="3" t="s">
        <v>64</v>
      </c>
      <c r="P40" s="3" t="s">
        <v>117</v>
      </c>
      <c r="R40" s="3" t="s">
        <v>66</v>
      </c>
      <c r="S40" s="4">
        <v>27</v>
      </c>
      <c r="T40" s="4">
        <v>27</v>
      </c>
      <c r="U40" s="5" t="s">
        <v>601</v>
      </c>
      <c r="V40" s="5" t="s">
        <v>601</v>
      </c>
      <c r="W40" s="5" t="s">
        <v>215</v>
      </c>
      <c r="X40" s="5" t="s">
        <v>215</v>
      </c>
      <c r="Y40" s="4">
        <v>428</v>
      </c>
      <c r="Z40" s="4">
        <v>316</v>
      </c>
      <c r="AA40" s="4">
        <v>1012</v>
      </c>
      <c r="AB40" s="4">
        <v>2</v>
      </c>
      <c r="AC40" s="4">
        <v>13</v>
      </c>
      <c r="AD40" s="4">
        <v>10</v>
      </c>
      <c r="AE40" s="4">
        <v>35</v>
      </c>
      <c r="AF40" s="4">
        <v>4</v>
      </c>
      <c r="AG40" s="4">
        <v>10</v>
      </c>
      <c r="AH40" s="4">
        <v>2</v>
      </c>
      <c r="AI40" s="4">
        <v>7</v>
      </c>
      <c r="AJ40" s="4">
        <v>7</v>
      </c>
      <c r="AK40" s="4">
        <v>16</v>
      </c>
      <c r="AL40" s="4">
        <v>1</v>
      </c>
      <c r="AM40" s="4">
        <v>9</v>
      </c>
      <c r="AN40" s="4">
        <v>0</v>
      </c>
      <c r="AO40" s="4">
        <v>0</v>
      </c>
      <c r="AP40" s="3" t="s">
        <v>58</v>
      </c>
      <c r="AQ40" s="3" t="s">
        <v>85</v>
      </c>
      <c r="AR40" s="6" t="str">
        <f>HYPERLINK("http://catalog.hathitrust.org/Record/000770374","HathiTrust Record")</f>
        <v>HathiTrust Record</v>
      </c>
      <c r="AS40" s="6" t="str">
        <f>HYPERLINK("https://creighton-primo.hosted.exlibrisgroup.com/primo-explore/search?tab=default_tab&amp;search_scope=EVERYTHING&amp;vid=01CRU&amp;lang=en_US&amp;offset=0&amp;query=any,contains,991000758749702656","Catalog Record")</f>
        <v>Catalog Record</v>
      </c>
      <c r="AT40" s="6" t="str">
        <f>HYPERLINK("http://www.worldcat.org/oclc/8669486","WorldCat Record")</f>
        <v>WorldCat Record</v>
      </c>
      <c r="AU40" s="3" t="s">
        <v>602</v>
      </c>
      <c r="AV40" s="3" t="s">
        <v>603</v>
      </c>
      <c r="AW40" s="3" t="s">
        <v>604</v>
      </c>
      <c r="AX40" s="3" t="s">
        <v>604</v>
      </c>
      <c r="AY40" s="3" t="s">
        <v>605</v>
      </c>
      <c r="AZ40" s="3" t="s">
        <v>73</v>
      </c>
      <c r="BB40" s="3" t="s">
        <v>606</v>
      </c>
      <c r="BC40" s="3" t="s">
        <v>607</v>
      </c>
      <c r="BD40" s="3" t="s">
        <v>608</v>
      </c>
    </row>
    <row r="41" spans="1:56" ht="40.5" customHeight="1" x14ac:dyDescent="0.25">
      <c r="A41" s="7" t="s">
        <v>58</v>
      </c>
      <c r="B41" s="2" t="s">
        <v>609</v>
      </c>
      <c r="C41" s="2" t="s">
        <v>610</v>
      </c>
      <c r="D41" s="2" t="s">
        <v>611</v>
      </c>
      <c r="F41" s="3" t="s">
        <v>58</v>
      </c>
      <c r="G41" s="3" t="s">
        <v>59</v>
      </c>
      <c r="H41" s="3" t="s">
        <v>58</v>
      </c>
      <c r="I41" s="3" t="s">
        <v>58</v>
      </c>
      <c r="J41" s="3" t="s">
        <v>60</v>
      </c>
      <c r="K41" s="2" t="s">
        <v>612</v>
      </c>
      <c r="L41" s="2" t="s">
        <v>613</v>
      </c>
      <c r="M41" s="3" t="s">
        <v>614</v>
      </c>
      <c r="O41" s="3" t="s">
        <v>64</v>
      </c>
      <c r="P41" s="3" t="s">
        <v>615</v>
      </c>
      <c r="R41" s="3" t="s">
        <v>66</v>
      </c>
      <c r="S41" s="4">
        <v>67</v>
      </c>
      <c r="T41" s="4">
        <v>67</v>
      </c>
      <c r="U41" s="5" t="s">
        <v>616</v>
      </c>
      <c r="V41" s="5" t="s">
        <v>616</v>
      </c>
      <c r="W41" s="5" t="s">
        <v>617</v>
      </c>
      <c r="X41" s="5" t="s">
        <v>617</v>
      </c>
      <c r="Y41" s="4">
        <v>246</v>
      </c>
      <c r="Z41" s="4">
        <v>152</v>
      </c>
      <c r="AA41" s="4">
        <v>335</v>
      </c>
      <c r="AB41" s="4">
        <v>1</v>
      </c>
      <c r="AC41" s="4">
        <v>1</v>
      </c>
      <c r="AD41" s="4">
        <v>5</v>
      </c>
      <c r="AE41" s="4">
        <v>13</v>
      </c>
      <c r="AF41" s="4">
        <v>1</v>
      </c>
      <c r="AG41" s="4">
        <v>1</v>
      </c>
      <c r="AH41" s="4">
        <v>2</v>
      </c>
      <c r="AI41" s="4">
        <v>5</v>
      </c>
      <c r="AJ41" s="4">
        <v>4</v>
      </c>
      <c r="AK41" s="4">
        <v>10</v>
      </c>
      <c r="AL41" s="4">
        <v>0</v>
      </c>
      <c r="AM41" s="4">
        <v>0</v>
      </c>
      <c r="AN41" s="4">
        <v>0</v>
      </c>
      <c r="AO41" s="4">
        <v>0</v>
      </c>
      <c r="AP41" s="3" t="s">
        <v>58</v>
      </c>
      <c r="AQ41" s="3" t="s">
        <v>85</v>
      </c>
      <c r="AR41" s="6" t="str">
        <f>HYPERLINK("http://catalog.hathitrust.org/Record/002223910","HathiTrust Record")</f>
        <v>HathiTrust Record</v>
      </c>
      <c r="AS41" s="6" t="str">
        <f>HYPERLINK("https://creighton-primo.hosted.exlibrisgroup.com/primo-explore/search?tab=default_tab&amp;search_scope=EVERYTHING&amp;vid=01CRU&amp;lang=en_US&amp;offset=0&amp;query=any,contains,991001367059702656","Catalog Record")</f>
        <v>Catalog Record</v>
      </c>
      <c r="AT41" s="6" t="str">
        <f>HYPERLINK("http://www.worldcat.org/oclc/19815180","WorldCat Record")</f>
        <v>WorldCat Record</v>
      </c>
      <c r="AU41" s="3" t="s">
        <v>618</v>
      </c>
      <c r="AV41" s="3" t="s">
        <v>619</v>
      </c>
      <c r="AW41" s="3" t="s">
        <v>620</v>
      </c>
      <c r="AX41" s="3" t="s">
        <v>620</v>
      </c>
      <c r="AY41" s="3" t="s">
        <v>621</v>
      </c>
      <c r="AZ41" s="3" t="s">
        <v>73</v>
      </c>
      <c r="BB41" s="3" t="s">
        <v>622</v>
      </c>
      <c r="BC41" s="3" t="s">
        <v>623</v>
      </c>
      <c r="BD41" s="3" t="s">
        <v>624</v>
      </c>
    </row>
    <row r="42" spans="1:56" ht="40.5" customHeight="1" x14ac:dyDescent="0.25">
      <c r="A42" s="7" t="s">
        <v>58</v>
      </c>
      <c r="B42" s="2" t="s">
        <v>625</v>
      </c>
      <c r="C42" s="2" t="s">
        <v>626</v>
      </c>
      <c r="D42" s="2" t="s">
        <v>627</v>
      </c>
      <c r="E42" s="3" t="s">
        <v>628</v>
      </c>
      <c r="F42" s="3" t="s">
        <v>58</v>
      </c>
      <c r="G42" s="3" t="s">
        <v>59</v>
      </c>
      <c r="H42" s="3" t="s">
        <v>58</v>
      </c>
      <c r="I42" s="3" t="s">
        <v>58</v>
      </c>
      <c r="J42" s="3" t="s">
        <v>60</v>
      </c>
      <c r="L42" s="2" t="s">
        <v>629</v>
      </c>
      <c r="M42" s="3" t="s">
        <v>482</v>
      </c>
      <c r="O42" s="3" t="s">
        <v>64</v>
      </c>
      <c r="P42" s="3" t="s">
        <v>230</v>
      </c>
      <c r="Q42" s="2" t="s">
        <v>630</v>
      </c>
      <c r="R42" s="3" t="s">
        <v>66</v>
      </c>
      <c r="S42" s="4">
        <v>6</v>
      </c>
      <c r="T42" s="4">
        <v>6</v>
      </c>
      <c r="U42" s="5" t="s">
        <v>631</v>
      </c>
      <c r="V42" s="5" t="s">
        <v>631</v>
      </c>
      <c r="W42" s="5" t="s">
        <v>290</v>
      </c>
      <c r="X42" s="5" t="s">
        <v>290</v>
      </c>
      <c r="Y42" s="4">
        <v>245</v>
      </c>
      <c r="Z42" s="4">
        <v>155</v>
      </c>
      <c r="AA42" s="4">
        <v>157</v>
      </c>
      <c r="AB42" s="4">
        <v>3</v>
      </c>
      <c r="AC42" s="4">
        <v>3</v>
      </c>
      <c r="AD42" s="4">
        <v>6</v>
      </c>
      <c r="AE42" s="4">
        <v>6</v>
      </c>
      <c r="AF42" s="4">
        <v>0</v>
      </c>
      <c r="AG42" s="4">
        <v>0</v>
      </c>
      <c r="AH42" s="4">
        <v>3</v>
      </c>
      <c r="AI42" s="4">
        <v>3</v>
      </c>
      <c r="AJ42" s="4">
        <v>3</v>
      </c>
      <c r="AK42" s="4">
        <v>3</v>
      </c>
      <c r="AL42" s="4">
        <v>2</v>
      </c>
      <c r="AM42" s="4">
        <v>2</v>
      </c>
      <c r="AN42" s="4">
        <v>0</v>
      </c>
      <c r="AO42" s="4">
        <v>0</v>
      </c>
      <c r="AP42" s="3" t="s">
        <v>58</v>
      </c>
      <c r="AQ42" s="3" t="s">
        <v>85</v>
      </c>
      <c r="AR42" s="6" t="str">
        <f>HYPERLINK("http://catalog.hathitrust.org/Record/000214027","HathiTrust Record")</f>
        <v>HathiTrust Record</v>
      </c>
      <c r="AS42" s="6" t="str">
        <f>HYPERLINK("https://creighton-primo.hosted.exlibrisgroup.com/primo-explore/search?tab=default_tab&amp;search_scope=EVERYTHING&amp;vid=01CRU&amp;lang=en_US&amp;offset=0&amp;query=any,contains,991000854959702656","Catalog Record")</f>
        <v>Catalog Record</v>
      </c>
      <c r="AT42" s="6" t="str">
        <f>HYPERLINK("http://www.worldcat.org/oclc/2967592","WorldCat Record")</f>
        <v>WorldCat Record</v>
      </c>
      <c r="AU42" s="3" t="s">
        <v>632</v>
      </c>
      <c r="AV42" s="3" t="s">
        <v>633</v>
      </c>
      <c r="AW42" s="3" t="s">
        <v>634</v>
      </c>
      <c r="AX42" s="3" t="s">
        <v>634</v>
      </c>
      <c r="AY42" s="3" t="s">
        <v>635</v>
      </c>
      <c r="AZ42" s="3" t="s">
        <v>73</v>
      </c>
      <c r="BB42" s="3" t="s">
        <v>636</v>
      </c>
      <c r="BC42" s="3" t="s">
        <v>637</v>
      </c>
      <c r="BD42" s="3" t="s">
        <v>638</v>
      </c>
    </row>
    <row r="43" spans="1:56" ht="40.5" customHeight="1" x14ac:dyDescent="0.25">
      <c r="A43" s="7" t="s">
        <v>58</v>
      </c>
      <c r="B43" s="2" t="s">
        <v>639</v>
      </c>
      <c r="C43" s="2" t="s">
        <v>640</v>
      </c>
      <c r="D43" s="2" t="s">
        <v>641</v>
      </c>
      <c r="F43" s="3" t="s">
        <v>58</v>
      </c>
      <c r="G43" s="3" t="s">
        <v>59</v>
      </c>
      <c r="H43" s="3" t="s">
        <v>58</v>
      </c>
      <c r="I43" s="3" t="s">
        <v>85</v>
      </c>
      <c r="J43" s="3" t="s">
        <v>60</v>
      </c>
      <c r="K43" s="2" t="s">
        <v>642</v>
      </c>
      <c r="L43" s="2" t="s">
        <v>643</v>
      </c>
      <c r="M43" s="3" t="s">
        <v>644</v>
      </c>
      <c r="N43" s="2" t="s">
        <v>645</v>
      </c>
      <c r="O43" s="3" t="s">
        <v>64</v>
      </c>
      <c r="P43" s="3" t="s">
        <v>366</v>
      </c>
      <c r="R43" s="3" t="s">
        <v>66</v>
      </c>
      <c r="S43" s="4">
        <v>11</v>
      </c>
      <c r="T43" s="4">
        <v>11</v>
      </c>
      <c r="U43" s="5" t="s">
        <v>646</v>
      </c>
      <c r="V43" s="5" t="s">
        <v>646</v>
      </c>
      <c r="W43" s="5" t="s">
        <v>183</v>
      </c>
      <c r="X43" s="5" t="s">
        <v>183</v>
      </c>
      <c r="Y43" s="4">
        <v>282</v>
      </c>
      <c r="Z43" s="4">
        <v>190</v>
      </c>
      <c r="AA43" s="4">
        <v>845</v>
      </c>
      <c r="AB43" s="4">
        <v>1</v>
      </c>
      <c r="AC43" s="4">
        <v>4</v>
      </c>
      <c r="AD43" s="4">
        <v>2</v>
      </c>
      <c r="AE43" s="4">
        <v>18</v>
      </c>
      <c r="AF43" s="4">
        <v>1</v>
      </c>
      <c r="AG43" s="4">
        <v>9</v>
      </c>
      <c r="AH43" s="4">
        <v>2</v>
      </c>
      <c r="AI43" s="4">
        <v>3</v>
      </c>
      <c r="AJ43" s="4">
        <v>0</v>
      </c>
      <c r="AK43" s="4">
        <v>9</v>
      </c>
      <c r="AL43" s="4">
        <v>0</v>
      </c>
      <c r="AM43" s="4">
        <v>2</v>
      </c>
      <c r="AN43" s="4">
        <v>0</v>
      </c>
      <c r="AO43" s="4">
        <v>0</v>
      </c>
      <c r="AP43" s="3" t="s">
        <v>58</v>
      </c>
      <c r="AQ43" s="3" t="s">
        <v>85</v>
      </c>
      <c r="AR43" s="6" t="str">
        <f>HYPERLINK("http://catalog.hathitrust.org/Record/003946428","HathiTrust Record")</f>
        <v>HathiTrust Record</v>
      </c>
      <c r="AS43" s="6" t="str">
        <f>HYPERLINK("https://creighton-primo.hosted.exlibrisgroup.com/primo-explore/search?tab=default_tab&amp;search_scope=EVERYTHING&amp;vid=01CRU&amp;lang=en_US&amp;offset=0&amp;query=any,contains,991001140209702656","Catalog Record")</f>
        <v>Catalog Record</v>
      </c>
      <c r="AT43" s="6" t="str">
        <f>HYPERLINK("http://www.worldcat.org/oclc/37031282","WorldCat Record")</f>
        <v>WorldCat Record</v>
      </c>
      <c r="AU43" s="3" t="s">
        <v>647</v>
      </c>
      <c r="AV43" s="3" t="s">
        <v>648</v>
      </c>
      <c r="AW43" s="3" t="s">
        <v>649</v>
      </c>
      <c r="AX43" s="3" t="s">
        <v>649</v>
      </c>
      <c r="AY43" s="3" t="s">
        <v>650</v>
      </c>
      <c r="AZ43" s="3" t="s">
        <v>73</v>
      </c>
      <c r="BB43" s="3" t="s">
        <v>651</v>
      </c>
      <c r="BC43" s="3" t="s">
        <v>652</v>
      </c>
      <c r="BD43" s="3" t="s">
        <v>653</v>
      </c>
    </row>
    <row r="44" spans="1:56" ht="40.5" customHeight="1" x14ac:dyDescent="0.25">
      <c r="A44" s="7" t="s">
        <v>58</v>
      </c>
      <c r="B44" s="2" t="s">
        <v>654</v>
      </c>
      <c r="C44" s="2" t="s">
        <v>655</v>
      </c>
      <c r="D44" s="2" t="s">
        <v>656</v>
      </c>
      <c r="F44" s="3" t="s">
        <v>58</v>
      </c>
      <c r="G44" s="3" t="s">
        <v>59</v>
      </c>
      <c r="H44" s="3" t="s">
        <v>58</v>
      </c>
      <c r="I44" s="3" t="s">
        <v>58</v>
      </c>
      <c r="J44" s="3" t="s">
        <v>60</v>
      </c>
      <c r="K44" s="2" t="s">
        <v>657</v>
      </c>
      <c r="L44" s="2" t="s">
        <v>658</v>
      </c>
      <c r="M44" s="3" t="s">
        <v>659</v>
      </c>
      <c r="O44" s="3" t="s">
        <v>64</v>
      </c>
      <c r="P44" s="3" t="s">
        <v>82</v>
      </c>
      <c r="Q44" s="2" t="s">
        <v>660</v>
      </c>
      <c r="R44" s="3" t="s">
        <v>66</v>
      </c>
      <c r="S44" s="4">
        <v>3</v>
      </c>
      <c r="T44" s="4">
        <v>3</v>
      </c>
      <c r="U44" s="5" t="s">
        <v>661</v>
      </c>
      <c r="V44" s="5" t="s">
        <v>661</v>
      </c>
      <c r="W44" s="5" t="s">
        <v>290</v>
      </c>
      <c r="X44" s="5" t="s">
        <v>290</v>
      </c>
      <c r="Y44" s="4">
        <v>282</v>
      </c>
      <c r="Z44" s="4">
        <v>204</v>
      </c>
      <c r="AA44" s="4">
        <v>212</v>
      </c>
      <c r="AB44" s="4">
        <v>2</v>
      </c>
      <c r="AC44" s="4">
        <v>2</v>
      </c>
      <c r="AD44" s="4">
        <v>3</v>
      </c>
      <c r="AE44" s="4">
        <v>3</v>
      </c>
      <c r="AF44" s="4">
        <v>0</v>
      </c>
      <c r="AG44" s="4">
        <v>0</v>
      </c>
      <c r="AH44" s="4">
        <v>1</v>
      </c>
      <c r="AI44" s="4">
        <v>1</v>
      </c>
      <c r="AJ44" s="4">
        <v>2</v>
      </c>
      <c r="AK44" s="4">
        <v>2</v>
      </c>
      <c r="AL44" s="4">
        <v>1</v>
      </c>
      <c r="AM44" s="4">
        <v>1</v>
      </c>
      <c r="AN44" s="4">
        <v>0</v>
      </c>
      <c r="AO44" s="4">
        <v>0</v>
      </c>
      <c r="AP44" s="3" t="s">
        <v>58</v>
      </c>
      <c r="AQ44" s="3" t="s">
        <v>85</v>
      </c>
      <c r="AR44" s="6" t="str">
        <f>HYPERLINK("http://catalog.hathitrust.org/Record/001555502","HathiTrust Record")</f>
        <v>HathiTrust Record</v>
      </c>
      <c r="AS44" s="6" t="str">
        <f>HYPERLINK("https://creighton-primo.hosted.exlibrisgroup.com/primo-explore/search?tab=default_tab&amp;search_scope=EVERYTHING&amp;vid=01CRU&amp;lang=en_US&amp;offset=0&amp;query=any,contains,991000854999702656","Catalog Record")</f>
        <v>Catalog Record</v>
      </c>
      <c r="AT44" s="6" t="str">
        <f>HYPERLINK("http://www.worldcat.org/oclc/737231","WorldCat Record")</f>
        <v>WorldCat Record</v>
      </c>
      <c r="AU44" s="3" t="s">
        <v>662</v>
      </c>
      <c r="AV44" s="3" t="s">
        <v>663</v>
      </c>
      <c r="AW44" s="3" t="s">
        <v>664</v>
      </c>
      <c r="AX44" s="3" t="s">
        <v>664</v>
      </c>
      <c r="AY44" s="3" t="s">
        <v>665</v>
      </c>
      <c r="AZ44" s="3" t="s">
        <v>73</v>
      </c>
      <c r="BB44" s="3" t="s">
        <v>666</v>
      </c>
      <c r="BC44" s="3" t="s">
        <v>667</v>
      </c>
      <c r="BD44" s="3" t="s">
        <v>668</v>
      </c>
    </row>
    <row r="45" spans="1:56" ht="40.5" customHeight="1" x14ac:dyDescent="0.25">
      <c r="A45" s="7" t="s">
        <v>58</v>
      </c>
      <c r="B45" s="2" t="s">
        <v>669</v>
      </c>
      <c r="C45" s="2" t="s">
        <v>670</v>
      </c>
      <c r="D45" s="2" t="s">
        <v>671</v>
      </c>
      <c r="F45" s="3" t="s">
        <v>58</v>
      </c>
      <c r="G45" s="3" t="s">
        <v>59</v>
      </c>
      <c r="H45" s="3" t="s">
        <v>58</v>
      </c>
      <c r="I45" s="3" t="s">
        <v>58</v>
      </c>
      <c r="J45" s="3" t="s">
        <v>60</v>
      </c>
      <c r="K45" s="2" t="s">
        <v>672</v>
      </c>
      <c r="L45" s="2" t="s">
        <v>673</v>
      </c>
      <c r="M45" s="3" t="s">
        <v>63</v>
      </c>
      <c r="O45" s="3" t="s">
        <v>64</v>
      </c>
      <c r="P45" s="3" t="s">
        <v>674</v>
      </c>
      <c r="R45" s="3" t="s">
        <v>66</v>
      </c>
      <c r="S45" s="4">
        <v>9</v>
      </c>
      <c r="T45" s="4">
        <v>9</v>
      </c>
      <c r="U45" s="5" t="s">
        <v>675</v>
      </c>
      <c r="V45" s="5" t="s">
        <v>675</v>
      </c>
      <c r="W45" s="5" t="s">
        <v>290</v>
      </c>
      <c r="X45" s="5" t="s">
        <v>290</v>
      </c>
      <c r="Y45" s="4">
        <v>14</v>
      </c>
      <c r="Z45" s="4">
        <v>13</v>
      </c>
      <c r="AA45" s="4">
        <v>130</v>
      </c>
      <c r="AB45" s="4">
        <v>1</v>
      </c>
      <c r="AC45" s="4">
        <v>2</v>
      </c>
      <c r="AD45" s="4">
        <v>0</v>
      </c>
      <c r="AE45" s="4">
        <v>2</v>
      </c>
      <c r="AF45" s="4">
        <v>0</v>
      </c>
      <c r="AG45" s="4">
        <v>1</v>
      </c>
      <c r="AH45" s="4">
        <v>0</v>
      </c>
      <c r="AI45" s="4">
        <v>1</v>
      </c>
      <c r="AJ45" s="4">
        <v>0</v>
      </c>
      <c r="AK45" s="4">
        <v>0</v>
      </c>
      <c r="AL45" s="4">
        <v>0</v>
      </c>
      <c r="AM45" s="4">
        <v>0</v>
      </c>
      <c r="AN45" s="4">
        <v>0</v>
      </c>
      <c r="AO45" s="4">
        <v>0</v>
      </c>
      <c r="AP45" s="3" t="s">
        <v>58</v>
      </c>
      <c r="AQ45" s="3" t="s">
        <v>58</v>
      </c>
      <c r="AS45" s="6" t="str">
        <f>HYPERLINK("https://creighton-primo.hosted.exlibrisgroup.com/primo-explore/search?tab=default_tab&amp;search_scope=EVERYTHING&amp;vid=01CRU&amp;lang=en_US&amp;offset=0&amp;query=any,contains,991000855079702656","Catalog Record")</f>
        <v>Catalog Record</v>
      </c>
      <c r="AT45" s="6" t="str">
        <f>HYPERLINK("http://www.worldcat.org/oclc/8330633","WorldCat Record")</f>
        <v>WorldCat Record</v>
      </c>
      <c r="AU45" s="3" t="s">
        <v>676</v>
      </c>
      <c r="AV45" s="3" t="s">
        <v>677</v>
      </c>
      <c r="AW45" s="3" t="s">
        <v>678</v>
      </c>
      <c r="AX45" s="3" t="s">
        <v>678</v>
      </c>
      <c r="AY45" s="3" t="s">
        <v>679</v>
      </c>
      <c r="AZ45" s="3" t="s">
        <v>73</v>
      </c>
      <c r="BC45" s="3" t="s">
        <v>680</v>
      </c>
      <c r="BD45" s="3" t="s">
        <v>681</v>
      </c>
    </row>
    <row r="46" spans="1:56" ht="40.5" customHeight="1" x14ac:dyDescent="0.25">
      <c r="A46" s="7" t="s">
        <v>58</v>
      </c>
      <c r="B46" s="2" t="s">
        <v>682</v>
      </c>
      <c r="C46" s="2" t="s">
        <v>683</v>
      </c>
      <c r="D46" s="2" t="s">
        <v>684</v>
      </c>
      <c r="F46" s="3" t="s">
        <v>58</v>
      </c>
      <c r="G46" s="3" t="s">
        <v>59</v>
      </c>
      <c r="H46" s="3" t="s">
        <v>58</v>
      </c>
      <c r="I46" s="3" t="s">
        <v>58</v>
      </c>
      <c r="J46" s="3" t="s">
        <v>60</v>
      </c>
      <c r="K46" s="2" t="s">
        <v>685</v>
      </c>
      <c r="L46" s="2" t="s">
        <v>686</v>
      </c>
      <c r="M46" s="3" t="s">
        <v>197</v>
      </c>
      <c r="O46" s="3" t="s">
        <v>64</v>
      </c>
      <c r="P46" s="3" t="s">
        <v>65</v>
      </c>
      <c r="Q46" s="2" t="s">
        <v>687</v>
      </c>
      <c r="R46" s="3" t="s">
        <v>66</v>
      </c>
      <c r="S46" s="4">
        <v>13</v>
      </c>
      <c r="T46" s="4">
        <v>13</v>
      </c>
      <c r="U46" s="5" t="s">
        <v>646</v>
      </c>
      <c r="V46" s="5" t="s">
        <v>646</v>
      </c>
      <c r="W46" s="5" t="s">
        <v>617</v>
      </c>
      <c r="X46" s="5" t="s">
        <v>617</v>
      </c>
      <c r="Y46" s="4">
        <v>115</v>
      </c>
      <c r="Z46" s="4">
        <v>87</v>
      </c>
      <c r="AA46" s="4">
        <v>184</v>
      </c>
      <c r="AB46" s="4">
        <v>2</v>
      </c>
      <c r="AC46" s="4">
        <v>2</v>
      </c>
      <c r="AD46" s="4">
        <v>3</v>
      </c>
      <c r="AE46" s="4">
        <v>4</v>
      </c>
      <c r="AF46" s="4">
        <v>0</v>
      </c>
      <c r="AG46" s="4">
        <v>0</v>
      </c>
      <c r="AH46" s="4">
        <v>1</v>
      </c>
      <c r="AI46" s="4">
        <v>1</v>
      </c>
      <c r="AJ46" s="4">
        <v>2</v>
      </c>
      <c r="AK46" s="4">
        <v>3</v>
      </c>
      <c r="AL46" s="4">
        <v>1</v>
      </c>
      <c r="AM46" s="4">
        <v>1</v>
      </c>
      <c r="AN46" s="4">
        <v>0</v>
      </c>
      <c r="AO46" s="4">
        <v>0</v>
      </c>
      <c r="AP46" s="3" t="s">
        <v>58</v>
      </c>
      <c r="AQ46" s="3" t="s">
        <v>85</v>
      </c>
      <c r="AR46" s="6" t="str">
        <f>HYPERLINK("http://catalog.hathitrust.org/Record/000872187","HathiTrust Record")</f>
        <v>HathiTrust Record</v>
      </c>
      <c r="AS46" s="6" t="str">
        <f>HYPERLINK("https://creighton-primo.hosted.exlibrisgroup.com/primo-explore/search?tab=default_tab&amp;search_scope=EVERYTHING&amp;vid=01CRU&amp;lang=en_US&amp;offset=0&amp;query=any,contains,991001367799702656","Catalog Record")</f>
        <v>Catalog Record</v>
      </c>
      <c r="AT46" s="6" t="str">
        <f>HYPERLINK("http://www.worldcat.org/oclc/16092682","WorldCat Record")</f>
        <v>WorldCat Record</v>
      </c>
      <c r="AU46" s="3" t="s">
        <v>688</v>
      </c>
      <c r="AV46" s="3" t="s">
        <v>689</v>
      </c>
      <c r="AW46" s="3" t="s">
        <v>690</v>
      </c>
      <c r="AX46" s="3" t="s">
        <v>690</v>
      </c>
      <c r="AY46" s="3" t="s">
        <v>691</v>
      </c>
      <c r="AZ46" s="3" t="s">
        <v>73</v>
      </c>
      <c r="BB46" s="3" t="s">
        <v>692</v>
      </c>
      <c r="BC46" s="3" t="s">
        <v>693</v>
      </c>
      <c r="BD46" s="3" t="s">
        <v>694</v>
      </c>
    </row>
    <row r="47" spans="1:56" ht="40.5" customHeight="1" x14ac:dyDescent="0.25">
      <c r="A47" s="7" t="s">
        <v>58</v>
      </c>
      <c r="B47" s="2" t="s">
        <v>695</v>
      </c>
      <c r="C47" s="2" t="s">
        <v>696</v>
      </c>
      <c r="D47" s="2" t="s">
        <v>697</v>
      </c>
      <c r="F47" s="3" t="s">
        <v>58</v>
      </c>
      <c r="G47" s="3" t="s">
        <v>59</v>
      </c>
      <c r="H47" s="3" t="s">
        <v>58</v>
      </c>
      <c r="I47" s="3" t="s">
        <v>58</v>
      </c>
      <c r="J47" s="3" t="s">
        <v>60</v>
      </c>
      <c r="K47" s="2" t="s">
        <v>698</v>
      </c>
      <c r="L47" s="2" t="s">
        <v>212</v>
      </c>
      <c r="M47" s="3" t="s">
        <v>213</v>
      </c>
      <c r="N47" s="2" t="s">
        <v>198</v>
      </c>
      <c r="O47" s="3" t="s">
        <v>64</v>
      </c>
      <c r="P47" s="3" t="s">
        <v>117</v>
      </c>
      <c r="R47" s="3" t="s">
        <v>66</v>
      </c>
      <c r="S47" s="4">
        <v>17</v>
      </c>
      <c r="T47" s="4">
        <v>17</v>
      </c>
      <c r="U47" s="5" t="s">
        <v>699</v>
      </c>
      <c r="V47" s="5" t="s">
        <v>699</v>
      </c>
      <c r="W47" s="5" t="s">
        <v>290</v>
      </c>
      <c r="X47" s="5" t="s">
        <v>290</v>
      </c>
      <c r="Y47" s="4">
        <v>652</v>
      </c>
      <c r="Z47" s="4">
        <v>449</v>
      </c>
      <c r="AA47" s="4">
        <v>613</v>
      </c>
      <c r="AB47" s="4">
        <v>3</v>
      </c>
      <c r="AC47" s="4">
        <v>3</v>
      </c>
      <c r="AD47" s="4">
        <v>15</v>
      </c>
      <c r="AE47" s="4">
        <v>20</v>
      </c>
      <c r="AF47" s="4">
        <v>4</v>
      </c>
      <c r="AG47" s="4">
        <v>7</v>
      </c>
      <c r="AH47" s="4">
        <v>3</v>
      </c>
      <c r="AI47" s="4">
        <v>4</v>
      </c>
      <c r="AJ47" s="4">
        <v>10</v>
      </c>
      <c r="AK47" s="4">
        <v>13</v>
      </c>
      <c r="AL47" s="4">
        <v>2</v>
      </c>
      <c r="AM47" s="4">
        <v>2</v>
      </c>
      <c r="AN47" s="4">
        <v>0</v>
      </c>
      <c r="AO47" s="4">
        <v>0</v>
      </c>
      <c r="AP47" s="3" t="s">
        <v>58</v>
      </c>
      <c r="AQ47" s="3" t="s">
        <v>85</v>
      </c>
      <c r="AR47" s="6" t="str">
        <f>HYPERLINK("http://catalog.hathitrust.org/Record/000020603","HathiTrust Record")</f>
        <v>HathiTrust Record</v>
      </c>
      <c r="AS47" s="6" t="str">
        <f>HYPERLINK("https://creighton-primo.hosted.exlibrisgroup.com/primo-explore/search?tab=default_tab&amp;search_scope=EVERYTHING&amp;vid=01CRU&amp;lang=en_US&amp;offset=0&amp;query=any,contains,991000855139702656","Catalog Record")</f>
        <v>Catalog Record</v>
      </c>
      <c r="AT47" s="6" t="str">
        <f>HYPERLINK("http://www.worldcat.org/oclc/1531968","WorldCat Record")</f>
        <v>WorldCat Record</v>
      </c>
      <c r="AU47" s="3" t="s">
        <v>700</v>
      </c>
      <c r="AV47" s="3" t="s">
        <v>701</v>
      </c>
      <c r="AW47" s="3" t="s">
        <v>702</v>
      </c>
      <c r="AX47" s="3" t="s">
        <v>702</v>
      </c>
      <c r="AY47" s="3" t="s">
        <v>703</v>
      </c>
      <c r="AZ47" s="3" t="s">
        <v>73</v>
      </c>
      <c r="BB47" s="3" t="s">
        <v>704</v>
      </c>
      <c r="BC47" s="3" t="s">
        <v>705</v>
      </c>
      <c r="BD47" s="3" t="s">
        <v>706</v>
      </c>
    </row>
    <row r="48" spans="1:56" ht="40.5" customHeight="1" x14ac:dyDescent="0.25">
      <c r="A48" s="7" t="s">
        <v>58</v>
      </c>
      <c r="B48" s="2" t="s">
        <v>707</v>
      </c>
      <c r="C48" s="2" t="s">
        <v>708</v>
      </c>
      <c r="D48" s="2" t="s">
        <v>709</v>
      </c>
      <c r="F48" s="3" t="s">
        <v>58</v>
      </c>
      <c r="G48" s="3" t="s">
        <v>59</v>
      </c>
      <c r="H48" s="3" t="s">
        <v>58</v>
      </c>
      <c r="I48" s="3" t="s">
        <v>58</v>
      </c>
      <c r="J48" s="3" t="s">
        <v>60</v>
      </c>
      <c r="K48" s="2" t="s">
        <v>710</v>
      </c>
      <c r="L48" s="2" t="s">
        <v>711</v>
      </c>
      <c r="M48" s="3" t="s">
        <v>116</v>
      </c>
      <c r="O48" s="3" t="s">
        <v>64</v>
      </c>
      <c r="P48" s="3" t="s">
        <v>135</v>
      </c>
      <c r="R48" s="3" t="s">
        <v>66</v>
      </c>
      <c r="S48" s="4">
        <v>11</v>
      </c>
      <c r="T48" s="4">
        <v>11</v>
      </c>
      <c r="U48" s="5" t="s">
        <v>712</v>
      </c>
      <c r="V48" s="5" t="s">
        <v>712</v>
      </c>
      <c r="W48" s="5" t="s">
        <v>713</v>
      </c>
      <c r="X48" s="5" t="s">
        <v>713</v>
      </c>
      <c r="Y48" s="4">
        <v>274</v>
      </c>
      <c r="Z48" s="4">
        <v>140</v>
      </c>
      <c r="AA48" s="4">
        <v>141</v>
      </c>
      <c r="AB48" s="4">
        <v>1</v>
      </c>
      <c r="AC48" s="4">
        <v>1</v>
      </c>
      <c r="AD48" s="4">
        <v>6</v>
      </c>
      <c r="AE48" s="4">
        <v>6</v>
      </c>
      <c r="AF48" s="4">
        <v>1</v>
      </c>
      <c r="AG48" s="4">
        <v>1</v>
      </c>
      <c r="AH48" s="4">
        <v>3</v>
      </c>
      <c r="AI48" s="4">
        <v>3</v>
      </c>
      <c r="AJ48" s="4">
        <v>2</v>
      </c>
      <c r="AK48" s="4">
        <v>2</v>
      </c>
      <c r="AL48" s="4">
        <v>0</v>
      </c>
      <c r="AM48" s="4">
        <v>0</v>
      </c>
      <c r="AN48" s="4">
        <v>0</v>
      </c>
      <c r="AO48" s="4">
        <v>0</v>
      </c>
      <c r="AP48" s="3" t="s">
        <v>58</v>
      </c>
      <c r="AQ48" s="3" t="s">
        <v>85</v>
      </c>
      <c r="AR48" s="6" t="str">
        <f>HYPERLINK("http://catalog.hathitrust.org/Record/002638337","HathiTrust Record")</f>
        <v>HathiTrust Record</v>
      </c>
      <c r="AS48" s="6" t="str">
        <f>HYPERLINK("https://creighton-primo.hosted.exlibrisgroup.com/primo-explore/search?tab=default_tab&amp;search_scope=EVERYTHING&amp;vid=01CRU&amp;lang=en_US&amp;offset=0&amp;query=any,contains,991001340139702656","Catalog Record")</f>
        <v>Catalog Record</v>
      </c>
      <c r="AT48" s="6" t="str">
        <f>HYPERLINK("http://www.worldcat.org/oclc/28029183","WorldCat Record")</f>
        <v>WorldCat Record</v>
      </c>
      <c r="AU48" s="3" t="s">
        <v>714</v>
      </c>
      <c r="AV48" s="3" t="s">
        <v>715</v>
      </c>
      <c r="AW48" s="3" t="s">
        <v>716</v>
      </c>
      <c r="AX48" s="3" t="s">
        <v>716</v>
      </c>
      <c r="AY48" s="3" t="s">
        <v>717</v>
      </c>
      <c r="AZ48" s="3" t="s">
        <v>73</v>
      </c>
      <c r="BB48" s="3" t="s">
        <v>718</v>
      </c>
      <c r="BC48" s="3" t="s">
        <v>719</v>
      </c>
      <c r="BD48" s="3" t="s">
        <v>720</v>
      </c>
    </row>
    <row r="49" spans="1:56" ht="40.5" customHeight="1" x14ac:dyDescent="0.25">
      <c r="A49" s="7" t="s">
        <v>58</v>
      </c>
      <c r="B49" s="2" t="s">
        <v>721</v>
      </c>
      <c r="C49" s="2" t="s">
        <v>722</v>
      </c>
      <c r="D49" s="2" t="s">
        <v>723</v>
      </c>
      <c r="F49" s="3" t="s">
        <v>58</v>
      </c>
      <c r="G49" s="3" t="s">
        <v>59</v>
      </c>
      <c r="H49" s="3" t="s">
        <v>58</v>
      </c>
      <c r="I49" s="3" t="s">
        <v>58</v>
      </c>
      <c r="J49" s="3" t="s">
        <v>60</v>
      </c>
      <c r="K49" s="2" t="s">
        <v>724</v>
      </c>
      <c r="L49" s="2" t="s">
        <v>725</v>
      </c>
      <c r="M49" s="3" t="s">
        <v>726</v>
      </c>
      <c r="O49" s="3" t="s">
        <v>64</v>
      </c>
      <c r="P49" s="3" t="s">
        <v>117</v>
      </c>
      <c r="Q49" s="2" t="s">
        <v>727</v>
      </c>
      <c r="R49" s="3" t="s">
        <v>66</v>
      </c>
      <c r="S49" s="4">
        <v>14</v>
      </c>
      <c r="T49" s="4">
        <v>14</v>
      </c>
      <c r="U49" s="5" t="s">
        <v>728</v>
      </c>
      <c r="V49" s="5" t="s">
        <v>728</v>
      </c>
      <c r="W49" s="5" t="s">
        <v>729</v>
      </c>
      <c r="X49" s="5" t="s">
        <v>729</v>
      </c>
      <c r="Y49" s="4">
        <v>117</v>
      </c>
      <c r="Z49" s="4">
        <v>62</v>
      </c>
      <c r="AA49" s="4">
        <v>69</v>
      </c>
      <c r="AB49" s="4">
        <v>1</v>
      </c>
      <c r="AC49" s="4">
        <v>1</v>
      </c>
      <c r="AD49" s="4">
        <v>1</v>
      </c>
      <c r="AE49" s="4">
        <v>1</v>
      </c>
      <c r="AF49" s="4">
        <v>1</v>
      </c>
      <c r="AG49" s="4">
        <v>1</v>
      </c>
      <c r="AH49" s="4">
        <v>0</v>
      </c>
      <c r="AI49" s="4">
        <v>0</v>
      </c>
      <c r="AJ49" s="4">
        <v>0</v>
      </c>
      <c r="AK49" s="4">
        <v>0</v>
      </c>
      <c r="AL49" s="4">
        <v>0</v>
      </c>
      <c r="AM49" s="4">
        <v>0</v>
      </c>
      <c r="AN49" s="4">
        <v>0</v>
      </c>
      <c r="AO49" s="4">
        <v>0</v>
      </c>
      <c r="AP49" s="3" t="s">
        <v>58</v>
      </c>
      <c r="AQ49" s="3" t="s">
        <v>85</v>
      </c>
      <c r="AR49" s="6" t="str">
        <f>HYPERLINK("http://catalog.hathitrust.org/Record/010662068","HathiTrust Record")</f>
        <v>HathiTrust Record</v>
      </c>
      <c r="AS49" s="6" t="str">
        <f>HYPERLINK("https://creighton-primo.hosted.exlibrisgroup.com/primo-explore/search?tab=default_tab&amp;search_scope=EVERYTHING&amp;vid=01CRU&amp;lang=en_US&amp;offset=0&amp;query=any,contains,991001347229702656","Catalog Record")</f>
        <v>Catalog Record</v>
      </c>
      <c r="AT49" s="6" t="str">
        <f>HYPERLINK("http://www.worldcat.org/oclc/20131051","WorldCat Record")</f>
        <v>WorldCat Record</v>
      </c>
      <c r="AU49" s="3" t="s">
        <v>730</v>
      </c>
      <c r="AV49" s="3" t="s">
        <v>731</v>
      </c>
      <c r="AW49" s="3" t="s">
        <v>732</v>
      </c>
      <c r="AX49" s="3" t="s">
        <v>732</v>
      </c>
      <c r="AY49" s="3" t="s">
        <v>733</v>
      </c>
      <c r="AZ49" s="3" t="s">
        <v>73</v>
      </c>
      <c r="BB49" s="3" t="s">
        <v>734</v>
      </c>
      <c r="BC49" s="3" t="s">
        <v>735</v>
      </c>
      <c r="BD49" s="3" t="s">
        <v>736</v>
      </c>
    </row>
    <row r="50" spans="1:56" ht="40.5" customHeight="1" x14ac:dyDescent="0.25">
      <c r="A50" s="7" t="s">
        <v>58</v>
      </c>
      <c r="B50" s="2" t="s">
        <v>737</v>
      </c>
      <c r="C50" s="2" t="s">
        <v>738</v>
      </c>
      <c r="D50" s="2" t="s">
        <v>739</v>
      </c>
      <c r="F50" s="3" t="s">
        <v>58</v>
      </c>
      <c r="G50" s="3" t="s">
        <v>59</v>
      </c>
      <c r="H50" s="3" t="s">
        <v>58</v>
      </c>
      <c r="I50" s="3" t="s">
        <v>58</v>
      </c>
      <c r="J50" s="3" t="s">
        <v>60</v>
      </c>
      <c r="K50" s="2" t="s">
        <v>740</v>
      </c>
      <c r="L50" s="2" t="s">
        <v>741</v>
      </c>
      <c r="M50" s="3" t="s">
        <v>742</v>
      </c>
      <c r="O50" s="3" t="s">
        <v>64</v>
      </c>
      <c r="P50" s="3" t="s">
        <v>743</v>
      </c>
      <c r="R50" s="3" t="s">
        <v>66</v>
      </c>
      <c r="S50" s="4">
        <v>22</v>
      </c>
      <c r="T50" s="4">
        <v>22</v>
      </c>
      <c r="U50" s="5" t="s">
        <v>744</v>
      </c>
      <c r="V50" s="5" t="s">
        <v>744</v>
      </c>
      <c r="W50" s="5" t="s">
        <v>745</v>
      </c>
      <c r="X50" s="5" t="s">
        <v>745</v>
      </c>
      <c r="Y50" s="4">
        <v>144</v>
      </c>
      <c r="Z50" s="4">
        <v>123</v>
      </c>
      <c r="AA50" s="4">
        <v>125</v>
      </c>
      <c r="AB50" s="4">
        <v>2</v>
      </c>
      <c r="AC50" s="4">
        <v>2</v>
      </c>
      <c r="AD50" s="4">
        <v>9</v>
      </c>
      <c r="AE50" s="4">
        <v>9</v>
      </c>
      <c r="AF50" s="4">
        <v>3</v>
      </c>
      <c r="AG50" s="4">
        <v>3</v>
      </c>
      <c r="AH50" s="4">
        <v>1</v>
      </c>
      <c r="AI50" s="4">
        <v>1</v>
      </c>
      <c r="AJ50" s="4">
        <v>5</v>
      </c>
      <c r="AK50" s="4">
        <v>5</v>
      </c>
      <c r="AL50" s="4">
        <v>1</v>
      </c>
      <c r="AM50" s="4">
        <v>1</v>
      </c>
      <c r="AN50" s="4">
        <v>0</v>
      </c>
      <c r="AO50" s="4">
        <v>0</v>
      </c>
      <c r="AP50" s="3" t="s">
        <v>58</v>
      </c>
      <c r="AQ50" s="3" t="s">
        <v>85</v>
      </c>
      <c r="AR50" s="6" t="str">
        <f>HYPERLINK("http://catalog.hathitrust.org/Record/002863358","HathiTrust Record")</f>
        <v>HathiTrust Record</v>
      </c>
      <c r="AS50" s="6" t="str">
        <f>HYPERLINK("https://creighton-primo.hosted.exlibrisgroup.com/primo-explore/search?tab=default_tab&amp;search_scope=EVERYTHING&amp;vid=01CRU&amp;lang=en_US&amp;offset=0&amp;query=any,contains,991001348599702656","Catalog Record")</f>
        <v>Catalog Record</v>
      </c>
      <c r="AT50" s="6" t="str">
        <f>HYPERLINK("http://www.worldcat.org/oclc/27124370","WorldCat Record")</f>
        <v>WorldCat Record</v>
      </c>
      <c r="AU50" s="3" t="s">
        <v>746</v>
      </c>
      <c r="AV50" s="3" t="s">
        <v>747</v>
      </c>
      <c r="AW50" s="3" t="s">
        <v>748</v>
      </c>
      <c r="AX50" s="3" t="s">
        <v>748</v>
      </c>
      <c r="AY50" s="3" t="s">
        <v>749</v>
      </c>
      <c r="AZ50" s="3" t="s">
        <v>73</v>
      </c>
      <c r="BB50" s="3" t="s">
        <v>750</v>
      </c>
      <c r="BC50" s="3" t="s">
        <v>751</v>
      </c>
      <c r="BD50" s="3" t="s">
        <v>752</v>
      </c>
    </row>
    <row r="51" spans="1:56" ht="40.5" customHeight="1" x14ac:dyDescent="0.25">
      <c r="A51" s="7" t="s">
        <v>58</v>
      </c>
      <c r="B51" s="2" t="s">
        <v>753</v>
      </c>
      <c r="C51" s="2" t="s">
        <v>754</v>
      </c>
      <c r="D51" s="2" t="s">
        <v>755</v>
      </c>
      <c r="F51" s="3" t="s">
        <v>58</v>
      </c>
      <c r="G51" s="3" t="s">
        <v>756</v>
      </c>
      <c r="H51" s="3" t="s">
        <v>85</v>
      </c>
      <c r="I51" s="3" t="s">
        <v>85</v>
      </c>
      <c r="J51" s="3" t="s">
        <v>59</v>
      </c>
      <c r="K51" s="2" t="s">
        <v>757</v>
      </c>
      <c r="L51" s="2" t="s">
        <v>758</v>
      </c>
      <c r="M51" s="3" t="s">
        <v>759</v>
      </c>
      <c r="N51" s="2" t="s">
        <v>134</v>
      </c>
      <c r="O51" s="3" t="s">
        <v>64</v>
      </c>
      <c r="P51" s="3" t="s">
        <v>117</v>
      </c>
      <c r="R51" s="3" t="s">
        <v>66</v>
      </c>
      <c r="S51" s="4">
        <v>126</v>
      </c>
      <c r="T51" s="4">
        <v>316</v>
      </c>
      <c r="U51" s="5" t="s">
        <v>760</v>
      </c>
      <c r="V51" s="5" t="s">
        <v>760</v>
      </c>
      <c r="W51" s="5" t="s">
        <v>761</v>
      </c>
      <c r="X51" s="5" t="s">
        <v>761</v>
      </c>
      <c r="Y51" s="4">
        <v>836</v>
      </c>
      <c r="Z51" s="4">
        <v>544</v>
      </c>
      <c r="AA51" s="4">
        <v>1648</v>
      </c>
      <c r="AB51" s="4">
        <v>2</v>
      </c>
      <c r="AC51" s="4">
        <v>9</v>
      </c>
      <c r="AD51" s="4">
        <v>17</v>
      </c>
      <c r="AE51" s="4">
        <v>46</v>
      </c>
      <c r="AF51" s="4">
        <v>5</v>
      </c>
      <c r="AG51" s="4">
        <v>19</v>
      </c>
      <c r="AH51" s="4">
        <v>7</v>
      </c>
      <c r="AI51" s="4">
        <v>10</v>
      </c>
      <c r="AJ51" s="4">
        <v>8</v>
      </c>
      <c r="AK51" s="4">
        <v>23</v>
      </c>
      <c r="AL51" s="4">
        <v>1</v>
      </c>
      <c r="AM51" s="4">
        <v>6</v>
      </c>
      <c r="AN51" s="4">
        <v>0</v>
      </c>
      <c r="AO51" s="4">
        <v>0</v>
      </c>
      <c r="AP51" s="3" t="s">
        <v>58</v>
      </c>
      <c r="AQ51" s="3" t="s">
        <v>85</v>
      </c>
      <c r="AR51" s="6" t="str">
        <f>HYPERLINK("http://catalog.hathitrust.org/Record/002954542","HathiTrust Record")</f>
        <v>HathiTrust Record</v>
      </c>
      <c r="AS51" s="6" t="str">
        <f>HYPERLINK("https://creighton-primo.hosted.exlibrisgroup.com/primo-explore/search?tab=default_tab&amp;search_scope=EVERYTHING&amp;vid=01CRU&amp;lang=en_US&amp;offset=0&amp;query=any,contains,991000797769702656","Catalog Record")</f>
        <v>Catalog Record</v>
      </c>
      <c r="AT51" s="6" t="str">
        <f>HYPERLINK("http://www.worldcat.org/oclc/30893133","WorldCat Record")</f>
        <v>WorldCat Record</v>
      </c>
      <c r="AU51" s="3" t="s">
        <v>762</v>
      </c>
      <c r="AV51" s="3" t="s">
        <v>763</v>
      </c>
      <c r="AW51" s="3" t="s">
        <v>764</v>
      </c>
      <c r="AX51" s="3" t="s">
        <v>764</v>
      </c>
      <c r="AY51" s="3" t="s">
        <v>765</v>
      </c>
      <c r="AZ51" s="3" t="s">
        <v>73</v>
      </c>
      <c r="BB51" s="3" t="s">
        <v>766</v>
      </c>
      <c r="BC51" s="3" t="s">
        <v>767</v>
      </c>
      <c r="BD51" s="3" t="s">
        <v>768</v>
      </c>
    </row>
    <row r="52" spans="1:56" ht="40.5" customHeight="1" x14ac:dyDescent="0.25">
      <c r="A52" s="7" t="s">
        <v>58</v>
      </c>
      <c r="B52" s="2" t="s">
        <v>753</v>
      </c>
      <c r="C52" s="2" t="s">
        <v>754</v>
      </c>
      <c r="D52" s="2" t="s">
        <v>755</v>
      </c>
      <c r="F52" s="3" t="s">
        <v>58</v>
      </c>
      <c r="G52" s="3" t="s">
        <v>59</v>
      </c>
      <c r="H52" s="3" t="s">
        <v>85</v>
      </c>
      <c r="I52" s="3" t="s">
        <v>85</v>
      </c>
      <c r="J52" s="3" t="s">
        <v>59</v>
      </c>
      <c r="K52" s="2" t="s">
        <v>757</v>
      </c>
      <c r="L52" s="2" t="s">
        <v>758</v>
      </c>
      <c r="M52" s="3" t="s">
        <v>759</v>
      </c>
      <c r="N52" s="2" t="s">
        <v>134</v>
      </c>
      <c r="O52" s="3" t="s">
        <v>64</v>
      </c>
      <c r="P52" s="3" t="s">
        <v>117</v>
      </c>
      <c r="R52" s="3" t="s">
        <v>66</v>
      </c>
      <c r="S52" s="4">
        <v>190</v>
      </c>
      <c r="T52" s="4">
        <v>316</v>
      </c>
      <c r="U52" s="5" t="s">
        <v>769</v>
      </c>
      <c r="V52" s="5" t="s">
        <v>760</v>
      </c>
      <c r="W52" s="5" t="s">
        <v>770</v>
      </c>
      <c r="X52" s="5" t="s">
        <v>761</v>
      </c>
      <c r="Y52" s="4">
        <v>836</v>
      </c>
      <c r="Z52" s="4">
        <v>544</v>
      </c>
      <c r="AA52" s="4">
        <v>1648</v>
      </c>
      <c r="AB52" s="4">
        <v>2</v>
      </c>
      <c r="AC52" s="4">
        <v>9</v>
      </c>
      <c r="AD52" s="4">
        <v>17</v>
      </c>
      <c r="AE52" s="4">
        <v>46</v>
      </c>
      <c r="AF52" s="4">
        <v>5</v>
      </c>
      <c r="AG52" s="4">
        <v>19</v>
      </c>
      <c r="AH52" s="4">
        <v>7</v>
      </c>
      <c r="AI52" s="4">
        <v>10</v>
      </c>
      <c r="AJ52" s="4">
        <v>8</v>
      </c>
      <c r="AK52" s="4">
        <v>23</v>
      </c>
      <c r="AL52" s="4">
        <v>1</v>
      </c>
      <c r="AM52" s="4">
        <v>6</v>
      </c>
      <c r="AN52" s="4">
        <v>0</v>
      </c>
      <c r="AO52" s="4">
        <v>0</v>
      </c>
      <c r="AP52" s="3" t="s">
        <v>58</v>
      </c>
      <c r="AQ52" s="3" t="s">
        <v>85</v>
      </c>
      <c r="AR52" s="6" t="str">
        <f>HYPERLINK("http://catalog.hathitrust.org/Record/002954542","HathiTrust Record")</f>
        <v>HathiTrust Record</v>
      </c>
      <c r="AS52" s="6" t="str">
        <f>HYPERLINK("https://creighton-primo.hosted.exlibrisgroup.com/primo-explore/search?tab=default_tab&amp;search_scope=EVERYTHING&amp;vid=01CRU&amp;lang=en_US&amp;offset=0&amp;query=any,contains,991000797769702656","Catalog Record")</f>
        <v>Catalog Record</v>
      </c>
      <c r="AT52" s="6" t="str">
        <f>HYPERLINK("http://www.worldcat.org/oclc/30893133","WorldCat Record")</f>
        <v>WorldCat Record</v>
      </c>
      <c r="AU52" s="3" t="s">
        <v>762</v>
      </c>
      <c r="AV52" s="3" t="s">
        <v>763</v>
      </c>
      <c r="AW52" s="3" t="s">
        <v>764</v>
      </c>
      <c r="AX52" s="3" t="s">
        <v>764</v>
      </c>
      <c r="AY52" s="3" t="s">
        <v>765</v>
      </c>
      <c r="AZ52" s="3" t="s">
        <v>73</v>
      </c>
      <c r="BB52" s="3" t="s">
        <v>766</v>
      </c>
      <c r="BC52" s="3" t="s">
        <v>771</v>
      </c>
      <c r="BD52" s="3" t="s">
        <v>772</v>
      </c>
    </row>
    <row r="53" spans="1:56" ht="40.5" customHeight="1" x14ac:dyDescent="0.25">
      <c r="A53" s="7" t="s">
        <v>58</v>
      </c>
      <c r="B53" s="2" t="s">
        <v>773</v>
      </c>
      <c r="C53" s="2" t="s">
        <v>774</v>
      </c>
      <c r="D53" s="2" t="s">
        <v>775</v>
      </c>
      <c r="F53" s="3" t="s">
        <v>58</v>
      </c>
      <c r="G53" s="3" t="s">
        <v>59</v>
      </c>
      <c r="H53" s="3" t="s">
        <v>58</v>
      </c>
      <c r="I53" s="3" t="s">
        <v>85</v>
      </c>
      <c r="J53" s="3" t="s">
        <v>60</v>
      </c>
      <c r="L53" s="2" t="s">
        <v>776</v>
      </c>
      <c r="M53" s="3" t="s">
        <v>133</v>
      </c>
      <c r="N53" s="2" t="s">
        <v>777</v>
      </c>
      <c r="O53" s="3" t="s">
        <v>64</v>
      </c>
      <c r="P53" s="3" t="s">
        <v>117</v>
      </c>
      <c r="R53" s="3" t="s">
        <v>66</v>
      </c>
      <c r="S53" s="4">
        <v>4</v>
      </c>
      <c r="T53" s="4">
        <v>4</v>
      </c>
      <c r="U53" s="5" t="s">
        <v>778</v>
      </c>
      <c r="V53" s="5" t="s">
        <v>778</v>
      </c>
      <c r="W53" s="5" t="s">
        <v>779</v>
      </c>
      <c r="X53" s="5" t="s">
        <v>779</v>
      </c>
      <c r="Y53" s="4">
        <v>529</v>
      </c>
      <c r="Z53" s="4">
        <v>348</v>
      </c>
      <c r="AA53" s="4">
        <v>1587</v>
      </c>
      <c r="AB53" s="4">
        <v>3</v>
      </c>
      <c r="AC53" s="4">
        <v>5</v>
      </c>
      <c r="AD53" s="4">
        <v>11</v>
      </c>
      <c r="AE53" s="4">
        <v>37</v>
      </c>
      <c r="AF53" s="4">
        <v>0</v>
      </c>
      <c r="AG53" s="4">
        <v>15</v>
      </c>
      <c r="AH53" s="4">
        <v>3</v>
      </c>
      <c r="AI53" s="4">
        <v>8</v>
      </c>
      <c r="AJ53" s="4">
        <v>7</v>
      </c>
      <c r="AK53" s="4">
        <v>19</v>
      </c>
      <c r="AL53" s="4">
        <v>2</v>
      </c>
      <c r="AM53" s="4">
        <v>4</v>
      </c>
      <c r="AN53" s="4">
        <v>0</v>
      </c>
      <c r="AO53" s="4">
        <v>0</v>
      </c>
      <c r="AP53" s="3" t="s">
        <v>58</v>
      </c>
      <c r="AQ53" s="3" t="s">
        <v>85</v>
      </c>
      <c r="AR53" s="6" t="str">
        <f>HYPERLINK("http://catalog.hathitrust.org/Record/004220514","HathiTrust Record")</f>
        <v>HathiTrust Record</v>
      </c>
      <c r="AS53" s="6" t="str">
        <f>HYPERLINK("https://creighton-primo.hosted.exlibrisgroup.com/primo-explore/search?tab=default_tab&amp;search_scope=EVERYTHING&amp;vid=01CRU&amp;lang=en_US&amp;offset=0&amp;query=any,contains,991000331019702656","Catalog Record")</f>
        <v>Catalog Record</v>
      </c>
      <c r="AT53" s="6" t="str">
        <f>HYPERLINK("http://www.worldcat.org/oclc/48802226","WorldCat Record")</f>
        <v>WorldCat Record</v>
      </c>
      <c r="AU53" s="3" t="s">
        <v>780</v>
      </c>
      <c r="AV53" s="3" t="s">
        <v>781</v>
      </c>
      <c r="AW53" s="3" t="s">
        <v>782</v>
      </c>
      <c r="AX53" s="3" t="s">
        <v>782</v>
      </c>
      <c r="AY53" s="3" t="s">
        <v>783</v>
      </c>
      <c r="AZ53" s="3" t="s">
        <v>73</v>
      </c>
      <c r="BB53" s="3" t="s">
        <v>784</v>
      </c>
      <c r="BC53" s="3" t="s">
        <v>785</v>
      </c>
      <c r="BD53" s="3" t="s">
        <v>786</v>
      </c>
    </row>
    <row r="54" spans="1:56" ht="40.5" customHeight="1" x14ac:dyDescent="0.25">
      <c r="A54" s="7" t="s">
        <v>58</v>
      </c>
      <c r="B54" s="2" t="s">
        <v>787</v>
      </c>
      <c r="C54" s="2" t="s">
        <v>788</v>
      </c>
      <c r="D54" s="2" t="s">
        <v>789</v>
      </c>
      <c r="F54" s="3" t="s">
        <v>58</v>
      </c>
      <c r="G54" s="3" t="s">
        <v>59</v>
      </c>
      <c r="H54" s="3" t="s">
        <v>58</v>
      </c>
      <c r="I54" s="3" t="s">
        <v>85</v>
      </c>
      <c r="J54" s="3" t="s">
        <v>60</v>
      </c>
      <c r="K54" s="2" t="s">
        <v>790</v>
      </c>
      <c r="L54" s="2" t="s">
        <v>791</v>
      </c>
      <c r="M54" s="3" t="s">
        <v>467</v>
      </c>
      <c r="O54" s="3" t="s">
        <v>64</v>
      </c>
      <c r="P54" s="3" t="s">
        <v>65</v>
      </c>
      <c r="R54" s="3" t="s">
        <v>66</v>
      </c>
      <c r="S54" s="4">
        <v>12</v>
      </c>
      <c r="T54" s="4">
        <v>12</v>
      </c>
      <c r="U54" s="5" t="s">
        <v>792</v>
      </c>
      <c r="V54" s="5" t="s">
        <v>792</v>
      </c>
      <c r="W54" s="5" t="s">
        <v>290</v>
      </c>
      <c r="X54" s="5" t="s">
        <v>290</v>
      </c>
      <c r="Y54" s="4">
        <v>15</v>
      </c>
      <c r="Z54" s="4">
        <v>14</v>
      </c>
      <c r="AA54" s="4">
        <v>236</v>
      </c>
      <c r="AB54" s="4">
        <v>1</v>
      </c>
      <c r="AC54" s="4">
        <v>3</v>
      </c>
      <c r="AD54" s="4">
        <v>0</v>
      </c>
      <c r="AE54" s="4">
        <v>9</v>
      </c>
      <c r="AF54" s="4">
        <v>0</v>
      </c>
      <c r="AG54" s="4">
        <v>4</v>
      </c>
      <c r="AH54" s="4">
        <v>0</v>
      </c>
      <c r="AI54" s="4">
        <v>0</v>
      </c>
      <c r="AJ54" s="4">
        <v>0</v>
      </c>
      <c r="AK54" s="4">
        <v>6</v>
      </c>
      <c r="AL54" s="4">
        <v>0</v>
      </c>
      <c r="AM54" s="4">
        <v>1</v>
      </c>
      <c r="AN54" s="4">
        <v>0</v>
      </c>
      <c r="AO54" s="4">
        <v>0</v>
      </c>
      <c r="AP54" s="3" t="s">
        <v>58</v>
      </c>
      <c r="AQ54" s="3" t="s">
        <v>58</v>
      </c>
      <c r="AS54" s="6" t="str">
        <f>HYPERLINK("https://creighton-primo.hosted.exlibrisgroup.com/primo-explore/search?tab=default_tab&amp;search_scope=EVERYTHING&amp;vid=01CRU&amp;lang=en_US&amp;offset=0&amp;query=any,contains,991000894449702656","Catalog Record")</f>
        <v>Catalog Record</v>
      </c>
      <c r="AT54" s="6" t="str">
        <f>HYPERLINK("http://www.worldcat.org/oclc/6085333","WorldCat Record")</f>
        <v>WorldCat Record</v>
      </c>
      <c r="AU54" s="3" t="s">
        <v>793</v>
      </c>
      <c r="AV54" s="3" t="s">
        <v>794</v>
      </c>
      <c r="AW54" s="3" t="s">
        <v>795</v>
      </c>
      <c r="AX54" s="3" t="s">
        <v>795</v>
      </c>
      <c r="AY54" s="3" t="s">
        <v>796</v>
      </c>
      <c r="AZ54" s="3" t="s">
        <v>73</v>
      </c>
      <c r="BB54" s="3" t="s">
        <v>797</v>
      </c>
      <c r="BC54" s="3" t="s">
        <v>798</v>
      </c>
      <c r="BD54" s="3" t="s">
        <v>799</v>
      </c>
    </row>
    <row r="55" spans="1:56" ht="40.5" customHeight="1" x14ac:dyDescent="0.25">
      <c r="A55" s="7" t="s">
        <v>58</v>
      </c>
      <c r="B55" s="2" t="s">
        <v>800</v>
      </c>
      <c r="C55" s="2" t="s">
        <v>801</v>
      </c>
      <c r="D55" s="2" t="s">
        <v>802</v>
      </c>
      <c r="F55" s="3" t="s">
        <v>58</v>
      </c>
      <c r="G55" s="3" t="s">
        <v>59</v>
      </c>
      <c r="H55" s="3" t="s">
        <v>58</v>
      </c>
      <c r="I55" s="3" t="s">
        <v>58</v>
      </c>
      <c r="J55" s="3" t="s">
        <v>60</v>
      </c>
      <c r="K55" s="2" t="s">
        <v>803</v>
      </c>
      <c r="L55" s="2" t="s">
        <v>804</v>
      </c>
      <c r="M55" s="3" t="s">
        <v>116</v>
      </c>
      <c r="N55" s="2" t="s">
        <v>198</v>
      </c>
      <c r="O55" s="3" t="s">
        <v>64</v>
      </c>
      <c r="P55" s="3" t="s">
        <v>117</v>
      </c>
      <c r="R55" s="3" t="s">
        <v>66</v>
      </c>
      <c r="S55" s="4">
        <v>22</v>
      </c>
      <c r="T55" s="4">
        <v>22</v>
      </c>
      <c r="U55" s="5" t="s">
        <v>805</v>
      </c>
      <c r="V55" s="5" t="s">
        <v>805</v>
      </c>
      <c r="W55" s="5" t="s">
        <v>806</v>
      </c>
      <c r="X55" s="5" t="s">
        <v>806</v>
      </c>
      <c r="Y55" s="4">
        <v>122</v>
      </c>
      <c r="Z55" s="4">
        <v>84</v>
      </c>
      <c r="AA55" s="4">
        <v>95</v>
      </c>
      <c r="AB55" s="4">
        <v>2</v>
      </c>
      <c r="AC55" s="4">
        <v>2</v>
      </c>
      <c r="AD55" s="4">
        <v>2</v>
      </c>
      <c r="AE55" s="4">
        <v>3</v>
      </c>
      <c r="AF55" s="4">
        <v>1</v>
      </c>
      <c r="AG55" s="4">
        <v>1</v>
      </c>
      <c r="AH55" s="4">
        <v>0</v>
      </c>
      <c r="AI55" s="4">
        <v>1</v>
      </c>
      <c r="AJ55" s="4">
        <v>1</v>
      </c>
      <c r="AK55" s="4">
        <v>1</v>
      </c>
      <c r="AL55" s="4">
        <v>1</v>
      </c>
      <c r="AM55" s="4">
        <v>1</v>
      </c>
      <c r="AN55" s="4">
        <v>0</v>
      </c>
      <c r="AO55" s="4">
        <v>0</v>
      </c>
      <c r="AP55" s="3" t="s">
        <v>58</v>
      </c>
      <c r="AQ55" s="3" t="s">
        <v>58</v>
      </c>
      <c r="AS55" s="6" t="str">
        <f>HYPERLINK("https://creighton-primo.hosted.exlibrisgroup.com/primo-explore/search?tab=default_tab&amp;search_scope=EVERYTHING&amp;vid=01CRU&amp;lang=en_US&amp;offset=0&amp;query=any,contains,991000551329702656","Catalog Record")</f>
        <v>Catalog Record</v>
      </c>
      <c r="AT55" s="6" t="str">
        <f>HYPERLINK("http://www.worldcat.org/oclc/24467827","WorldCat Record")</f>
        <v>WorldCat Record</v>
      </c>
      <c r="AU55" s="3" t="s">
        <v>807</v>
      </c>
      <c r="AV55" s="3" t="s">
        <v>808</v>
      </c>
      <c r="AW55" s="3" t="s">
        <v>809</v>
      </c>
      <c r="AX55" s="3" t="s">
        <v>809</v>
      </c>
      <c r="AY55" s="3" t="s">
        <v>810</v>
      </c>
      <c r="AZ55" s="3" t="s">
        <v>73</v>
      </c>
      <c r="BB55" s="3" t="s">
        <v>811</v>
      </c>
      <c r="BC55" s="3" t="s">
        <v>812</v>
      </c>
      <c r="BD55" s="3" t="s">
        <v>813</v>
      </c>
    </row>
    <row r="56" spans="1:56" ht="40.5" customHeight="1" x14ac:dyDescent="0.25">
      <c r="A56" s="7" t="s">
        <v>58</v>
      </c>
      <c r="B56" s="2" t="s">
        <v>814</v>
      </c>
      <c r="C56" s="2" t="s">
        <v>815</v>
      </c>
      <c r="D56" s="2" t="s">
        <v>816</v>
      </c>
      <c r="F56" s="3" t="s">
        <v>58</v>
      </c>
      <c r="G56" s="3" t="s">
        <v>59</v>
      </c>
      <c r="H56" s="3" t="s">
        <v>58</v>
      </c>
      <c r="I56" s="3" t="s">
        <v>85</v>
      </c>
      <c r="J56" s="3" t="s">
        <v>60</v>
      </c>
      <c r="K56" s="2" t="s">
        <v>817</v>
      </c>
      <c r="L56" s="2" t="s">
        <v>818</v>
      </c>
      <c r="M56" s="3" t="s">
        <v>659</v>
      </c>
      <c r="N56" s="2" t="s">
        <v>777</v>
      </c>
      <c r="O56" s="3" t="s">
        <v>64</v>
      </c>
      <c r="P56" s="3" t="s">
        <v>117</v>
      </c>
      <c r="R56" s="3" t="s">
        <v>66</v>
      </c>
      <c r="S56" s="4">
        <v>11</v>
      </c>
      <c r="T56" s="4">
        <v>11</v>
      </c>
      <c r="U56" s="5" t="s">
        <v>819</v>
      </c>
      <c r="V56" s="5" t="s">
        <v>819</v>
      </c>
      <c r="W56" s="5" t="s">
        <v>215</v>
      </c>
      <c r="X56" s="5" t="s">
        <v>215</v>
      </c>
      <c r="Y56" s="4">
        <v>465</v>
      </c>
      <c r="Z56" s="4">
        <v>334</v>
      </c>
      <c r="AA56" s="4">
        <v>1012</v>
      </c>
      <c r="AB56" s="4">
        <v>4</v>
      </c>
      <c r="AC56" s="4">
        <v>13</v>
      </c>
      <c r="AD56" s="4">
        <v>10</v>
      </c>
      <c r="AE56" s="4">
        <v>35</v>
      </c>
      <c r="AF56" s="4">
        <v>1</v>
      </c>
      <c r="AG56" s="4">
        <v>10</v>
      </c>
      <c r="AH56" s="4">
        <v>3</v>
      </c>
      <c r="AI56" s="4">
        <v>7</v>
      </c>
      <c r="AJ56" s="4">
        <v>4</v>
      </c>
      <c r="AK56" s="4">
        <v>16</v>
      </c>
      <c r="AL56" s="4">
        <v>2</v>
      </c>
      <c r="AM56" s="4">
        <v>9</v>
      </c>
      <c r="AN56" s="4">
        <v>0</v>
      </c>
      <c r="AO56" s="4">
        <v>0</v>
      </c>
      <c r="AP56" s="3" t="s">
        <v>58</v>
      </c>
      <c r="AQ56" s="3" t="s">
        <v>85</v>
      </c>
      <c r="AR56" s="6" t="str">
        <f>HYPERLINK("http://catalog.hathitrust.org/Record/001555273","HathiTrust Record")</f>
        <v>HathiTrust Record</v>
      </c>
      <c r="AS56" s="6" t="str">
        <f>HYPERLINK("https://creighton-primo.hosted.exlibrisgroup.com/primo-explore/search?tab=default_tab&amp;search_scope=EVERYTHING&amp;vid=01CRU&amp;lang=en_US&amp;offset=0&amp;query=any,contains,991000758789702656","Catalog Record")</f>
        <v>Catalog Record</v>
      </c>
      <c r="AT56" s="6" t="str">
        <f>HYPERLINK("http://www.worldcat.org/oclc/684228","WorldCat Record")</f>
        <v>WorldCat Record</v>
      </c>
      <c r="AU56" s="3" t="s">
        <v>602</v>
      </c>
      <c r="AV56" s="3" t="s">
        <v>820</v>
      </c>
      <c r="AW56" s="3" t="s">
        <v>821</v>
      </c>
      <c r="AX56" s="3" t="s">
        <v>821</v>
      </c>
      <c r="AY56" s="3" t="s">
        <v>822</v>
      </c>
      <c r="AZ56" s="3" t="s">
        <v>73</v>
      </c>
      <c r="BB56" s="3" t="s">
        <v>823</v>
      </c>
      <c r="BC56" s="3" t="s">
        <v>824</v>
      </c>
      <c r="BD56" s="3" t="s">
        <v>825</v>
      </c>
    </row>
    <row r="57" spans="1:56" ht="40.5" customHeight="1" x14ac:dyDescent="0.25">
      <c r="A57" s="7" t="s">
        <v>58</v>
      </c>
      <c r="B57" s="2" t="s">
        <v>826</v>
      </c>
      <c r="C57" s="2" t="s">
        <v>827</v>
      </c>
      <c r="D57" s="2" t="s">
        <v>828</v>
      </c>
      <c r="F57" s="3" t="s">
        <v>58</v>
      </c>
      <c r="G57" s="3" t="s">
        <v>59</v>
      </c>
      <c r="H57" s="3" t="s">
        <v>58</v>
      </c>
      <c r="I57" s="3" t="s">
        <v>58</v>
      </c>
      <c r="J57" s="3" t="s">
        <v>60</v>
      </c>
      <c r="K57" s="2" t="s">
        <v>829</v>
      </c>
      <c r="L57" s="2" t="s">
        <v>830</v>
      </c>
      <c r="M57" s="3" t="s">
        <v>831</v>
      </c>
      <c r="N57" s="2" t="s">
        <v>134</v>
      </c>
      <c r="O57" s="3" t="s">
        <v>64</v>
      </c>
      <c r="P57" s="3" t="s">
        <v>304</v>
      </c>
      <c r="R57" s="3" t="s">
        <v>66</v>
      </c>
      <c r="S57" s="4">
        <v>10</v>
      </c>
      <c r="T57" s="4">
        <v>10</v>
      </c>
      <c r="U57" s="5" t="s">
        <v>832</v>
      </c>
      <c r="V57" s="5" t="s">
        <v>832</v>
      </c>
      <c r="W57" s="5" t="s">
        <v>321</v>
      </c>
      <c r="X57" s="5" t="s">
        <v>321</v>
      </c>
      <c r="Y57" s="4">
        <v>218</v>
      </c>
      <c r="Z57" s="4">
        <v>116</v>
      </c>
      <c r="AA57" s="4">
        <v>462</v>
      </c>
      <c r="AB57" s="4">
        <v>1</v>
      </c>
      <c r="AC57" s="4">
        <v>3</v>
      </c>
      <c r="AD57" s="4">
        <v>2</v>
      </c>
      <c r="AE57" s="4">
        <v>11</v>
      </c>
      <c r="AF57" s="4">
        <v>0</v>
      </c>
      <c r="AG57" s="4">
        <v>2</v>
      </c>
      <c r="AH57" s="4">
        <v>1</v>
      </c>
      <c r="AI57" s="4">
        <v>3</v>
      </c>
      <c r="AJ57" s="4">
        <v>2</v>
      </c>
      <c r="AK57" s="4">
        <v>7</v>
      </c>
      <c r="AL57" s="4">
        <v>0</v>
      </c>
      <c r="AM57" s="4">
        <v>2</v>
      </c>
      <c r="AN57" s="4">
        <v>0</v>
      </c>
      <c r="AO57" s="4">
        <v>0</v>
      </c>
      <c r="AP57" s="3" t="s">
        <v>58</v>
      </c>
      <c r="AQ57" s="3" t="s">
        <v>85</v>
      </c>
      <c r="AR57" s="6" t="str">
        <f>HYPERLINK("http://catalog.hathitrust.org/Record/003966004","HathiTrust Record")</f>
        <v>HathiTrust Record</v>
      </c>
      <c r="AS57" s="6" t="str">
        <f>HYPERLINK("https://creighton-primo.hosted.exlibrisgroup.com/primo-explore/search?tab=default_tab&amp;search_scope=EVERYTHING&amp;vid=01CRU&amp;lang=en_US&amp;offset=0&amp;query=any,contains,991000326729702656","Catalog Record")</f>
        <v>Catalog Record</v>
      </c>
      <c r="AT57" s="6" t="str">
        <f>HYPERLINK("http://www.worldcat.org/oclc/36785145","WorldCat Record")</f>
        <v>WorldCat Record</v>
      </c>
      <c r="AU57" s="3" t="s">
        <v>833</v>
      </c>
      <c r="AV57" s="3" t="s">
        <v>834</v>
      </c>
      <c r="AW57" s="3" t="s">
        <v>835</v>
      </c>
      <c r="AX57" s="3" t="s">
        <v>835</v>
      </c>
      <c r="AY57" s="3" t="s">
        <v>836</v>
      </c>
      <c r="AZ57" s="3" t="s">
        <v>73</v>
      </c>
      <c r="BB57" s="3" t="s">
        <v>837</v>
      </c>
      <c r="BC57" s="3" t="s">
        <v>838</v>
      </c>
      <c r="BD57" s="3" t="s">
        <v>839</v>
      </c>
    </row>
    <row r="58" spans="1:56" ht="40.5" customHeight="1" x14ac:dyDescent="0.25">
      <c r="A58" s="7" t="s">
        <v>58</v>
      </c>
      <c r="B58" s="2" t="s">
        <v>840</v>
      </c>
      <c r="C58" s="2" t="s">
        <v>841</v>
      </c>
      <c r="D58" s="2" t="s">
        <v>842</v>
      </c>
      <c r="F58" s="3" t="s">
        <v>58</v>
      </c>
      <c r="G58" s="3" t="s">
        <v>59</v>
      </c>
      <c r="H58" s="3" t="s">
        <v>85</v>
      </c>
      <c r="I58" s="3" t="s">
        <v>58</v>
      </c>
      <c r="J58" s="3" t="s">
        <v>60</v>
      </c>
      <c r="K58" s="2" t="s">
        <v>843</v>
      </c>
      <c r="L58" s="2" t="s">
        <v>844</v>
      </c>
      <c r="M58" s="3" t="s">
        <v>229</v>
      </c>
      <c r="O58" s="3" t="s">
        <v>64</v>
      </c>
      <c r="P58" s="3" t="s">
        <v>65</v>
      </c>
      <c r="R58" s="3" t="s">
        <v>66</v>
      </c>
      <c r="S58" s="4">
        <v>5</v>
      </c>
      <c r="T58" s="4">
        <v>5</v>
      </c>
      <c r="U58" s="5" t="s">
        <v>845</v>
      </c>
      <c r="V58" s="5" t="s">
        <v>845</v>
      </c>
      <c r="W58" s="5" t="s">
        <v>846</v>
      </c>
      <c r="X58" s="5" t="s">
        <v>846</v>
      </c>
      <c r="Y58" s="4">
        <v>1363</v>
      </c>
      <c r="Z58" s="4">
        <v>1245</v>
      </c>
      <c r="AA58" s="4">
        <v>1660</v>
      </c>
      <c r="AB58" s="4">
        <v>6</v>
      </c>
      <c r="AC58" s="4">
        <v>9</v>
      </c>
      <c r="AD58" s="4">
        <v>27</v>
      </c>
      <c r="AE58" s="4">
        <v>45</v>
      </c>
      <c r="AF58" s="4">
        <v>8</v>
      </c>
      <c r="AG58" s="4">
        <v>17</v>
      </c>
      <c r="AH58" s="4">
        <v>7</v>
      </c>
      <c r="AI58" s="4">
        <v>9</v>
      </c>
      <c r="AJ58" s="4">
        <v>14</v>
      </c>
      <c r="AK58" s="4">
        <v>23</v>
      </c>
      <c r="AL58" s="4">
        <v>3</v>
      </c>
      <c r="AM58" s="4">
        <v>6</v>
      </c>
      <c r="AN58" s="4">
        <v>0</v>
      </c>
      <c r="AO58" s="4">
        <v>1</v>
      </c>
      <c r="AP58" s="3" t="s">
        <v>58</v>
      </c>
      <c r="AQ58" s="3" t="s">
        <v>85</v>
      </c>
      <c r="AR58" s="6" t="str">
        <f>HYPERLINK("http://catalog.hathitrust.org/Record/000024060","HathiTrust Record")</f>
        <v>HathiTrust Record</v>
      </c>
      <c r="AS58" s="6" t="str">
        <f>HYPERLINK("https://creighton-primo.hosted.exlibrisgroup.com/primo-explore/search?tab=default_tab&amp;search_scope=EVERYTHING&amp;vid=01CRU&amp;lang=en_US&amp;offset=0&amp;query=any,contains,991000894089702656","Catalog Record")</f>
        <v>Catalog Record</v>
      </c>
      <c r="AT58" s="6" t="str">
        <f>HYPERLINK("http://www.worldcat.org/oclc/4497375","WorldCat Record")</f>
        <v>WorldCat Record</v>
      </c>
      <c r="AU58" s="3" t="s">
        <v>847</v>
      </c>
      <c r="AV58" s="3" t="s">
        <v>848</v>
      </c>
      <c r="AW58" s="3" t="s">
        <v>849</v>
      </c>
      <c r="AX58" s="3" t="s">
        <v>849</v>
      </c>
      <c r="AY58" s="3" t="s">
        <v>850</v>
      </c>
      <c r="AZ58" s="3" t="s">
        <v>73</v>
      </c>
      <c r="BB58" s="3" t="s">
        <v>851</v>
      </c>
      <c r="BC58" s="3" t="s">
        <v>852</v>
      </c>
      <c r="BD58" s="3" t="s">
        <v>853</v>
      </c>
    </row>
    <row r="59" spans="1:56" ht="40.5" customHeight="1" x14ac:dyDescent="0.25">
      <c r="A59" s="7" t="s">
        <v>58</v>
      </c>
      <c r="B59" s="2" t="s">
        <v>854</v>
      </c>
      <c r="C59" s="2" t="s">
        <v>855</v>
      </c>
      <c r="D59" s="2" t="s">
        <v>856</v>
      </c>
      <c r="F59" s="3" t="s">
        <v>58</v>
      </c>
      <c r="G59" s="3" t="s">
        <v>59</v>
      </c>
      <c r="H59" s="3" t="s">
        <v>58</v>
      </c>
      <c r="I59" s="3" t="s">
        <v>58</v>
      </c>
      <c r="J59" s="3" t="s">
        <v>60</v>
      </c>
      <c r="K59" s="2" t="s">
        <v>857</v>
      </c>
      <c r="L59" s="2" t="s">
        <v>858</v>
      </c>
      <c r="M59" s="3" t="s">
        <v>116</v>
      </c>
      <c r="O59" s="3" t="s">
        <v>64</v>
      </c>
      <c r="P59" s="3" t="s">
        <v>366</v>
      </c>
      <c r="R59" s="3" t="s">
        <v>66</v>
      </c>
      <c r="S59" s="4">
        <v>12</v>
      </c>
      <c r="T59" s="4">
        <v>12</v>
      </c>
      <c r="U59" s="5" t="s">
        <v>845</v>
      </c>
      <c r="V59" s="5" t="s">
        <v>845</v>
      </c>
      <c r="W59" s="5" t="s">
        <v>859</v>
      </c>
      <c r="X59" s="5" t="s">
        <v>859</v>
      </c>
      <c r="Y59" s="4">
        <v>256</v>
      </c>
      <c r="Z59" s="4">
        <v>222</v>
      </c>
      <c r="AA59" s="4">
        <v>229</v>
      </c>
      <c r="AB59" s="4">
        <v>2</v>
      </c>
      <c r="AC59" s="4">
        <v>2</v>
      </c>
      <c r="AD59" s="4">
        <v>9</v>
      </c>
      <c r="AE59" s="4">
        <v>9</v>
      </c>
      <c r="AF59" s="4">
        <v>4</v>
      </c>
      <c r="AG59" s="4">
        <v>4</v>
      </c>
      <c r="AH59" s="4">
        <v>1</v>
      </c>
      <c r="AI59" s="4">
        <v>1</v>
      </c>
      <c r="AJ59" s="4">
        <v>6</v>
      </c>
      <c r="AK59" s="4">
        <v>6</v>
      </c>
      <c r="AL59" s="4">
        <v>1</v>
      </c>
      <c r="AM59" s="4">
        <v>1</v>
      </c>
      <c r="AN59" s="4">
        <v>0</v>
      </c>
      <c r="AO59" s="4">
        <v>0</v>
      </c>
      <c r="AP59" s="3" t="s">
        <v>58</v>
      </c>
      <c r="AQ59" s="3" t="s">
        <v>85</v>
      </c>
      <c r="AR59" s="6" t="str">
        <f>HYPERLINK("http://catalog.hathitrust.org/Record/002536493","HathiTrust Record")</f>
        <v>HathiTrust Record</v>
      </c>
      <c r="AS59" s="6" t="str">
        <f>HYPERLINK("https://creighton-primo.hosted.exlibrisgroup.com/primo-explore/search?tab=default_tab&amp;search_scope=EVERYTHING&amp;vid=01CRU&amp;lang=en_US&amp;offset=0&amp;query=any,contains,991001341359702656","Catalog Record")</f>
        <v>Catalog Record</v>
      </c>
      <c r="AT59" s="6" t="str">
        <f>HYPERLINK("http://www.worldcat.org/oclc/24545758","WorldCat Record")</f>
        <v>WorldCat Record</v>
      </c>
      <c r="AU59" s="3" t="s">
        <v>860</v>
      </c>
      <c r="AV59" s="3" t="s">
        <v>861</v>
      </c>
      <c r="AW59" s="3" t="s">
        <v>862</v>
      </c>
      <c r="AX59" s="3" t="s">
        <v>862</v>
      </c>
      <c r="AY59" s="3" t="s">
        <v>863</v>
      </c>
      <c r="AZ59" s="3" t="s">
        <v>73</v>
      </c>
      <c r="BB59" s="3" t="s">
        <v>864</v>
      </c>
      <c r="BC59" s="3" t="s">
        <v>865</v>
      </c>
      <c r="BD59" s="3" t="s">
        <v>866</v>
      </c>
    </row>
    <row r="60" spans="1:56" ht="40.5" customHeight="1" x14ac:dyDescent="0.25">
      <c r="A60" s="7" t="s">
        <v>58</v>
      </c>
      <c r="B60" s="2" t="s">
        <v>867</v>
      </c>
      <c r="C60" s="2" t="s">
        <v>868</v>
      </c>
      <c r="D60" s="2" t="s">
        <v>869</v>
      </c>
      <c r="F60" s="3" t="s">
        <v>58</v>
      </c>
      <c r="G60" s="3" t="s">
        <v>59</v>
      </c>
      <c r="H60" s="3" t="s">
        <v>58</v>
      </c>
      <c r="I60" s="3" t="s">
        <v>58</v>
      </c>
      <c r="J60" s="3" t="s">
        <v>60</v>
      </c>
      <c r="K60" s="2" t="s">
        <v>870</v>
      </c>
      <c r="L60" s="2" t="s">
        <v>871</v>
      </c>
      <c r="M60" s="3" t="s">
        <v>197</v>
      </c>
      <c r="N60" s="2" t="s">
        <v>872</v>
      </c>
      <c r="O60" s="3" t="s">
        <v>64</v>
      </c>
      <c r="P60" s="3" t="s">
        <v>396</v>
      </c>
      <c r="R60" s="3" t="s">
        <v>66</v>
      </c>
      <c r="S60" s="4">
        <v>8</v>
      </c>
      <c r="T60" s="4">
        <v>8</v>
      </c>
      <c r="U60" s="5" t="s">
        <v>873</v>
      </c>
      <c r="V60" s="5" t="s">
        <v>873</v>
      </c>
      <c r="W60" s="5" t="s">
        <v>874</v>
      </c>
      <c r="X60" s="5" t="s">
        <v>874</v>
      </c>
      <c r="Y60" s="4">
        <v>524</v>
      </c>
      <c r="Z60" s="4">
        <v>385</v>
      </c>
      <c r="AA60" s="4">
        <v>681</v>
      </c>
      <c r="AB60" s="4">
        <v>4</v>
      </c>
      <c r="AC60" s="4">
        <v>5</v>
      </c>
      <c r="AD60" s="4">
        <v>15</v>
      </c>
      <c r="AE60" s="4">
        <v>22</v>
      </c>
      <c r="AF60" s="4">
        <v>1</v>
      </c>
      <c r="AG60" s="4">
        <v>6</v>
      </c>
      <c r="AH60" s="4">
        <v>4</v>
      </c>
      <c r="AI60" s="4">
        <v>4</v>
      </c>
      <c r="AJ60" s="4">
        <v>11</v>
      </c>
      <c r="AK60" s="4">
        <v>14</v>
      </c>
      <c r="AL60" s="4">
        <v>2</v>
      </c>
      <c r="AM60" s="4">
        <v>3</v>
      </c>
      <c r="AN60" s="4">
        <v>0</v>
      </c>
      <c r="AO60" s="4">
        <v>0</v>
      </c>
      <c r="AP60" s="3" t="s">
        <v>58</v>
      </c>
      <c r="AQ60" s="3" t="s">
        <v>85</v>
      </c>
      <c r="AR60" s="6" t="str">
        <f>HYPERLINK("http://catalog.hathitrust.org/Record/000947119","HathiTrust Record")</f>
        <v>HathiTrust Record</v>
      </c>
      <c r="AS60" s="6" t="str">
        <f>HYPERLINK("https://creighton-primo.hosted.exlibrisgroup.com/primo-explore/search?tab=default_tab&amp;search_scope=EVERYTHING&amp;vid=01CRU&amp;lang=en_US&amp;offset=0&amp;query=any,contains,991001418959702656","Catalog Record")</f>
        <v>Catalog Record</v>
      </c>
      <c r="AT60" s="6" t="str">
        <f>HYPERLINK("http://www.worldcat.org/oclc/17677472","WorldCat Record")</f>
        <v>WorldCat Record</v>
      </c>
      <c r="AU60" s="3" t="s">
        <v>875</v>
      </c>
      <c r="AV60" s="3" t="s">
        <v>876</v>
      </c>
      <c r="AW60" s="3" t="s">
        <v>877</v>
      </c>
      <c r="AX60" s="3" t="s">
        <v>877</v>
      </c>
      <c r="AY60" s="3" t="s">
        <v>878</v>
      </c>
      <c r="AZ60" s="3" t="s">
        <v>73</v>
      </c>
      <c r="BB60" s="3" t="s">
        <v>879</v>
      </c>
      <c r="BC60" s="3" t="s">
        <v>880</v>
      </c>
      <c r="BD60" s="3" t="s">
        <v>881</v>
      </c>
    </row>
    <row r="61" spans="1:56" ht="40.5" customHeight="1" x14ac:dyDescent="0.25">
      <c r="A61" s="7" t="s">
        <v>58</v>
      </c>
      <c r="B61" s="2" t="s">
        <v>882</v>
      </c>
      <c r="C61" s="2" t="s">
        <v>883</v>
      </c>
      <c r="D61" s="2" t="s">
        <v>884</v>
      </c>
      <c r="E61" s="3" t="s">
        <v>96</v>
      </c>
      <c r="F61" s="3" t="s">
        <v>85</v>
      </c>
      <c r="G61" s="3" t="s">
        <v>59</v>
      </c>
      <c r="H61" s="3" t="s">
        <v>58</v>
      </c>
      <c r="I61" s="3" t="s">
        <v>58</v>
      </c>
      <c r="J61" s="3" t="s">
        <v>60</v>
      </c>
      <c r="L61" s="2" t="s">
        <v>885</v>
      </c>
      <c r="M61" s="3" t="s">
        <v>365</v>
      </c>
      <c r="N61" s="2" t="s">
        <v>198</v>
      </c>
      <c r="O61" s="3" t="s">
        <v>64</v>
      </c>
      <c r="P61" s="3" t="s">
        <v>886</v>
      </c>
      <c r="R61" s="3" t="s">
        <v>66</v>
      </c>
      <c r="S61" s="4">
        <v>15</v>
      </c>
      <c r="T61" s="4">
        <v>26</v>
      </c>
      <c r="U61" s="5" t="s">
        <v>887</v>
      </c>
      <c r="V61" s="5" t="s">
        <v>887</v>
      </c>
      <c r="W61" s="5" t="s">
        <v>888</v>
      </c>
      <c r="X61" s="5" t="s">
        <v>888</v>
      </c>
      <c r="Y61" s="4">
        <v>631</v>
      </c>
      <c r="Z61" s="4">
        <v>523</v>
      </c>
      <c r="AA61" s="4">
        <v>1025</v>
      </c>
      <c r="AB61" s="4">
        <v>2</v>
      </c>
      <c r="AC61" s="4">
        <v>7</v>
      </c>
      <c r="AD61" s="4">
        <v>11</v>
      </c>
      <c r="AE61" s="4">
        <v>21</v>
      </c>
      <c r="AF61" s="4">
        <v>4</v>
      </c>
      <c r="AG61" s="4">
        <v>10</v>
      </c>
      <c r="AH61" s="4">
        <v>1</v>
      </c>
      <c r="AI61" s="4">
        <v>3</v>
      </c>
      <c r="AJ61" s="4">
        <v>7</v>
      </c>
      <c r="AK61" s="4">
        <v>9</v>
      </c>
      <c r="AL61" s="4">
        <v>1</v>
      </c>
      <c r="AM61" s="4">
        <v>3</v>
      </c>
      <c r="AN61" s="4">
        <v>0</v>
      </c>
      <c r="AO61" s="4">
        <v>0</v>
      </c>
      <c r="AP61" s="3" t="s">
        <v>58</v>
      </c>
      <c r="AQ61" s="3" t="s">
        <v>58</v>
      </c>
      <c r="AS61" s="6" t="str">
        <f>HYPERLINK("https://creighton-primo.hosted.exlibrisgroup.com/primo-explore/search?tab=default_tab&amp;search_scope=EVERYTHING&amp;vid=01CRU&amp;lang=en_US&amp;offset=0&amp;query=any,contains,991001488419702656","Catalog Record")</f>
        <v>Catalog Record</v>
      </c>
      <c r="AT61" s="6" t="str">
        <f>HYPERLINK("http://www.worldcat.org/oclc/28963802","WorldCat Record")</f>
        <v>WorldCat Record</v>
      </c>
      <c r="AU61" s="3" t="s">
        <v>889</v>
      </c>
      <c r="AV61" s="3" t="s">
        <v>890</v>
      </c>
      <c r="AW61" s="3" t="s">
        <v>891</v>
      </c>
      <c r="AX61" s="3" t="s">
        <v>891</v>
      </c>
      <c r="AY61" s="3" t="s">
        <v>892</v>
      </c>
      <c r="AZ61" s="3" t="s">
        <v>73</v>
      </c>
      <c r="BB61" s="3" t="s">
        <v>893</v>
      </c>
      <c r="BC61" s="3" t="s">
        <v>894</v>
      </c>
      <c r="BD61" s="3" t="s">
        <v>895</v>
      </c>
    </row>
    <row r="62" spans="1:56" ht="40.5" customHeight="1" x14ac:dyDescent="0.25">
      <c r="A62" s="7" t="s">
        <v>58</v>
      </c>
      <c r="B62" s="2" t="s">
        <v>882</v>
      </c>
      <c r="C62" s="2" t="s">
        <v>883</v>
      </c>
      <c r="D62" s="2" t="s">
        <v>884</v>
      </c>
      <c r="E62" s="3" t="s">
        <v>258</v>
      </c>
      <c r="F62" s="3" t="s">
        <v>85</v>
      </c>
      <c r="G62" s="3" t="s">
        <v>59</v>
      </c>
      <c r="H62" s="3" t="s">
        <v>58</v>
      </c>
      <c r="I62" s="3" t="s">
        <v>58</v>
      </c>
      <c r="J62" s="3" t="s">
        <v>60</v>
      </c>
      <c r="L62" s="2" t="s">
        <v>885</v>
      </c>
      <c r="M62" s="3" t="s">
        <v>365</v>
      </c>
      <c r="N62" s="2" t="s">
        <v>198</v>
      </c>
      <c r="O62" s="3" t="s">
        <v>64</v>
      </c>
      <c r="P62" s="3" t="s">
        <v>886</v>
      </c>
      <c r="R62" s="3" t="s">
        <v>66</v>
      </c>
      <c r="S62" s="4">
        <v>11</v>
      </c>
      <c r="T62" s="4">
        <v>26</v>
      </c>
      <c r="U62" s="5" t="s">
        <v>887</v>
      </c>
      <c r="V62" s="5" t="s">
        <v>887</v>
      </c>
      <c r="W62" s="5" t="s">
        <v>888</v>
      </c>
      <c r="X62" s="5" t="s">
        <v>888</v>
      </c>
      <c r="Y62" s="4">
        <v>631</v>
      </c>
      <c r="Z62" s="4">
        <v>523</v>
      </c>
      <c r="AA62" s="4">
        <v>1025</v>
      </c>
      <c r="AB62" s="4">
        <v>2</v>
      </c>
      <c r="AC62" s="4">
        <v>7</v>
      </c>
      <c r="AD62" s="4">
        <v>11</v>
      </c>
      <c r="AE62" s="4">
        <v>21</v>
      </c>
      <c r="AF62" s="4">
        <v>4</v>
      </c>
      <c r="AG62" s="4">
        <v>10</v>
      </c>
      <c r="AH62" s="4">
        <v>1</v>
      </c>
      <c r="AI62" s="4">
        <v>3</v>
      </c>
      <c r="AJ62" s="4">
        <v>7</v>
      </c>
      <c r="AK62" s="4">
        <v>9</v>
      </c>
      <c r="AL62" s="4">
        <v>1</v>
      </c>
      <c r="AM62" s="4">
        <v>3</v>
      </c>
      <c r="AN62" s="4">
        <v>0</v>
      </c>
      <c r="AO62" s="4">
        <v>0</v>
      </c>
      <c r="AP62" s="3" t="s">
        <v>58</v>
      </c>
      <c r="AQ62" s="3" t="s">
        <v>58</v>
      </c>
      <c r="AS62" s="6" t="str">
        <f>HYPERLINK("https://creighton-primo.hosted.exlibrisgroup.com/primo-explore/search?tab=default_tab&amp;search_scope=EVERYTHING&amp;vid=01CRU&amp;lang=en_US&amp;offset=0&amp;query=any,contains,991001488419702656","Catalog Record")</f>
        <v>Catalog Record</v>
      </c>
      <c r="AT62" s="6" t="str">
        <f>HYPERLINK("http://www.worldcat.org/oclc/28963802","WorldCat Record")</f>
        <v>WorldCat Record</v>
      </c>
      <c r="AU62" s="3" t="s">
        <v>889</v>
      </c>
      <c r="AV62" s="3" t="s">
        <v>890</v>
      </c>
      <c r="AW62" s="3" t="s">
        <v>891</v>
      </c>
      <c r="AX62" s="3" t="s">
        <v>891</v>
      </c>
      <c r="AY62" s="3" t="s">
        <v>892</v>
      </c>
      <c r="AZ62" s="3" t="s">
        <v>73</v>
      </c>
      <c r="BB62" s="3" t="s">
        <v>893</v>
      </c>
      <c r="BC62" s="3" t="s">
        <v>896</v>
      </c>
      <c r="BD62" s="3" t="s">
        <v>897</v>
      </c>
    </row>
    <row r="63" spans="1:56" ht="40.5" customHeight="1" x14ac:dyDescent="0.25">
      <c r="A63" s="7" t="s">
        <v>58</v>
      </c>
      <c r="B63" s="2" t="s">
        <v>898</v>
      </c>
      <c r="C63" s="2" t="s">
        <v>899</v>
      </c>
      <c r="D63" s="2" t="s">
        <v>900</v>
      </c>
      <c r="F63" s="3" t="s">
        <v>58</v>
      </c>
      <c r="G63" s="3" t="s">
        <v>59</v>
      </c>
      <c r="H63" s="3" t="s">
        <v>85</v>
      </c>
      <c r="I63" s="3" t="s">
        <v>58</v>
      </c>
      <c r="J63" s="3" t="s">
        <v>60</v>
      </c>
      <c r="K63" s="2" t="s">
        <v>740</v>
      </c>
      <c r="L63" s="2" t="s">
        <v>901</v>
      </c>
      <c r="M63" s="3" t="s">
        <v>614</v>
      </c>
      <c r="N63" s="2" t="s">
        <v>198</v>
      </c>
      <c r="O63" s="3" t="s">
        <v>64</v>
      </c>
      <c r="P63" s="3" t="s">
        <v>65</v>
      </c>
      <c r="R63" s="3" t="s">
        <v>66</v>
      </c>
      <c r="S63" s="4">
        <v>2</v>
      </c>
      <c r="T63" s="4">
        <v>2</v>
      </c>
      <c r="U63" s="5" t="s">
        <v>902</v>
      </c>
      <c r="V63" s="5" t="s">
        <v>902</v>
      </c>
      <c r="W63" s="5" t="s">
        <v>902</v>
      </c>
      <c r="X63" s="5" t="s">
        <v>902</v>
      </c>
      <c r="Y63" s="4">
        <v>525</v>
      </c>
      <c r="Z63" s="4">
        <v>388</v>
      </c>
      <c r="AA63" s="4">
        <v>468</v>
      </c>
      <c r="AB63" s="4">
        <v>4</v>
      </c>
      <c r="AC63" s="4">
        <v>4</v>
      </c>
      <c r="AD63" s="4">
        <v>12</v>
      </c>
      <c r="AE63" s="4">
        <v>15</v>
      </c>
      <c r="AF63" s="4">
        <v>3</v>
      </c>
      <c r="AG63" s="4">
        <v>4</v>
      </c>
      <c r="AH63" s="4">
        <v>4</v>
      </c>
      <c r="AI63" s="4">
        <v>5</v>
      </c>
      <c r="AJ63" s="4">
        <v>7</v>
      </c>
      <c r="AK63" s="4">
        <v>8</v>
      </c>
      <c r="AL63" s="4">
        <v>1</v>
      </c>
      <c r="AM63" s="4">
        <v>1</v>
      </c>
      <c r="AN63" s="4">
        <v>0</v>
      </c>
      <c r="AO63" s="4">
        <v>0</v>
      </c>
      <c r="AP63" s="3" t="s">
        <v>58</v>
      </c>
      <c r="AQ63" s="3" t="s">
        <v>85</v>
      </c>
      <c r="AR63" s="6" t="str">
        <f>HYPERLINK("http://catalog.hathitrust.org/Record/001818590","HathiTrust Record")</f>
        <v>HathiTrust Record</v>
      </c>
      <c r="AS63" s="6" t="str">
        <f>HYPERLINK("https://creighton-primo.hosted.exlibrisgroup.com/primo-explore/search?tab=default_tab&amp;search_scope=EVERYTHING&amp;vid=01CRU&amp;lang=en_US&amp;offset=0&amp;query=any,contains,991000940579702656","Catalog Record")</f>
        <v>Catalog Record</v>
      </c>
      <c r="AT63" s="6" t="str">
        <f>HYPERLINK("http://www.worldcat.org/oclc/18988409","WorldCat Record")</f>
        <v>WorldCat Record</v>
      </c>
      <c r="AU63" s="3" t="s">
        <v>903</v>
      </c>
      <c r="AV63" s="3" t="s">
        <v>904</v>
      </c>
      <c r="AW63" s="3" t="s">
        <v>905</v>
      </c>
      <c r="AX63" s="3" t="s">
        <v>905</v>
      </c>
      <c r="AY63" s="3" t="s">
        <v>906</v>
      </c>
      <c r="AZ63" s="3" t="s">
        <v>73</v>
      </c>
      <c r="BB63" s="3" t="s">
        <v>907</v>
      </c>
      <c r="BC63" s="3" t="s">
        <v>908</v>
      </c>
      <c r="BD63" s="3" t="s">
        <v>909</v>
      </c>
    </row>
    <row r="64" spans="1:56" ht="40.5" customHeight="1" x14ac:dyDescent="0.25">
      <c r="A64" s="7" t="s">
        <v>58</v>
      </c>
      <c r="B64" s="2" t="s">
        <v>910</v>
      </c>
      <c r="C64" s="2" t="s">
        <v>911</v>
      </c>
      <c r="D64" s="2" t="s">
        <v>912</v>
      </c>
      <c r="F64" s="3" t="s">
        <v>58</v>
      </c>
      <c r="G64" s="3" t="s">
        <v>59</v>
      </c>
      <c r="H64" s="3" t="s">
        <v>58</v>
      </c>
      <c r="I64" s="3" t="s">
        <v>58</v>
      </c>
      <c r="J64" s="3" t="s">
        <v>60</v>
      </c>
      <c r="K64" s="2" t="s">
        <v>913</v>
      </c>
      <c r="L64" s="2" t="s">
        <v>914</v>
      </c>
      <c r="M64" s="3" t="s">
        <v>365</v>
      </c>
      <c r="O64" s="3" t="s">
        <v>64</v>
      </c>
      <c r="P64" s="3" t="s">
        <v>82</v>
      </c>
      <c r="Q64" s="2" t="s">
        <v>915</v>
      </c>
      <c r="R64" s="3" t="s">
        <v>66</v>
      </c>
      <c r="S64" s="4">
        <v>196</v>
      </c>
      <c r="T64" s="4">
        <v>196</v>
      </c>
      <c r="U64" s="5" t="s">
        <v>916</v>
      </c>
      <c r="V64" s="5" t="s">
        <v>916</v>
      </c>
      <c r="W64" s="5" t="s">
        <v>917</v>
      </c>
      <c r="X64" s="5" t="s">
        <v>917</v>
      </c>
      <c r="Y64" s="4">
        <v>259</v>
      </c>
      <c r="Z64" s="4">
        <v>178</v>
      </c>
      <c r="AA64" s="4">
        <v>252</v>
      </c>
      <c r="AB64" s="4">
        <v>2</v>
      </c>
      <c r="AC64" s="4">
        <v>2</v>
      </c>
      <c r="AD64" s="4">
        <v>3</v>
      </c>
      <c r="AE64" s="4">
        <v>7</v>
      </c>
      <c r="AF64" s="4">
        <v>1</v>
      </c>
      <c r="AG64" s="4">
        <v>2</v>
      </c>
      <c r="AH64" s="4">
        <v>2</v>
      </c>
      <c r="AI64" s="4">
        <v>3</v>
      </c>
      <c r="AJ64" s="4">
        <v>0</v>
      </c>
      <c r="AK64" s="4">
        <v>2</v>
      </c>
      <c r="AL64" s="4">
        <v>1</v>
      </c>
      <c r="AM64" s="4">
        <v>1</v>
      </c>
      <c r="AN64" s="4">
        <v>0</v>
      </c>
      <c r="AO64" s="4">
        <v>0</v>
      </c>
      <c r="AP64" s="3" t="s">
        <v>58</v>
      </c>
      <c r="AQ64" s="3" t="s">
        <v>85</v>
      </c>
      <c r="AR64" s="6" t="str">
        <f>HYPERLINK("http://catalog.hathitrust.org/Record/003793798","HathiTrust Record")</f>
        <v>HathiTrust Record</v>
      </c>
      <c r="AS64" s="6" t="str">
        <f>HYPERLINK("https://creighton-primo.hosted.exlibrisgroup.com/primo-explore/search?tab=default_tab&amp;search_scope=EVERYTHING&amp;vid=01CRU&amp;lang=en_US&amp;offset=0&amp;query=any,contains,991001398729702656","Catalog Record")</f>
        <v>Catalog Record</v>
      </c>
      <c r="AT64" s="6" t="str">
        <f>HYPERLINK("http://www.worldcat.org/oclc/29564488","WorldCat Record")</f>
        <v>WorldCat Record</v>
      </c>
      <c r="AU64" s="3" t="s">
        <v>918</v>
      </c>
      <c r="AV64" s="3" t="s">
        <v>919</v>
      </c>
      <c r="AW64" s="3" t="s">
        <v>920</v>
      </c>
      <c r="AX64" s="3" t="s">
        <v>920</v>
      </c>
      <c r="AY64" s="3" t="s">
        <v>921</v>
      </c>
      <c r="AZ64" s="3" t="s">
        <v>73</v>
      </c>
      <c r="BB64" s="3" t="s">
        <v>922</v>
      </c>
      <c r="BC64" s="3" t="s">
        <v>923</v>
      </c>
      <c r="BD64" s="3" t="s">
        <v>924</v>
      </c>
    </row>
    <row r="65" spans="1:56" ht="40.5" customHeight="1" x14ac:dyDescent="0.25">
      <c r="A65" s="7" t="s">
        <v>58</v>
      </c>
      <c r="B65" s="2" t="s">
        <v>925</v>
      </c>
      <c r="C65" s="2" t="s">
        <v>926</v>
      </c>
      <c r="D65" s="2" t="s">
        <v>927</v>
      </c>
      <c r="F65" s="3" t="s">
        <v>58</v>
      </c>
      <c r="G65" s="3" t="s">
        <v>59</v>
      </c>
      <c r="H65" s="3" t="s">
        <v>58</v>
      </c>
      <c r="I65" s="3" t="s">
        <v>58</v>
      </c>
      <c r="J65" s="3" t="s">
        <v>60</v>
      </c>
      <c r="K65" s="2" t="s">
        <v>928</v>
      </c>
      <c r="L65" s="2" t="s">
        <v>929</v>
      </c>
      <c r="M65" s="3" t="s">
        <v>424</v>
      </c>
      <c r="O65" s="3" t="s">
        <v>64</v>
      </c>
      <c r="P65" s="3" t="s">
        <v>152</v>
      </c>
      <c r="Q65" s="2" t="s">
        <v>930</v>
      </c>
      <c r="R65" s="3" t="s">
        <v>66</v>
      </c>
      <c r="S65" s="4">
        <v>42</v>
      </c>
      <c r="T65" s="4">
        <v>42</v>
      </c>
      <c r="U65" s="5" t="s">
        <v>931</v>
      </c>
      <c r="V65" s="5" t="s">
        <v>931</v>
      </c>
      <c r="W65" s="5" t="s">
        <v>290</v>
      </c>
      <c r="X65" s="5" t="s">
        <v>290</v>
      </c>
      <c r="Y65" s="4">
        <v>134</v>
      </c>
      <c r="Z65" s="4">
        <v>100</v>
      </c>
      <c r="AA65" s="4">
        <v>102</v>
      </c>
      <c r="AB65" s="4">
        <v>0</v>
      </c>
      <c r="AC65" s="4">
        <v>0</v>
      </c>
      <c r="AD65" s="4">
        <v>1</v>
      </c>
      <c r="AE65" s="4">
        <v>1</v>
      </c>
      <c r="AF65" s="4">
        <v>0</v>
      </c>
      <c r="AG65" s="4">
        <v>0</v>
      </c>
      <c r="AH65" s="4">
        <v>0</v>
      </c>
      <c r="AI65" s="4">
        <v>0</v>
      </c>
      <c r="AJ65" s="4">
        <v>1</v>
      </c>
      <c r="AK65" s="4">
        <v>1</v>
      </c>
      <c r="AL65" s="4">
        <v>0</v>
      </c>
      <c r="AM65" s="4">
        <v>0</v>
      </c>
      <c r="AN65" s="4">
        <v>0</v>
      </c>
      <c r="AO65" s="4">
        <v>0</v>
      </c>
      <c r="AP65" s="3" t="s">
        <v>58</v>
      </c>
      <c r="AQ65" s="3" t="s">
        <v>85</v>
      </c>
      <c r="AR65" s="6" t="str">
        <f>HYPERLINK("http://catalog.hathitrust.org/Record/003192171","HathiTrust Record")</f>
        <v>HathiTrust Record</v>
      </c>
      <c r="AS65" s="6" t="str">
        <f>HYPERLINK("https://creighton-primo.hosted.exlibrisgroup.com/primo-explore/search?tab=default_tab&amp;search_scope=EVERYTHING&amp;vid=01CRU&amp;lang=en_US&amp;offset=0&amp;query=any,contains,991000895269702656","Catalog Record")</f>
        <v>Catalog Record</v>
      </c>
      <c r="AT65" s="6" t="str">
        <f>HYPERLINK("http://www.worldcat.org/oclc/12984189","WorldCat Record")</f>
        <v>WorldCat Record</v>
      </c>
      <c r="AU65" s="3" t="s">
        <v>932</v>
      </c>
      <c r="AV65" s="3" t="s">
        <v>933</v>
      </c>
      <c r="AW65" s="3" t="s">
        <v>934</v>
      </c>
      <c r="AX65" s="3" t="s">
        <v>934</v>
      </c>
      <c r="AY65" s="3" t="s">
        <v>935</v>
      </c>
      <c r="AZ65" s="3" t="s">
        <v>73</v>
      </c>
      <c r="BB65" s="3" t="s">
        <v>936</v>
      </c>
      <c r="BC65" s="3" t="s">
        <v>937</v>
      </c>
      <c r="BD65" s="3" t="s">
        <v>938</v>
      </c>
    </row>
    <row r="66" spans="1:56" ht="40.5" customHeight="1" x14ac:dyDescent="0.25">
      <c r="A66" s="7" t="s">
        <v>58</v>
      </c>
      <c r="B66" s="2" t="s">
        <v>939</v>
      </c>
      <c r="C66" s="2" t="s">
        <v>940</v>
      </c>
      <c r="D66" s="2" t="s">
        <v>941</v>
      </c>
      <c r="F66" s="3" t="s">
        <v>58</v>
      </c>
      <c r="G66" s="3" t="s">
        <v>59</v>
      </c>
      <c r="H66" s="3" t="s">
        <v>58</v>
      </c>
      <c r="I66" s="3" t="s">
        <v>58</v>
      </c>
      <c r="J66" s="3" t="s">
        <v>60</v>
      </c>
      <c r="K66" s="2" t="s">
        <v>942</v>
      </c>
      <c r="L66" s="2" t="s">
        <v>943</v>
      </c>
      <c r="M66" s="3" t="s">
        <v>197</v>
      </c>
      <c r="N66" s="2" t="s">
        <v>198</v>
      </c>
      <c r="O66" s="3" t="s">
        <v>64</v>
      </c>
      <c r="P66" s="3" t="s">
        <v>65</v>
      </c>
      <c r="Q66" s="2" t="s">
        <v>944</v>
      </c>
      <c r="R66" s="3" t="s">
        <v>66</v>
      </c>
      <c r="S66" s="4">
        <v>74</v>
      </c>
      <c r="T66" s="4">
        <v>74</v>
      </c>
      <c r="U66" s="5" t="s">
        <v>945</v>
      </c>
      <c r="V66" s="5" t="s">
        <v>945</v>
      </c>
      <c r="W66" s="5" t="s">
        <v>946</v>
      </c>
      <c r="X66" s="5" t="s">
        <v>946</v>
      </c>
      <c r="Y66" s="4">
        <v>142</v>
      </c>
      <c r="Z66" s="4">
        <v>85</v>
      </c>
      <c r="AA66" s="4">
        <v>188</v>
      </c>
      <c r="AB66" s="4">
        <v>2</v>
      </c>
      <c r="AC66" s="4">
        <v>3</v>
      </c>
      <c r="AD66" s="4">
        <v>2</v>
      </c>
      <c r="AE66" s="4">
        <v>7</v>
      </c>
      <c r="AF66" s="4">
        <v>0</v>
      </c>
      <c r="AG66" s="4">
        <v>0</v>
      </c>
      <c r="AH66" s="4">
        <v>0</v>
      </c>
      <c r="AI66" s="4">
        <v>2</v>
      </c>
      <c r="AJ66" s="4">
        <v>1</v>
      </c>
      <c r="AK66" s="4">
        <v>5</v>
      </c>
      <c r="AL66" s="4">
        <v>1</v>
      </c>
      <c r="AM66" s="4">
        <v>2</v>
      </c>
      <c r="AN66" s="4">
        <v>0</v>
      </c>
      <c r="AO66" s="4">
        <v>0</v>
      </c>
      <c r="AP66" s="3" t="s">
        <v>58</v>
      </c>
      <c r="AQ66" s="3" t="s">
        <v>58</v>
      </c>
      <c r="AS66" s="6" t="str">
        <f>HYPERLINK("https://creighton-primo.hosted.exlibrisgroup.com/primo-explore/search?tab=default_tab&amp;search_scope=EVERYTHING&amp;vid=01CRU&amp;lang=en_US&amp;offset=0&amp;query=any,contains,991001238619702656","Catalog Record")</f>
        <v>Catalog Record</v>
      </c>
      <c r="AT66" s="6" t="str">
        <f>HYPERLINK("http://www.worldcat.org/oclc/16872170","WorldCat Record")</f>
        <v>WorldCat Record</v>
      </c>
      <c r="AU66" s="3" t="s">
        <v>947</v>
      </c>
      <c r="AV66" s="3" t="s">
        <v>948</v>
      </c>
      <c r="AW66" s="3" t="s">
        <v>949</v>
      </c>
      <c r="AX66" s="3" t="s">
        <v>949</v>
      </c>
      <c r="AY66" s="3" t="s">
        <v>950</v>
      </c>
      <c r="AZ66" s="3" t="s">
        <v>73</v>
      </c>
      <c r="BB66" s="3" t="s">
        <v>951</v>
      </c>
      <c r="BC66" s="3" t="s">
        <v>952</v>
      </c>
      <c r="BD66" s="3" t="s">
        <v>953</v>
      </c>
    </row>
    <row r="67" spans="1:56" ht="40.5" customHeight="1" x14ac:dyDescent="0.25">
      <c r="A67" s="7" t="s">
        <v>58</v>
      </c>
      <c r="B67" s="2" t="s">
        <v>954</v>
      </c>
      <c r="C67" s="2" t="s">
        <v>955</v>
      </c>
      <c r="D67" s="2" t="s">
        <v>956</v>
      </c>
      <c r="F67" s="3" t="s">
        <v>58</v>
      </c>
      <c r="G67" s="3" t="s">
        <v>59</v>
      </c>
      <c r="H67" s="3" t="s">
        <v>58</v>
      </c>
      <c r="I67" s="3" t="s">
        <v>58</v>
      </c>
      <c r="J67" s="3" t="s">
        <v>60</v>
      </c>
      <c r="K67" s="2" t="s">
        <v>957</v>
      </c>
      <c r="L67" s="2" t="s">
        <v>958</v>
      </c>
      <c r="M67" s="3" t="s">
        <v>365</v>
      </c>
      <c r="O67" s="3" t="s">
        <v>64</v>
      </c>
      <c r="P67" s="3" t="s">
        <v>135</v>
      </c>
      <c r="R67" s="3" t="s">
        <v>66</v>
      </c>
      <c r="S67" s="4">
        <v>9</v>
      </c>
      <c r="T67" s="4">
        <v>9</v>
      </c>
      <c r="U67" s="5" t="s">
        <v>959</v>
      </c>
      <c r="V67" s="5" t="s">
        <v>959</v>
      </c>
      <c r="W67" s="5" t="s">
        <v>960</v>
      </c>
      <c r="X67" s="5" t="s">
        <v>960</v>
      </c>
      <c r="Y67" s="4">
        <v>162</v>
      </c>
      <c r="Z67" s="4">
        <v>67</v>
      </c>
      <c r="AA67" s="4">
        <v>69</v>
      </c>
      <c r="AB67" s="4">
        <v>1</v>
      </c>
      <c r="AC67" s="4">
        <v>1</v>
      </c>
      <c r="AD67" s="4">
        <v>2</v>
      </c>
      <c r="AE67" s="4">
        <v>2</v>
      </c>
      <c r="AF67" s="4">
        <v>1</v>
      </c>
      <c r="AG67" s="4">
        <v>1</v>
      </c>
      <c r="AH67" s="4">
        <v>0</v>
      </c>
      <c r="AI67" s="4">
        <v>0</v>
      </c>
      <c r="AJ67" s="4">
        <v>2</v>
      </c>
      <c r="AK67" s="4">
        <v>2</v>
      </c>
      <c r="AL67" s="4">
        <v>0</v>
      </c>
      <c r="AM67" s="4">
        <v>0</v>
      </c>
      <c r="AN67" s="4">
        <v>0</v>
      </c>
      <c r="AO67" s="4">
        <v>0</v>
      </c>
      <c r="AP67" s="3" t="s">
        <v>58</v>
      </c>
      <c r="AQ67" s="3" t="s">
        <v>85</v>
      </c>
      <c r="AR67" s="6" t="str">
        <f>HYPERLINK("http://catalog.hathitrust.org/Record/008994710","HathiTrust Record")</f>
        <v>HathiTrust Record</v>
      </c>
      <c r="AS67" s="6" t="str">
        <f>HYPERLINK("https://creighton-primo.hosted.exlibrisgroup.com/primo-explore/search?tab=default_tab&amp;search_scope=EVERYTHING&amp;vid=01CRU&amp;lang=en_US&amp;offset=0&amp;query=any,contains,991001396779702656","Catalog Record")</f>
        <v>Catalog Record</v>
      </c>
      <c r="AT67" s="6" t="str">
        <f>HYPERLINK("http://www.worldcat.org/oclc/28222755","WorldCat Record")</f>
        <v>WorldCat Record</v>
      </c>
      <c r="AU67" s="3" t="s">
        <v>961</v>
      </c>
      <c r="AV67" s="3" t="s">
        <v>962</v>
      </c>
      <c r="AW67" s="3" t="s">
        <v>963</v>
      </c>
      <c r="AX67" s="3" t="s">
        <v>963</v>
      </c>
      <c r="AY67" s="3" t="s">
        <v>964</v>
      </c>
      <c r="AZ67" s="3" t="s">
        <v>73</v>
      </c>
      <c r="BB67" s="3" t="s">
        <v>965</v>
      </c>
      <c r="BC67" s="3" t="s">
        <v>966</v>
      </c>
      <c r="BD67" s="3" t="s">
        <v>967</v>
      </c>
    </row>
    <row r="68" spans="1:56" ht="40.5" customHeight="1" x14ac:dyDescent="0.25">
      <c r="A68" s="7" t="s">
        <v>58</v>
      </c>
      <c r="B68" s="2" t="s">
        <v>968</v>
      </c>
      <c r="C68" s="2" t="s">
        <v>969</v>
      </c>
      <c r="D68" s="2" t="s">
        <v>970</v>
      </c>
      <c r="F68" s="3" t="s">
        <v>58</v>
      </c>
      <c r="G68" s="3" t="s">
        <v>59</v>
      </c>
      <c r="H68" s="3" t="s">
        <v>58</v>
      </c>
      <c r="I68" s="3" t="s">
        <v>58</v>
      </c>
      <c r="J68" s="3" t="s">
        <v>60</v>
      </c>
      <c r="K68" s="2" t="s">
        <v>971</v>
      </c>
      <c r="L68" s="2" t="s">
        <v>972</v>
      </c>
      <c r="M68" s="3" t="s">
        <v>973</v>
      </c>
      <c r="O68" s="3" t="s">
        <v>64</v>
      </c>
      <c r="P68" s="3" t="s">
        <v>674</v>
      </c>
      <c r="R68" s="3" t="s">
        <v>66</v>
      </c>
      <c r="S68" s="4">
        <v>8</v>
      </c>
      <c r="T68" s="4">
        <v>8</v>
      </c>
      <c r="U68" s="5" t="s">
        <v>974</v>
      </c>
      <c r="V68" s="5" t="s">
        <v>974</v>
      </c>
      <c r="W68" s="5" t="s">
        <v>290</v>
      </c>
      <c r="X68" s="5" t="s">
        <v>290</v>
      </c>
      <c r="Y68" s="4">
        <v>105</v>
      </c>
      <c r="Z68" s="4">
        <v>70</v>
      </c>
      <c r="AA68" s="4">
        <v>131</v>
      </c>
      <c r="AB68" s="4">
        <v>1</v>
      </c>
      <c r="AC68" s="4">
        <v>1</v>
      </c>
      <c r="AD68" s="4">
        <v>1</v>
      </c>
      <c r="AE68" s="4">
        <v>3</v>
      </c>
      <c r="AF68" s="4">
        <v>1</v>
      </c>
      <c r="AG68" s="4">
        <v>1</v>
      </c>
      <c r="AH68" s="4">
        <v>0</v>
      </c>
      <c r="AI68" s="4">
        <v>1</v>
      </c>
      <c r="AJ68" s="4">
        <v>0</v>
      </c>
      <c r="AK68" s="4">
        <v>2</v>
      </c>
      <c r="AL68" s="4">
        <v>0</v>
      </c>
      <c r="AM68" s="4">
        <v>0</v>
      </c>
      <c r="AN68" s="4">
        <v>0</v>
      </c>
      <c r="AO68" s="4">
        <v>0</v>
      </c>
      <c r="AP68" s="3" t="s">
        <v>58</v>
      </c>
      <c r="AQ68" s="3" t="s">
        <v>85</v>
      </c>
      <c r="AR68" s="6" t="str">
        <f>HYPERLINK("http://catalog.hathitrust.org/Record/000715245","HathiTrust Record")</f>
        <v>HathiTrust Record</v>
      </c>
      <c r="AS68" s="6" t="str">
        <f>HYPERLINK("https://creighton-primo.hosted.exlibrisgroup.com/primo-explore/search?tab=default_tab&amp;search_scope=EVERYTHING&amp;vid=01CRU&amp;lang=en_US&amp;offset=0&amp;query=any,contains,991000895209702656","Catalog Record")</f>
        <v>Catalog Record</v>
      </c>
      <c r="AT68" s="6" t="str">
        <f>HYPERLINK("http://www.worldcat.org/oclc/5825081","WorldCat Record")</f>
        <v>WorldCat Record</v>
      </c>
      <c r="AU68" s="3" t="s">
        <v>975</v>
      </c>
      <c r="AV68" s="3" t="s">
        <v>976</v>
      </c>
      <c r="AW68" s="3" t="s">
        <v>977</v>
      </c>
      <c r="AX68" s="3" t="s">
        <v>977</v>
      </c>
      <c r="AY68" s="3" t="s">
        <v>978</v>
      </c>
      <c r="AZ68" s="3" t="s">
        <v>73</v>
      </c>
      <c r="BB68" s="3" t="s">
        <v>979</v>
      </c>
      <c r="BC68" s="3" t="s">
        <v>980</v>
      </c>
      <c r="BD68" s="3" t="s">
        <v>981</v>
      </c>
    </row>
    <row r="69" spans="1:56" ht="40.5" customHeight="1" x14ac:dyDescent="0.25">
      <c r="A69" s="7" t="s">
        <v>58</v>
      </c>
      <c r="B69" s="2" t="s">
        <v>982</v>
      </c>
      <c r="C69" s="2" t="s">
        <v>983</v>
      </c>
      <c r="D69" s="2" t="s">
        <v>984</v>
      </c>
      <c r="F69" s="3" t="s">
        <v>58</v>
      </c>
      <c r="G69" s="3" t="s">
        <v>59</v>
      </c>
      <c r="H69" s="3" t="s">
        <v>58</v>
      </c>
      <c r="I69" s="3" t="s">
        <v>58</v>
      </c>
      <c r="J69" s="3" t="s">
        <v>60</v>
      </c>
      <c r="K69" s="2" t="s">
        <v>985</v>
      </c>
      <c r="L69" s="2" t="s">
        <v>986</v>
      </c>
      <c r="M69" s="3" t="s">
        <v>726</v>
      </c>
      <c r="O69" s="3" t="s">
        <v>64</v>
      </c>
      <c r="P69" s="3" t="s">
        <v>117</v>
      </c>
      <c r="Q69" s="2" t="s">
        <v>987</v>
      </c>
      <c r="R69" s="3" t="s">
        <v>66</v>
      </c>
      <c r="S69" s="4">
        <v>20</v>
      </c>
      <c r="T69" s="4">
        <v>20</v>
      </c>
      <c r="U69" s="5" t="s">
        <v>988</v>
      </c>
      <c r="V69" s="5" t="s">
        <v>988</v>
      </c>
      <c r="W69" s="5" t="s">
        <v>989</v>
      </c>
      <c r="X69" s="5" t="s">
        <v>989</v>
      </c>
      <c r="Y69" s="4">
        <v>18</v>
      </c>
      <c r="Z69" s="4">
        <v>18</v>
      </c>
      <c r="AA69" s="4">
        <v>29</v>
      </c>
      <c r="AB69" s="4">
        <v>1</v>
      </c>
      <c r="AC69" s="4">
        <v>1</v>
      </c>
      <c r="AD69" s="4">
        <v>1</v>
      </c>
      <c r="AE69" s="4">
        <v>1</v>
      </c>
      <c r="AF69" s="4">
        <v>0</v>
      </c>
      <c r="AG69" s="4">
        <v>0</v>
      </c>
      <c r="AH69" s="4">
        <v>1</v>
      </c>
      <c r="AI69" s="4">
        <v>1</v>
      </c>
      <c r="AJ69" s="4">
        <v>0</v>
      </c>
      <c r="AK69" s="4">
        <v>0</v>
      </c>
      <c r="AL69" s="4">
        <v>0</v>
      </c>
      <c r="AM69" s="4">
        <v>0</v>
      </c>
      <c r="AN69" s="4">
        <v>0</v>
      </c>
      <c r="AO69" s="4">
        <v>0</v>
      </c>
      <c r="AP69" s="3" t="s">
        <v>58</v>
      </c>
      <c r="AQ69" s="3" t="s">
        <v>58</v>
      </c>
      <c r="AS69" s="6" t="str">
        <f>HYPERLINK("https://creighton-primo.hosted.exlibrisgroup.com/primo-explore/search?tab=default_tab&amp;search_scope=EVERYTHING&amp;vid=01CRU&amp;lang=en_US&amp;offset=0&amp;query=any,contains,991001508799702656","Catalog Record")</f>
        <v>Catalog Record</v>
      </c>
      <c r="AT69" s="6" t="str">
        <f>HYPERLINK("http://www.worldcat.org/oclc/26048820","WorldCat Record")</f>
        <v>WorldCat Record</v>
      </c>
      <c r="AU69" s="3" t="s">
        <v>990</v>
      </c>
      <c r="AV69" s="3" t="s">
        <v>991</v>
      </c>
      <c r="AW69" s="3" t="s">
        <v>992</v>
      </c>
      <c r="AX69" s="3" t="s">
        <v>992</v>
      </c>
      <c r="AY69" s="3" t="s">
        <v>993</v>
      </c>
      <c r="AZ69" s="3" t="s">
        <v>73</v>
      </c>
      <c r="BC69" s="3" t="s">
        <v>994</v>
      </c>
      <c r="BD69" s="3" t="s">
        <v>995</v>
      </c>
    </row>
    <row r="70" spans="1:56" ht="40.5" customHeight="1" x14ac:dyDescent="0.25">
      <c r="A70" s="7" t="s">
        <v>58</v>
      </c>
      <c r="B70" s="2" t="s">
        <v>996</v>
      </c>
      <c r="C70" s="2" t="s">
        <v>997</v>
      </c>
      <c r="D70" s="2" t="s">
        <v>998</v>
      </c>
      <c r="F70" s="3" t="s">
        <v>58</v>
      </c>
      <c r="G70" s="3" t="s">
        <v>59</v>
      </c>
      <c r="H70" s="3" t="s">
        <v>58</v>
      </c>
      <c r="I70" s="3" t="s">
        <v>58</v>
      </c>
      <c r="J70" s="3" t="s">
        <v>60</v>
      </c>
      <c r="K70" s="2" t="s">
        <v>999</v>
      </c>
      <c r="L70" s="2" t="s">
        <v>1000</v>
      </c>
      <c r="M70" s="3" t="s">
        <v>742</v>
      </c>
      <c r="O70" s="3" t="s">
        <v>64</v>
      </c>
      <c r="P70" s="3" t="s">
        <v>1001</v>
      </c>
      <c r="R70" s="3" t="s">
        <v>66</v>
      </c>
      <c r="S70" s="4">
        <v>44</v>
      </c>
      <c r="T70" s="4">
        <v>44</v>
      </c>
      <c r="U70" s="5" t="s">
        <v>916</v>
      </c>
      <c r="V70" s="5" t="s">
        <v>916</v>
      </c>
      <c r="W70" s="5" t="s">
        <v>1002</v>
      </c>
      <c r="X70" s="5" t="s">
        <v>1002</v>
      </c>
      <c r="Y70" s="4">
        <v>72</v>
      </c>
      <c r="Z70" s="4">
        <v>56</v>
      </c>
      <c r="AA70" s="4">
        <v>57</v>
      </c>
      <c r="AB70" s="4">
        <v>1</v>
      </c>
      <c r="AC70" s="4">
        <v>1</v>
      </c>
      <c r="AD70" s="4">
        <v>1</v>
      </c>
      <c r="AE70" s="4">
        <v>1</v>
      </c>
      <c r="AF70" s="4">
        <v>0</v>
      </c>
      <c r="AG70" s="4">
        <v>0</v>
      </c>
      <c r="AH70" s="4">
        <v>1</v>
      </c>
      <c r="AI70" s="4">
        <v>1</v>
      </c>
      <c r="AJ70" s="4">
        <v>0</v>
      </c>
      <c r="AK70" s="4">
        <v>0</v>
      </c>
      <c r="AL70" s="4">
        <v>0</v>
      </c>
      <c r="AM70" s="4">
        <v>0</v>
      </c>
      <c r="AN70" s="4">
        <v>0</v>
      </c>
      <c r="AO70" s="4">
        <v>0</v>
      </c>
      <c r="AP70" s="3" t="s">
        <v>58</v>
      </c>
      <c r="AQ70" s="3" t="s">
        <v>58</v>
      </c>
      <c r="AS70" s="6" t="str">
        <f>HYPERLINK("https://creighton-primo.hosted.exlibrisgroup.com/primo-explore/search?tab=default_tab&amp;search_scope=EVERYTHING&amp;vid=01CRU&amp;lang=en_US&amp;offset=0&amp;query=any,contains,991001513969702656","Catalog Record")</f>
        <v>Catalog Record</v>
      </c>
      <c r="AT70" s="6" t="str">
        <f>HYPERLINK("http://www.worldcat.org/oclc/27876325","WorldCat Record")</f>
        <v>WorldCat Record</v>
      </c>
      <c r="AU70" s="3" t="s">
        <v>1003</v>
      </c>
      <c r="AV70" s="3" t="s">
        <v>1004</v>
      </c>
      <c r="AW70" s="3" t="s">
        <v>1005</v>
      </c>
      <c r="AX70" s="3" t="s">
        <v>1005</v>
      </c>
      <c r="AY70" s="3" t="s">
        <v>1006</v>
      </c>
      <c r="AZ70" s="3" t="s">
        <v>73</v>
      </c>
      <c r="BB70" s="3" t="s">
        <v>1007</v>
      </c>
      <c r="BC70" s="3" t="s">
        <v>1008</v>
      </c>
      <c r="BD70" s="3" t="s">
        <v>1009</v>
      </c>
    </row>
    <row r="71" spans="1:56" ht="40.5" customHeight="1" x14ac:dyDescent="0.25">
      <c r="A71" s="7" t="s">
        <v>58</v>
      </c>
      <c r="B71" s="2" t="s">
        <v>1010</v>
      </c>
      <c r="C71" s="2" t="s">
        <v>1011</v>
      </c>
      <c r="D71" s="2" t="s">
        <v>1012</v>
      </c>
      <c r="F71" s="3" t="s">
        <v>58</v>
      </c>
      <c r="G71" s="3" t="s">
        <v>59</v>
      </c>
      <c r="H71" s="3" t="s">
        <v>58</v>
      </c>
      <c r="I71" s="3" t="s">
        <v>58</v>
      </c>
      <c r="J71" s="3" t="s">
        <v>60</v>
      </c>
      <c r="K71" s="2" t="s">
        <v>1013</v>
      </c>
      <c r="L71" s="2" t="s">
        <v>1014</v>
      </c>
      <c r="M71" s="3" t="s">
        <v>759</v>
      </c>
      <c r="O71" s="3" t="s">
        <v>64</v>
      </c>
      <c r="P71" s="3" t="s">
        <v>117</v>
      </c>
      <c r="R71" s="3" t="s">
        <v>66</v>
      </c>
      <c r="S71" s="4">
        <v>20</v>
      </c>
      <c r="T71" s="4">
        <v>20</v>
      </c>
      <c r="U71" s="5" t="s">
        <v>351</v>
      </c>
      <c r="V71" s="5" t="s">
        <v>351</v>
      </c>
      <c r="W71" s="5" t="s">
        <v>1015</v>
      </c>
      <c r="X71" s="5" t="s">
        <v>1015</v>
      </c>
      <c r="Y71" s="4">
        <v>166</v>
      </c>
      <c r="Z71" s="4">
        <v>107</v>
      </c>
      <c r="AA71" s="4">
        <v>113</v>
      </c>
      <c r="AB71" s="4">
        <v>3</v>
      </c>
      <c r="AC71" s="4">
        <v>3</v>
      </c>
      <c r="AD71" s="4">
        <v>7</v>
      </c>
      <c r="AE71" s="4">
        <v>7</v>
      </c>
      <c r="AF71" s="4">
        <v>1</v>
      </c>
      <c r="AG71" s="4">
        <v>1</v>
      </c>
      <c r="AH71" s="4">
        <v>1</v>
      </c>
      <c r="AI71" s="4">
        <v>1</v>
      </c>
      <c r="AJ71" s="4">
        <v>5</v>
      </c>
      <c r="AK71" s="4">
        <v>5</v>
      </c>
      <c r="AL71" s="4">
        <v>2</v>
      </c>
      <c r="AM71" s="4">
        <v>2</v>
      </c>
      <c r="AN71" s="4">
        <v>0</v>
      </c>
      <c r="AO71" s="4">
        <v>0</v>
      </c>
      <c r="AP71" s="3" t="s">
        <v>58</v>
      </c>
      <c r="AQ71" s="3" t="s">
        <v>58</v>
      </c>
      <c r="AS71" s="6" t="str">
        <f>HYPERLINK("https://creighton-primo.hosted.exlibrisgroup.com/primo-explore/search?tab=default_tab&amp;search_scope=EVERYTHING&amp;vid=01CRU&amp;lang=en_US&amp;offset=0&amp;query=any,contains,991001398359702656","Catalog Record")</f>
        <v>Catalog Record</v>
      </c>
      <c r="AT71" s="6" t="str">
        <f>HYPERLINK("http://www.worldcat.org/oclc/31515523","WorldCat Record")</f>
        <v>WorldCat Record</v>
      </c>
      <c r="AU71" s="3" t="s">
        <v>1016</v>
      </c>
      <c r="AV71" s="3" t="s">
        <v>1017</v>
      </c>
      <c r="AW71" s="3" t="s">
        <v>1018</v>
      </c>
      <c r="AX71" s="3" t="s">
        <v>1018</v>
      </c>
      <c r="AY71" s="3" t="s">
        <v>1019</v>
      </c>
      <c r="AZ71" s="3" t="s">
        <v>73</v>
      </c>
      <c r="BB71" s="3" t="s">
        <v>1020</v>
      </c>
      <c r="BC71" s="3" t="s">
        <v>1021</v>
      </c>
      <c r="BD71" s="3" t="s">
        <v>1022</v>
      </c>
    </row>
    <row r="72" spans="1:56" ht="40.5" customHeight="1" x14ac:dyDescent="0.25">
      <c r="A72" s="7" t="s">
        <v>58</v>
      </c>
      <c r="B72" s="2" t="s">
        <v>1023</v>
      </c>
      <c r="C72" s="2" t="s">
        <v>1024</v>
      </c>
      <c r="D72" s="2" t="s">
        <v>1025</v>
      </c>
      <c r="F72" s="3" t="s">
        <v>58</v>
      </c>
      <c r="G72" s="3" t="s">
        <v>59</v>
      </c>
      <c r="H72" s="3" t="s">
        <v>58</v>
      </c>
      <c r="I72" s="3" t="s">
        <v>58</v>
      </c>
      <c r="J72" s="3" t="s">
        <v>60</v>
      </c>
      <c r="K72" s="2" t="s">
        <v>347</v>
      </c>
      <c r="L72" s="2" t="s">
        <v>1026</v>
      </c>
      <c r="M72" s="3" t="s">
        <v>1027</v>
      </c>
      <c r="O72" s="3" t="s">
        <v>64</v>
      </c>
      <c r="P72" s="3" t="s">
        <v>152</v>
      </c>
      <c r="R72" s="3" t="s">
        <v>66</v>
      </c>
      <c r="S72" s="4">
        <v>4</v>
      </c>
      <c r="T72" s="4">
        <v>4</v>
      </c>
      <c r="U72" s="5" t="s">
        <v>1028</v>
      </c>
      <c r="V72" s="5" t="s">
        <v>1028</v>
      </c>
      <c r="W72" s="5" t="s">
        <v>1029</v>
      </c>
      <c r="X72" s="5" t="s">
        <v>1029</v>
      </c>
      <c r="Y72" s="4">
        <v>337</v>
      </c>
      <c r="Z72" s="4">
        <v>246</v>
      </c>
      <c r="AA72" s="4">
        <v>388</v>
      </c>
      <c r="AB72" s="4">
        <v>4</v>
      </c>
      <c r="AC72" s="4">
        <v>5</v>
      </c>
      <c r="AD72" s="4">
        <v>11</v>
      </c>
      <c r="AE72" s="4">
        <v>17</v>
      </c>
      <c r="AF72" s="4">
        <v>2</v>
      </c>
      <c r="AG72" s="4">
        <v>4</v>
      </c>
      <c r="AH72" s="4">
        <v>1</v>
      </c>
      <c r="AI72" s="4">
        <v>2</v>
      </c>
      <c r="AJ72" s="4">
        <v>6</v>
      </c>
      <c r="AK72" s="4">
        <v>10</v>
      </c>
      <c r="AL72" s="4">
        <v>2</v>
      </c>
      <c r="AM72" s="4">
        <v>3</v>
      </c>
      <c r="AN72" s="4">
        <v>0</v>
      </c>
      <c r="AO72" s="4">
        <v>0</v>
      </c>
      <c r="AP72" s="3" t="s">
        <v>58</v>
      </c>
      <c r="AQ72" s="3" t="s">
        <v>85</v>
      </c>
      <c r="AR72" s="6" t="str">
        <f>HYPERLINK("http://catalog.hathitrust.org/Record/001113858","HathiTrust Record")</f>
        <v>HathiTrust Record</v>
      </c>
      <c r="AS72" s="6" t="str">
        <f>HYPERLINK("https://creighton-primo.hosted.exlibrisgroup.com/primo-explore/search?tab=default_tab&amp;search_scope=EVERYTHING&amp;vid=01CRU&amp;lang=en_US&amp;offset=0&amp;query=any,contains,991000895179702656","Catalog Record")</f>
        <v>Catalog Record</v>
      </c>
      <c r="AT72" s="6" t="str">
        <f>HYPERLINK("http://www.worldcat.org/oclc/4477","WorldCat Record")</f>
        <v>WorldCat Record</v>
      </c>
      <c r="AU72" s="3" t="s">
        <v>1030</v>
      </c>
      <c r="AV72" s="3" t="s">
        <v>1031</v>
      </c>
      <c r="AW72" s="3" t="s">
        <v>1032</v>
      </c>
      <c r="AX72" s="3" t="s">
        <v>1032</v>
      </c>
      <c r="AY72" s="3" t="s">
        <v>1033</v>
      </c>
      <c r="AZ72" s="3" t="s">
        <v>73</v>
      </c>
      <c r="BC72" s="3" t="s">
        <v>1034</v>
      </c>
      <c r="BD72" s="3" t="s">
        <v>1035</v>
      </c>
    </row>
    <row r="73" spans="1:56" ht="40.5" customHeight="1" x14ac:dyDescent="0.25">
      <c r="A73" s="7" t="s">
        <v>58</v>
      </c>
      <c r="B73" s="2" t="s">
        <v>1036</v>
      </c>
      <c r="C73" s="2" t="s">
        <v>1037</v>
      </c>
      <c r="D73" s="2" t="s">
        <v>1038</v>
      </c>
      <c r="F73" s="3" t="s">
        <v>58</v>
      </c>
      <c r="G73" s="3" t="s">
        <v>59</v>
      </c>
      <c r="H73" s="3" t="s">
        <v>58</v>
      </c>
      <c r="I73" s="3" t="s">
        <v>58</v>
      </c>
      <c r="J73" s="3" t="s">
        <v>60</v>
      </c>
      <c r="K73" s="2" t="s">
        <v>1039</v>
      </c>
      <c r="L73" s="2" t="s">
        <v>1040</v>
      </c>
      <c r="M73" s="3" t="s">
        <v>424</v>
      </c>
      <c r="O73" s="3" t="s">
        <v>64</v>
      </c>
      <c r="P73" s="3" t="s">
        <v>230</v>
      </c>
      <c r="Q73" s="2" t="s">
        <v>1041</v>
      </c>
      <c r="R73" s="3" t="s">
        <v>66</v>
      </c>
      <c r="S73" s="4">
        <v>5</v>
      </c>
      <c r="T73" s="4">
        <v>5</v>
      </c>
      <c r="U73" s="5" t="s">
        <v>1042</v>
      </c>
      <c r="V73" s="5" t="s">
        <v>1042</v>
      </c>
      <c r="W73" s="5" t="s">
        <v>290</v>
      </c>
      <c r="X73" s="5" t="s">
        <v>290</v>
      </c>
      <c r="Y73" s="4">
        <v>314</v>
      </c>
      <c r="Z73" s="4">
        <v>185</v>
      </c>
      <c r="AA73" s="4">
        <v>222</v>
      </c>
      <c r="AB73" s="4">
        <v>2</v>
      </c>
      <c r="AC73" s="4">
        <v>3</v>
      </c>
      <c r="AD73" s="4">
        <v>8</v>
      </c>
      <c r="AE73" s="4">
        <v>10</v>
      </c>
      <c r="AF73" s="4">
        <v>1</v>
      </c>
      <c r="AG73" s="4">
        <v>2</v>
      </c>
      <c r="AH73" s="4">
        <v>3</v>
      </c>
      <c r="AI73" s="4">
        <v>3</v>
      </c>
      <c r="AJ73" s="4">
        <v>6</v>
      </c>
      <c r="AK73" s="4">
        <v>6</v>
      </c>
      <c r="AL73" s="4">
        <v>1</v>
      </c>
      <c r="AM73" s="4">
        <v>2</v>
      </c>
      <c r="AN73" s="4">
        <v>0</v>
      </c>
      <c r="AO73" s="4">
        <v>0</v>
      </c>
      <c r="AP73" s="3" t="s">
        <v>58</v>
      </c>
      <c r="AQ73" s="3" t="s">
        <v>58</v>
      </c>
      <c r="AS73" s="6" t="str">
        <f>HYPERLINK("https://creighton-primo.hosted.exlibrisgroup.com/primo-explore/search?tab=default_tab&amp;search_scope=EVERYTHING&amp;vid=01CRU&amp;lang=en_US&amp;offset=0&amp;query=any,contains,991000895059702656","Catalog Record")</f>
        <v>Catalog Record</v>
      </c>
      <c r="AT73" s="6" t="str">
        <f>HYPERLINK("http://www.worldcat.org/oclc/15366308","WorldCat Record")</f>
        <v>WorldCat Record</v>
      </c>
      <c r="AU73" s="3" t="s">
        <v>1043</v>
      </c>
      <c r="AV73" s="3" t="s">
        <v>1044</v>
      </c>
      <c r="AW73" s="3" t="s">
        <v>1045</v>
      </c>
      <c r="AX73" s="3" t="s">
        <v>1045</v>
      </c>
      <c r="AY73" s="3" t="s">
        <v>1046</v>
      </c>
      <c r="AZ73" s="3" t="s">
        <v>73</v>
      </c>
      <c r="BB73" s="3" t="s">
        <v>1047</v>
      </c>
      <c r="BC73" s="3" t="s">
        <v>1048</v>
      </c>
      <c r="BD73" s="3" t="s">
        <v>1049</v>
      </c>
    </row>
    <row r="74" spans="1:56" ht="40.5" customHeight="1" x14ac:dyDescent="0.25">
      <c r="A74" s="7" t="s">
        <v>58</v>
      </c>
      <c r="B74" s="2" t="s">
        <v>1050</v>
      </c>
      <c r="C74" s="2" t="s">
        <v>1051</v>
      </c>
      <c r="D74" s="2" t="s">
        <v>1052</v>
      </c>
      <c r="F74" s="3" t="s">
        <v>58</v>
      </c>
      <c r="G74" s="3" t="s">
        <v>59</v>
      </c>
      <c r="H74" s="3" t="s">
        <v>58</v>
      </c>
      <c r="I74" s="3" t="s">
        <v>58</v>
      </c>
      <c r="J74" s="3" t="s">
        <v>60</v>
      </c>
      <c r="L74" s="2" t="s">
        <v>1053</v>
      </c>
      <c r="M74" s="3" t="s">
        <v>98</v>
      </c>
      <c r="O74" s="3" t="s">
        <v>64</v>
      </c>
      <c r="P74" s="3" t="s">
        <v>135</v>
      </c>
      <c r="R74" s="3" t="s">
        <v>66</v>
      </c>
      <c r="S74" s="4">
        <v>12</v>
      </c>
      <c r="T74" s="4">
        <v>12</v>
      </c>
      <c r="U74" s="5" t="s">
        <v>1054</v>
      </c>
      <c r="V74" s="5" t="s">
        <v>1054</v>
      </c>
      <c r="W74" s="5" t="s">
        <v>290</v>
      </c>
      <c r="X74" s="5" t="s">
        <v>290</v>
      </c>
      <c r="Y74" s="4">
        <v>411</v>
      </c>
      <c r="Z74" s="4">
        <v>294</v>
      </c>
      <c r="AA74" s="4">
        <v>301</v>
      </c>
      <c r="AB74" s="4">
        <v>1</v>
      </c>
      <c r="AC74" s="4">
        <v>1</v>
      </c>
      <c r="AD74" s="4">
        <v>12</v>
      </c>
      <c r="AE74" s="4">
        <v>12</v>
      </c>
      <c r="AF74" s="4">
        <v>4</v>
      </c>
      <c r="AG74" s="4">
        <v>4</v>
      </c>
      <c r="AH74" s="4">
        <v>4</v>
      </c>
      <c r="AI74" s="4">
        <v>4</v>
      </c>
      <c r="AJ74" s="4">
        <v>10</v>
      </c>
      <c r="AK74" s="4">
        <v>10</v>
      </c>
      <c r="AL74" s="4">
        <v>0</v>
      </c>
      <c r="AM74" s="4">
        <v>0</v>
      </c>
      <c r="AN74" s="4">
        <v>0</v>
      </c>
      <c r="AO74" s="4">
        <v>0</v>
      </c>
      <c r="AP74" s="3" t="s">
        <v>58</v>
      </c>
      <c r="AQ74" s="3" t="s">
        <v>85</v>
      </c>
      <c r="AR74" s="6" t="str">
        <f>HYPERLINK("http://catalog.hathitrust.org/Record/000200912","HathiTrust Record")</f>
        <v>HathiTrust Record</v>
      </c>
      <c r="AS74" s="6" t="str">
        <f>HYPERLINK("https://creighton-primo.hosted.exlibrisgroup.com/primo-explore/search?tab=default_tab&amp;search_scope=EVERYTHING&amp;vid=01CRU&amp;lang=en_US&amp;offset=0&amp;query=any,contains,991000895709702656","Catalog Record")</f>
        <v>Catalog Record</v>
      </c>
      <c r="AT74" s="6" t="str">
        <f>HYPERLINK("http://www.worldcat.org/oclc/8953922","WorldCat Record")</f>
        <v>WorldCat Record</v>
      </c>
      <c r="AU74" s="3" t="s">
        <v>1055</v>
      </c>
      <c r="AV74" s="3" t="s">
        <v>1056</v>
      </c>
      <c r="AW74" s="3" t="s">
        <v>1057</v>
      </c>
      <c r="AX74" s="3" t="s">
        <v>1057</v>
      </c>
      <c r="AY74" s="3" t="s">
        <v>1058</v>
      </c>
      <c r="AZ74" s="3" t="s">
        <v>73</v>
      </c>
      <c r="BB74" s="3" t="s">
        <v>1059</v>
      </c>
      <c r="BC74" s="3" t="s">
        <v>1060</v>
      </c>
      <c r="BD74" s="3" t="s">
        <v>1061</v>
      </c>
    </row>
    <row r="75" spans="1:56" ht="40.5" customHeight="1" x14ac:dyDescent="0.25">
      <c r="A75" s="7" t="s">
        <v>58</v>
      </c>
      <c r="B75" s="2" t="s">
        <v>1062</v>
      </c>
      <c r="C75" s="2" t="s">
        <v>1063</v>
      </c>
      <c r="D75" s="2" t="s">
        <v>1064</v>
      </c>
      <c r="F75" s="3" t="s">
        <v>58</v>
      </c>
      <c r="G75" s="3" t="s">
        <v>59</v>
      </c>
      <c r="H75" s="3" t="s">
        <v>58</v>
      </c>
      <c r="I75" s="3" t="s">
        <v>58</v>
      </c>
      <c r="J75" s="3" t="s">
        <v>60</v>
      </c>
      <c r="K75" s="2" t="s">
        <v>1065</v>
      </c>
      <c r="L75" s="2" t="s">
        <v>1066</v>
      </c>
      <c r="M75" s="3" t="s">
        <v>1067</v>
      </c>
      <c r="O75" s="3" t="s">
        <v>64</v>
      </c>
      <c r="P75" s="3" t="s">
        <v>65</v>
      </c>
      <c r="R75" s="3" t="s">
        <v>66</v>
      </c>
      <c r="S75" s="4">
        <v>38</v>
      </c>
      <c r="T75" s="4">
        <v>38</v>
      </c>
      <c r="U75" s="5" t="s">
        <v>1068</v>
      </c>
      <c r="V75" s="5" t="s">
        <v>1068</v>
      </c>
      <c r="W75" s="5" t="s">
        <v>1069</v>
      </c>
      <c r="X75" s="5" t="s">
        <v>1069</v>
      </c>
      <c r="Y75" s="4">
        <v>287</v>
      </c>
      <c r="Z75" s="4">
        <v>198</v>
      </c>
      <c r="AA75" s="4">
        <v>359</v>
      </c>
      <c r="AB75" s="4">
        <v>1</v>
      </c>
      <c r="AC75" s="4">
        <v>2</v>
      </c>
      <c r="AD75" s="4">
        <v>7</v>
      </c>
      <c r="AE75" s="4">
        <v>13</v>
      </c>
      <c r="AF75" s="4">
        <v>1</v>
      </c>
      <c r="AG75" s="4">
        <v>4</v>
      </c>
      <c r="AH75" s="4">
        <v>4</v>
      </c>
      <c r="AI75" s="4">
        <v>4</v>
      </c>
      <c r="AJ75" s="4">
        <v>5</v>
      </c>
      <c r="AK75" s="4">
        <v>8</v>
      </c>
      <c r="AL75" s="4">
        <v>0</v>
      </c>
      <c r="AM75" s="4">
        <v>1</v>
      </c>
      <c r="AN75" s="4">
        <v>0</v>
      </c>
      <c r="AO75" s="4">
        <v>0</v>
      </c>
      <c r="AP75" s="3" t="s">
        <v>58</v>
      </c>
      <c r="AQ75" s="3" t="s">
        <v>85</v>
      </c>
      <c r="AR75" s="6" t="str">
        <f>HYPERLINK("http://catalog.hathitrust.org/Record/002426385","HathiTrust Record")</f>
        <v>HathiTrust Record</v>
      </c>
      <c r="AS75" s="6" t="str">
        <f>HYPERLINK("https://creighton-primo.hosted.exlibrisgroup.com/primo-explore/search?tab=default_tab&amp;search_scope=EVERYTHING&amp;vid=01CRU&amp;lang=en_US&amp;offset=0&amp;query=any,contains,991000933179702656","Catalog Record")</f>
        <v>Catalog Record</v>
      </c>
      <c r="AT75" s="6" t="str">
        <f>HYPERLINK("http://www.worldcat.org/oclc/22490767","WorldCat Record")</f>
        <v>WorldCat Record</v>
      </c>
      <c r="AU75" s="3" t="s">
        <v>1070</v>
      </c>
      <c r="AV75" s="3" t="s">
        <v>1071</v>
      </c>
      <c r="AW75" s="3" t="s">
        <v>1072</v>
      </c>
      <c r="AX75" s="3" t="s">
        <v>1072</v>
      </c>
      <c r="AY75" s="3" t="s">
        <v>1073</v>
      </c>
      <c r="AZ75" s="3" t="s">
        <v>73</v>
      </c>
      <c r="BB75" s="3" t="s">
        <v>1074</v>
      </c>
      <c r="BC75" s="3" t="s">
        <v>1075</v>
      </c>
      <c r="BD75" s="3" t="s">
        <v>1076</v>
      </c>
    </row>
    <row r="76" spans="1:56" ht="40.5" customHeight="1" x14ac:dyDescent="0.25">
      <c r="A76" s="7" t="s">
        <v>58</v>
      </c>
      <c r="B76" s="2" t="s">
        <v>1077</v>
      </c>
      <c r="C76" s="2" t="s">
        <v>1078</v>
      </c>
      <c r="D76" s="2" t="s">
        <v>1079</v>
      </c>
      <c r="F76" s="3" t="s">
        <v>58</v>
      </c>
      <c r="G76" s="3" t="s">
        <v>59</v>
      </c>
      <c r="H76" s="3" t="s">
        <v>85</v>
      </c>
      <c r="I76" s="3" t="s">
        <v>85</v>
      </c>
      <c r="J76" s="3" t="s">
        <v>59</v>
      </c>
      <c r="L76" s="2" t="s">
        <v>1080</v>
      </c>
      <c r="M76" s="3" t="s">
        <v>467</v>
      </c>
      <c r="O76" s="3" t="s">
        <v>64</v>
      </c>
      <c r="P76" s="3" t="s">
        <v>135</v>
      </c>
      <c r="R76" s="3" t="s">
        <v>66</v>
      </c>
      <c r="S76" s="4">
        <v>8</v>
      </c>
      <c r="T76" s="4">
        <v>8</v>
      </c>
      <c r="U76" s="5" t="s">
        <v>1081</v>
      </c>
      <c r="V76" s="5" t="s">
        <v>1081</v>
      </c>
      <c r="W76" s="5" t="s">
        <v>1082</v>
      </c>
      <c r="X76" s="5" t="s">
        <v>1082</v>
      </c>
      <c r="Y76" s="4">
        <v>566</v>
      </c>
      <c r="Z76" s="4">
        <v>370</v>
      </c>
      <c r="AA76" s="4">
        <v>1241</v>
      </c>
      <c r="AB76" s="4">
        <v>7</v>
      </c>
      <c r="AC76" s="4">
        <v>17</v>
      </c>
      <c r="AD76" s="4">
        <v>16</v>
      </c>
      <c r="AE76" s="4">
        <v>47</v>
      </c>
      <c r="AF76" s="4">
        <v>5</v>
      </c>
      <c r="AG76" s="4">
        <v>16</v>
      </c>
      <c r="AH76" s="4">
        <v>5</v>
      </c>
      <c r="AI76" s="4">
        <v>12</v>
      </c>
      <c r="AJ76" s="4">
        <v>4</v>
      </c>
      <c r="AK76" s="4">
        <v>14</v>
      </c>
      <c r="AL76" s="4">
        <v>5</v>
      </c>
      <c r="AM76" s="4">
        <v>14</v>
      </c>
      <c r="AN76" s="4">
        <v>0</v>
      </c>
      <c r="AO76" s="4">
        <v>1</v>
      </c>
      <c r="AP76" s="3" t="s">
        <v>58</v>
      </c>
      <c r="AQ76" s="3" t="s">
        <v>85</v>
      </c>
      <c r="AR76" s="6" t="str">
        <f>HYPERLINK("http://catalog.hathitrust.org/Record/000187729","HathiTrust Record")</f>
        <v>HathiTrust Record</v>
      </c>
      <c r="AS76" s="6" t="str">
        <f>HYPERLINK("https://creighton-primo.hosted.exlibrisgroup.com/primo-explore/search?tab=default_tab&amp;search_scope=EVERYTHING&amp;vid=01CRU&amp;lang=en_US&amp;offset=0&amp;query=any,contains,991000895679702656","Catalog Record")</f>
        <v>Catalog Record</v>
      </c>
      <c r="AT76" s="6" t="str">
        <f>HYPERLINK("http://www.worldcat.org/oclc/9043632","WorldCat Record")</f>
        <v>WorldCat Record</v>
      </c>
      <c r="AU76" s="3" t="s">
        <v>1083</v>
      </c>
      <c r="AV76" s="3" t="s">
        <v>1084</v>
      </c>
      <c r="AW76" s="3" t="s">
        <v>1085</v>
      </c>
      <c r="AX76" s="3" t="s">
        <v>1085</v>
      </c>
      <c r="AY76" s="3" t="s">
        <v>1086</v>
      </c>
      <c r="AZ76" s="3" t="s">
        <v>73</v>
      </c>
      <c r="BB76" s="3" t="s">
        <v>1087</v>
      </c>
      <c r="BC76" s="3" t="s">
        <v>1088</v>
      </c>
      <c r="BD76" s="3" t="s">
        <v>1089</v>
      </c>
    </row>
    <row r="77" spans="1:56" ht="40.5" customHeight="1" x14ac:dyDescent="0.25">
      <c r="A77" s="7" t="s">
        <v>58</v>
      </c>
      <c r="B77" s="2" t="s">
        <v>1090</v>
      </c>
      <c r="C77" s="2" t="s">
        <v>1091</v>
      </c>
      <c r="D77" s="2" t="s">
        <v>1092</v>
      </c>
      <c r="F77" s="3" t="s">
        <v>58</v>
      </c>
      <c r="G77" s="3" t="s">
        <v>59</v>
      </c>
      <c r="H77" s="3" t="s">
        <v>58</v>
      </c>
      <c r="I77" s="3" t="s">
        <v>58</v>
      </c>
      <c r="J77" s="3" t="s">
        <v>60</v>
      </c>
      <c r="L77" s="2" t="s">
        <v>1093</v>
      </c>
      <c r="M77" s="3" t="s">
        <v>334</v>
      </c>
      <c r="O77" s="3" t="s">
        <v>64</v>
      </c>
      <c r="P77" s="3" t="s">
        <v>366</v>
      </c>
      <c r="Q77" s="2" t="s">
        <v>1094</v>
      </c>
      <c r="R77" s="3" t="s">
        <v>66</v>
      </c>
      <c r="S77" s="4">
        <v>4</v>
      </c>
      <c r="T77" s="4">
        <v>4</v>
      </c>
      <c r="U77" s="5" t="s">
        <v>1095</v>
      </c>
      <c r="V77" s="5" t="s">
        <v>1095</v>
      </c>
      <c r="W77" s="5" t="s">
        <v>1096</v>
      </c>
      <c r="X77" s="5" t="s">
        <v>1096</v>
      </c>
      <c r="Y77" s="4">
        <v>141</v>
      </c>
      <c r="Z77" s="4">
        <v>95</v>
      </c>
      <c r="AA77" s="4">
        <v>167</v>
      </c>
      <c r="AB77" s="4">
        <v>2</v>
      </c>
      <c r="AC77" s="4">
        <v>3</v>
      </c>
      <c r="AD77" s="4">
        <v>2</v>
      </c>
      <c r="AE77" s="4">
        <v>5</v>
      </c>
      <c r="AF77" s="4">
        <v>0</v>
      </c>
      <c r="AG77" s="4">
        <v>1</v>
      </c>
      <c r="AH77" s="4">
        <v>0</v>
      </c>
      <c r="AI77" s="4">
        <v>1</v>
      </c>
      <c r="AJ77" s="4">
        <v>1</v>
      </c>
      <c r="AK77" s="4">
        <v>2</v>
      </c>
      <c r="AL77" s="4">
        <v>1</v>
      </c>
      <c r="AM77" s="4">
        <v>2</v>
      </c>
      <c r="AN77" s="4">
        <v>0</v>
      </c>
      <c r="AO77" s="4">
        <v>0</v>
      </c>
      <c r="AP77" s="3" t="s">
        <v>58</v>
      </c>
      <c r="AQ77" s="3" t="s">
        <v>85</v>
      </c>
      <c r="AR77" s="6" t="str">
        <f>HYPERLINK("http://catalog.hathitrust.org/Record/004092360","HathiTrust Record")</f>
        <v>HathiTrust Record</v>
      </c>
      <c r="AS77" s="6" t="str">
        <f>HYPERLINK("https://creighton-primo.hosted.exlibrisgroup.com/primo-explore/search?tab=default_tab&amp;search_scope=EVERYTHING&amp;vid=01CRU&amp;lang=en_US&amp;offset=0&amp;query=any,contains,991000409549702656","Catalog Record")</f>
        <v>Catalog Record</v>
      </c>
      <c r="AT77" s="6" t="str">
        <f>HYPERLINK("http://www.worldcat.org/oclc/40965001","WorldCat Record")</f>
        <v>WorldCat Record</v>
      </c>
      <c r="AU77" s="3" t="s">
        <v>1097</v>
      </c>
      <c r="AV77" s="3" t="s">
        <v>1098</v>
      </c>
      <c r="AW77" s="3" t="s">
        <v>1099</v>
      </c>
      <c r="AX77" s="3" t="s">
        <v>1099</v>
      </c>
      <c r="AY77" s="3" t="s">
        <v>1100</v>
      </c>
      <c r="AZ77" s="3" t="s">
        <v>73</v>
      </c>
      <c r="BB77" s="3" t="s">
        <v>1101</v>
      </c>
      <c r="BC77" s="3" t="s">
        <v>1102</v>
      </c>
      <c r="BD77" s="3" t="s">
        <v>1103</v>
      </c>
    </row>
    <row r="78" spans="1:56" ht="40.5" customHeight="1" x14ac:dyDescent="0.25">
      <c r="A78" s="7" t="s">
        <v>58</v>
      </c>
      <c r="B78" s="2" t="s">
        <v>1104</v>
      </c>
      <c r="C78" s="2" t="s">
        <v>1105</v>
      </c>
      <c r="D78" s="2" t="s">
        <v>1106</v>
      </c>
      <c r="F78" s="3" t="s">
        <v>58</v>
      </c>
      <c r="G78" s="3" t="s">
        <v>59</v>
      </c>
      <c r="H78" s="3" t="s">
        <v>58</v>
      </c>
      <c r="I78" s="3" t="s">
        <v>58</v>
      </c>
      <c r="J78" s="3" t="s">
        <v>60</v>
      </c>
      <c r="K78" s="2" t="s">
        <v>1107</v>
      </c>
      <c r="L78" s="2" t="s">
        <v>1108</v>
      </c>
      <c r="M78" s="3" t="s">
        <v>496</v>
      </c>
      <c r="O78" s="3" t="s">
        <v>64</v>
      </c>
      <c r="P78" s="3" t="s">
        <v>65</v>
      </c>
      <c r="Q78" s="2" t="s">
        <v>1109</v>
      </c>
      <c r="R78" s="3" t="s">
        <v>66</v>
      </c>
      <c r="S78" s="4">
        <v>5</v>
      </c>
      <c r="T78" s="4">
        <v>5</v>
      </c>
      <c r="U78" s="5" t="s">
        <v>1110</v>
      </c>
      <c r="V78" s="5" t="s">
        <v>1110</v>
      </c>
      <c r="W78" s="5" t="s">
        <v>290</v>
      </c>
      <c r="X78" s="5" t="s">
        <v>290</v>
      </c>
      <c r="Y78" s="4">
        <v>291</v>
      </c>
      <c r="Z78" s="4">
        <v>218</v>
      </c>
      <c r="AA78" s="4">
        <v>303</v>
      </c>
      <c r="AB78" s="4">
        <v>3</v>
      </c>
      <c r="AC78" s="4">
        <v>3</v>
      </c>
      <c r="AD78" s="4">
        <v>10</v>
      </c>
      <c r="AE78" s="4">
        <v>12</v>
      </c>
      <c r="AF78" s="4">
        <v>2</v>
      </c>
      <c r="AG78" s="4">
        <v>2</v>
      </c>
      <c r="AH78" s="4">
        <v>1</v>
      </c>
      <c r="AI78" s="4">
        <v>2</v>
      </c>
      <c r="AJ78" s="4">
        <v>7</v>
      </c>
      <c r="AK78" s="4">
        <v>8</v>
      </c>
      <c r="AL78" s="4">
        <v>2</v>
      </c>
      <c r="AM78" s="4">
        <v>2</v>
      </c>
      <c r="AN78" s="4">
        <v>0</v>
      </c>
      <c r="AO78" s="4">
        <v>0</v>
      </c>
      <c r="AP78" s="3" t="s">
        <v>58</v>
      </c>
      <c r="AQ78" s="3" t="s">
        <v>85</v>
      </c>
      <c r="AR78" s="6" t="str">
        <f>HYPERLINK("http://catalog.hathitrust.org/Record/000574122","HathiTrust Record")</f>
        <v>HathiTrust Record</v>
      </c>
      <c r="AS78" s="6" t="str">
        <f>HYPERLINK("https://creighton-primo.hosted.exlibrisgroup.com/primo-explore/search?tab=default_tab&amp;search_scope=EVERYTHING&amp;vid=01CRU&amp;lang=en_US&amp;offset=0&amp;query=any,contains,991000895599702656","Catalog Record")</f>
        <v>Catalog Record</v>
      </c>
      <c r="AT78" s="6" t="str">
        <f>HYPERLINK("http://www.worldcat.org/oclc/10046273","WorldCat Record")</f>
        <v>WorldCat Record</v>
      </c>
      <c r="AU78" s="3" t="s">
        <v>1111</v>
      </c>
      <c r="AV78" s="3" t="s">
        <v>1112</v>
      </c>
      <c r="AW78" s="3" t="s">
        <v>1113</v>
      </c>
      <c r="AX78" s="3" t="s">
        <v>1113</v>
      </c>
      <c r="AY78" s="3" t="s">
        <v>1114</v>
      </c>
      <c r="AZ78" s="3" t="s">
        <v>73</v>
      </c>
      <c r="BB78" s="3" t="s">
        <v>1115</v>
      </c>
      <c r="BC78" s="3" t="s">
        <v>1116</v>
      </c>
      <c r="BD78" s="3" t="s">
        <v>1117</v>
      </c>
    </row>
    <row r="79" spans="1:56" ht="40.5" customHeight="1" x14ac:dyDescent="0.25">
      <c r="A79" s="7" t="s">
        <v>58</v>
      </c>
      <c r="B79" s="2" t="s">
        <v>1118</v>
      </c>
      <c r="C79" s="2" t="s">
        <v>1119</v>
      </c>
      <c r="D79" s="2" t="s">
        <v>1120</v>
      </c>
      <c r="F79" s="3" t="s">
        <v>58</v>
      </c>
      <c r="G79" s="3" t="s">
        <v>59</v>
      </c>
      <c r="H79" s="3" t="s">
        <v>58</v>
      </c>
      <c r="I79" s="3" t="s">
        <v>58</v>
      </c>
      <c r="J79" s="3" t="s">
        <v>60</v>
      </c>
      <c r="L79" s="2" t="s">
        <v>1121</v>
      </c>
      <c r="M79" s="3" t="s">
        <v>973</v>
      </c>
      <c r="O79" s="3" t="s">
        <v>64</v>
      </c>
      <c r="P79" s="3" t="s">
        <v>135</v>
      </c>
      <c r="R79" s="3" t="s">
        <v>66</v>
      </c>
      <c r="S79" s="4">
        <v>1</v>
      </c>
      <c r="T79" s="4">
        <v>1</v>
      </c>
      <c r="U79" s="5" t="s">
        <v>1122</v>
      </c>
      <c r="V79" s="5" t="s">
        <v>1122</v>
      </c>
      <c r="W79" s="5" t="s">
        <v>290</v>
      </c>
      <c r="X79" s="5" t="s">
        <v>290</v>
      </c>
      <c r="Y79" s="4">
        <v>367</v>
      </c>
      <c r="Z79" s="4">
        <v>261</v>
      </c>
      <c r="AA79" s="4">
        <v>268</v>
      </c>
      <c r="AB79" s="4">
        <v>2</v>
      </c>
      <c r="AC79" s="4">
        <v>2</v>
      </c>
      <c r="AD79" s="4">
        <v>11</v>
      </c>
      <c r="AE79" s="4">
        <v>11</v>
      </c>
      <c r="AF79" s="4">
        <v>2</v>
      </c>
      <c r="AG79" s="4">
        <v>2</v>
      </c>
      <c r="AH79" s="4">
        <v>5</v>
      </c>
      <c r="AI79" s="4">
        <v>5</v>
      </c>
      <c r="AJ79" s="4">
        <v>7</v>
      </c>
      <c r="AK79" s="4">
        <v>7</v>
      </c>
      <c r="AL79" s="4">
        <v>1</v>
      </c>
      <c r="AM79" s="4">
        <v>1</v>
      </c>
      <c r="AN79" s="4">
        <v>0</v>
      </c>
      <c r="AO79" s="4">
        <v>0</v>
      </c>
      <c r="AP79" s="3" t="s">
        <v>58</v>
      </c>
      <c r="AQ79" s="3" t="s">
        <v>85</v>
      </c>
      <c r="AR79" s="6" t="str">
        <f>HYPERLINK("http://catalog.hathitrust.org/Record/008331314","HathiTrust Record")</f>
        <v>HathiTrust Record</v>
      </c>
      <c r="AS79" s="6" t="str">
        <f>HYPERLINK("https://creighton-primo.hosted.exlibrisgroup.com/primo-explore/search?tab=default_tab&amp;search_scope=EVERYTHING&amp;vid=01CRU&amp;lang=en_US&amp;offset=0&amp;query=any,contains,991000895509702656","Catalog Record")</f>
        <v>Catalog Record</v>
      </c>
      <c r="AT79" s="6" t="str">
        <f>HYPERLINK("http://www.worldcat.org/oclc/6806572","WorldCat Record")</f>
        <v>WorldCat Record</v>
      </c>
      <c r="AU79" s="3" t="s">
        <v>1123</v>
      </c>
      <c r="AV79" s="3" t="s">
        <v>1124</v>
      </c>
      <c r="AW79" s="3" t="s">
        <v>1125</v>
      </c>
      <c r="AX79" s="3" t="s">
        <v>1125</v>
      </c>
      <c r="AY79" s="3" t="s">
        <v>1126</v>
      </c>
      <c r="AZ79" s="3" t="s">
        <v>73</v>
      </c>
      <c r="BB79" s="3" t="s">
        <v>1127</v>
      </c>
      <c r="BC79" s="3" t="s">
        <v>1128</v>
      </c>
      <c r="BD79" s="3" t="s">
        <v>1129</v>
      </c>
    </row>
    <row r="80" spans="1:56" ht="40.5" customHeight="1" x14ac:dyDescent="0.25">
      <c r="A80" s="7" t="s">
        <v>58</v>
      </c>
      <c r="B80" s="2" t="s">
        <v>1130</v>
      </c>
      <c r="C80" s="2" t="s">
        <v>1131</v>
      </c>
      <c r="D80" s="2" t="s">
        <v>1132</v>
      </c>
      <c r="F80" s="3" t="s">
        <v>58</v>
      </c>
      <c r="G80" s="3" t="s">
        <v>59</v>
      </c>
      <c r="H80" s="3" t="s">
        <v>58</v>
      </c>
      <c r="I80" s="3" t="s">
        <v>58</v>
      </c>
      <c r="J80" s="3" t="s">
        <v>60</v>
      </c>
      <c r="K80" s="2" t="s">
        <v>1133</v>
      </c>
      <c r="L80" s="2" t="s">
        <v>1134</v>
      </c>
      <c r="M80" s="3" t="s">
        <v>182</v>
      </c>
      <c r="O80" s="3" t="s">
        <v>64</v>
      </c>
      <c r="P80" s="3" t="s">
        <v>65</v>
      </c>
      <c r="R80" s="3" t="s">
        <v>66</v>
      </c>
      <c r="S80" s="4">
        <v>3</v>
      </c>
      <c r="T80" s="4">
        <v>3</v>
      </c>
      <c r="U80" s="5" t="s">
        <v>1135</v>
      </c>
      <c r="V80" s="5" t="s">
        <v>1135</v>
      </c>
      <c r="W80" s="5" t="s">
        <v>1136</v>
      </c>
      <c r="X80" s="5" t="s">
        <v>1136</v>
      </c>
      <c r="Y80" s="4">
        <v>92</v>
      </c>
      <c r="Z80" s="4">
        <v>63</v>
      </c>
      <c r="AA80" s="4">
        <v>143</v>
      </c>
      <c r="AB80" s="4">
        <v>1</v>
      </c>
      <c r="AC80" s="4">
        <v>1</v>
      </c>
      <c r="AD80" s="4">
        <v>0</v>
      </c>
      <c r="AE80" s="4">
        <v>5</v>
      </c>
      <c r="AF80" s="4">
        <v>0</v>
      </c>
      <c r="AG80" s="4">
        <v>2</v>
      </c>
      <c r="AH80" s="4">
        <v>0</v>
      </c>
      <c r="AI80" s="4">
        <v>3</v>
      </c>
      <c r="AJ80" s="4">
        <v>0</v>
      </c>
      <c r="AK80" s="4">
        <v>1</v>
      </c>
      <c r="AL80" s="4">
        <v>0</v>
      </c>
      <c r="AM80" s="4">
        <v>0</v>
      </c>
      <c r="AN80" s="4">
        <v>0</v>
      </c>
      <c r="AO80" s="4">
        <v>0</v>
      </c>
      <c r="AP80" s="3" t="s">
        <v>58</v>
      </c>
      <c r="AQ80" s="3" t="s">
        <v>85</v>
      </c>
      <c r="AR80" s="6" t="str">
        <f>HYPERLINK("http://catalog.hathitrust.org/Record/000834376","HathiTrust Record")</f>
        <v>HathiTrust Record</v>
      </c>
      <c r="AS80" s="6" t="str">
        <f>HYPERLINK("https://creighton-primo.hosted.exlibrisgroup.com/primo-explore/search?tab=default_tab&amp;search_scope=EVERYTHING&amp;vid=01CRU&amp;lang=en_US&amp;offset=0&amp;query=any,contains,991001533659702656","Catalog Record")</f>
        <v>Catalog Record</v>
      </c>
      <c r="AT80" s="6" t="str">
        <f>HYPERLINK("http://www.worldcat.org/oclc/14187620","WorldCat Record")</f>
        <v>WorldCat Record</v>
      </c>
      <c r="AU80" s="3" t="s">
        <v>1137</v>
      </c>
      <c r="AV80" s="3" t="s">
        <v>1138</v>
      </c>
      <c r="AW80" s="3" t="s">
        <v>1139</v>
      </c>
      <c r="AX80" s="3" t="s">
        <v>1139</v>
      </c>
      <c r="AY80" s="3" t="s">
        <v>1140</v>
      </c>
      <c r="AZ80" s="3" t="s">
        <v>73</v>
      </c>
      <c r="BB80" s="3" t="s">
        <v>1141</v>
      </c>
      <c r="BC80" s="3" t="s">
        <v>1142</v>
      </c>
      <c r="BD80" s="3" t="s">
        <v>1143</v>
      </c>
    </row>
    <row r="81" spans="1:56" ht="40.5" customHeight="1" x14ac:dyDescent="0.25">
      <c r="A81" s="7" t="s">
        <v>58</v>
      </c>
      <c r="B81" s="2" t="s">
        <v>1144</v>
      </c>
      <c r="C81" s="2" t="s">
        <v>1145</v>
      </c>
      <c r="D81" s="2" t="s">
        <v>1146</v>
      </c>
      <c r="E81" s="3" t="s">
        <v>1147</v>
      </c>
      <c r="F81" s="3" t="s">
        <v>58</v>
      </c>
      <c r="G81" s="3" t="s">
        <v>59</v>
      </c>
      <c r="H81" s="3" t="s">
        <v>85</v>
      </c>
      <c r="I81" s="3" t="s">
        <v>58</v>
      </c>
      <c r="J81" s="3" t="s">
        <v>60</v>
      </c>
      <c r="K81" s="2" t="s">
        <v>1148</v>
      </c>
      <c r="L81" s="2" t="s">
        <v>1149</v>
      </c>
      <c r="M81" s="3" t="s">
        <v>98</v>
      </c>
      <c r="O81" s="3" t="s">
        <v>64</v>
      </c>
      <c r="P81" s="3" t="s">
        <v>230</v>
      </c>
      <c r="Q81" s="2" t="s">
        <v>1150</v>
      </c>
      <c r="R81" s="3" t="s">
        <v>66</v>
      </c>
      <c r="S81" s="4">
        <v>6</v>
      </c>
      <c r="T81" s="4">
        <v>6</v>
      </c>
      <c r="U81" s="5" t="s">
        <v>1151</v>
      </c>
      <c r="V81" s="5" t="s">
        <v>1151</v>
      </c>
      <c r="W81" s="5" t="s">
        <v>290</v>
      </c>
      <c r="X81" s="5" t="s">
        <v>290</v>
      </c>
      <c r="Y81" s="4">
        <v>332</v>
      </c>
      <c r="Z81" s="4">
        <v>188</v>
      </c>
      <c r="AA81" s="4">
        <v>293</v>
      </c>
      <c r="AB81" s="4">
        <v>2</v>
      </c>
      <c r="AC81" s="4">
        <v>3</v>
      </c>
      <c r="AD81" s="4">
        <v>7</v>
      </c>
      <c r="AE81" s="4">
        <v>10</v>
      </c>
      <c r="AF81" s="4">
        <v>0</v>
      </c>
      <c r="AG81" s="4">
        <v>2</v>
      </c>
      <c r="AH81" s="4">
        <v>4</v>
      </c>
      <c r="AI81" s="4">
        <v>4</v>
      </c>
      <c r="AJ81" s="4">
        <v>5</v>
      </c>
      <c r="AK81" s="4">
        <v>6</v>
      </c>
      <c r="AL81" s="4">
        <v>0</v>
      </c>
      <c r="AM81" s="4">
        <v>1</v>
      </c>
      <c r="AN81" s="4">
        <v>0</v>
      </c>
      <c r="AO81" s="4">
        <v>0</v>
      </c>
      <c r="AP81" s="3" t="s">
        <v>58</v>
      </c>
      <c r="AQ81" s="3" t="s">
        <v>85</v>
      </c>
      <c r="AR81" s="6" t="str">
        <f>HYPERLINK("http://catalog.hathitrust.org/Record/006197734","HathiTrust Record")</f>
        <v>HathiTrust Record</v>
      </c>
      <c r="AS81" s="6" t="str">
        <f>HYPERLINK("https://creighton-primo.hosted.exlibrisgroup.com/primo-explore/search?tab=default_tab&amp;search_scope=EVERYTHING&amp;vid=01CRU&amp;lang=en_US&amp;offset=0&amp;query=any,contains,991000895459702656","Catalog Record")</f>
        <v>Catalog Record</v>
      </c>
      <c r="AT81" s="6" t="str">
        <f>HYPERLINK("http://www.worldcat.org/oclc/9111532","WorldCat Record")</f>
        <v>WorldCat Record</v>
      </c>
      <c r="AU81" s="3" t="s">
        <v>1152</v>
      </c>
      <c r="AV81" s="3" t="s">
        <v>1153</v>
      </c>
      <c r="AW81" s="3" t="s">
        <v>1154</v>
      </c>
      <c r="AX81" s="3" t="s">
        <v>1154</v>
      </c>
      <c r="AY81" s="3" t="s">
        <v>1155</v>
      </c>
      <c r="AZ81" s="3" t="s">
        <v>73</v>
      </c>
      <c r="BB81" s="3" t="s">
        <v>1156</v>
      </c>
      <c r="BC81" s="3" t="s">
        <v>1157</v>
      </c>
      <c r="BD81" s="3" t="s">
        <v>1158</v>
      </c>
    </row>
    <row r="82" spans="1:56" ht="40.5" customHeight="1" x14ac:dyDescent="0.25">
      <c r="A82" s="7" t="s">
        <v>58</v>
      </c>
      <c r="B82" s="2" t="s">
        <v>1159</v>
      </c>
      <c r="C82" s="2" t="s">
        <v>1160</v>
      </c>
      <c r="D82" s="2" t="s">
        <v>1161</v>
      </c>
      <c r="E82" s="3" t="s">
        <v>1162</v>
      </c>
      <c r="F82" s="3" t="s">
        <v>58</v>
      </c>
      <c r="G82" s="3" t="s">
        <v>59</v>
      </c>
      <c r="H82" s="3" t="s">
        <v>58</v>
      </c>
      <c r="I82" s="3" t="s">
        <v>58</v>
      </c>
      <c r="J82" s="3" t="s">
        <v>60</v>
      </c>
      <c r="K82" s="2" t="s">
        <v>1163</v>
      </c>
      <c r="L82" s="2" t="s">
        <v>1164</v>
      </c>
      <c r="M82" s="3" t="s">
        <v>182</v>
      </c>
      <c r="O82" s="3" t="s">
        <v>64</v>
      </c>
      <c r="P82" s="3" t="s">
        <v>230</v>
      </c>
      <c r="Q82" s="2" t="s">
        <v>1165</v>
      </c>
      <c r="R82" s="3" t="s">
        <v>66</v>
      </c>
      <c r="S82" s="4">
        <v>19</v>
      </c>
      <c r="T82" s="4">
        <v>19</v>
      </c>
      <c r="U82" s="5" t="s">
        <v>1166</v>
      </c>
      <c r="V82" s="5" t="s">
        <v>1166</v>
      </c>
      <c r="W82" s="5" t="s">
        <v>427</v>
      </c>
      <c r="X82" s="5" t="s">
        <v>427</v>
      </c>
      <c r="Y82" s="4">
        <v>402</v>
      </c>
      <c r="Z82" s="4">
        <v>234</v>
      </c>
      <c r="AA82" s="4">
        <v>281</v>
      </c>
      <c r="AB82" s="4">
        <v>1</v>
      </c>
      <c r="AC82" s="4">
        <v>2</v>
      </c>
      <c r="AD82" s="4">
        <v>8</v>
      </c>
      <c r="AE82" s="4">
        <v>10</v>
      </c>
      <c r="AF82" s="4">
        <v>2</v>
      </c>
      <c r="AG82" s="4">
        <v>3</v>
      </c>
      <c r="AH82" s="4">
        <v>5</v>
      </c>
      <c r="AI82" s="4">
        <v>5</v>
      </c>
      <c r="AJ82" s="4">
        <v>5</v>
      </c>
      <c r="AK82" s="4">
        <v>5</v>
      </c>
      <c r="AL82" s="4">
        <v>0</v>
      </c>
      <c r="AM82" s="4">
        <v>1</v>
      </c>
      <c r="AN82" s="4">
        <v>0</v>
      </c>
      <c r="AO82" s="4">
        <v>0</v>
      </c>
      <c r="AP82" s="3" t="s">
        <v>58</v>
      </c>
      <c r="AQ82" s="3" t="s">
        <v>58</v>
      </c>
      <c r="AS82" s="6" t="str">
        <f>HYPERLINK("https://creighton-primo.hosted.exlibrisgroup.com/primo-explore/search?tab=default_tab&amp;search_scope=EVERYTHING&amp;vid=01CRU&amp;lang=en_US&amp;offset=0&amp;query=any,contains,991001239739702656","Catalog Record")</f>
        <v>Catalog Record</v>
      </c>
      <c r="AT82" s="6" t="str">
        <f>HYPERLINK("http://www.worldcat.org/oclc/15365150","WorldCat Record")</f>
        <v>WorldCat Record</v>
      </c>
      <c r="AU82" s="3" t="s">
        <v>1167</v>
      </c>
      <c r="AV82" s="3" t="s">
        <v>1168</v>
      </c>
      <c r="AW82" s="3" t="s">
        <v>1169</v>
      </c>
      <c r="AX82" s="3" t="s">
        <v>1169</v>
      </c>
      <c r="AY82" s="3" t="s">
        <v>1170</v>
      </c>
      <c r="AZ82" s="3" t="s">
        <v>73</v>
      </c>
      <c r="BB82" s="3" t="s">
        <v>1171</v>
      </c>
      <c r="BC82" s="3" t="s">
        <v>1172</v>
      </c>
      <c r="BD82" s="3" t="s">
        <v>1173</v>
      </c>
    </row>
    <row r="83" spans="1:56" ht="40.5" customHeight="1" x14ac:dyDescent="0.25">
      <c r="A83" s="7" t="s">
        <v>58</v>
      </c>
      <c r="B83" s="2" t="s">
        <v>1174</v>
      </c>
      <c r="C83" s="2" t="s">
        <v>1175</v>
      </c>
      <c r="D83" s="2" t="s">
        <v>1176</v>
      </c>
      <c r="E83" s="3" t="s">
        <v>1177</v>
      </c>
      <c r="F83" s="3" t="s">
        <v>58</v>
      </c>
      <c r="G83" s="3" t="s">
        <v>59</v>
      </c>
      <c r="H83" s="3" t="s">
        <v>58</v>
      </c>
      <c r="I83" s="3" t="s">
        <v>58</v>
      </c>
      <c r="J83" s="3" t="s">
        <v>60</v>
      </c>
      <c r="K83" s="2" t="s">
        <v>1178</v>
      </c>
      <c r="L83" s="2" t="s">
        <v>1179</v>
      </c>
      <c r="M83" s="3" t="s">
        <v>197</v>
      </c>
      <c r="O83" s="3" t="s">
        <v>64</v>
      </c>
      <c r="P83" s="3" t="s">
        <v>230</v>
      </c>
      <c r="Q83" s="2" t="s">
        <v>1180</v>
      </c>
      <c r="R83" s="3" t="s">
        <v>66</v>
      </c>
      <c r="S83" s="4">
        <v>5</v>
      </c>
      <c r="T83" s="4">
        <v>5</v>
      </c>
      <c r="U83" s="5" t="s">
        <v>1181</v>
      </c>
      <c r="V83" s="5" t="s">
        <v>1181</v>
      </c>
      <c r="W83" s="5" t="s">
        <v>427</v>
      </c>
      <c r="X83" s="5" t="s">
        <v>427</v>
      </c>
      <c r="Y83" s="4">
        <v>300</v>
      </c>
      <c r="Z83" s="4">
        <v>175</v>
      </c>
      <c r="AA83" s="4">
        <v>193</v>
      </c>
      <c r="AB83" s="4">
        <v>1</v>
      </c>
      <c r="AC83" s="4">
        <v>1</v>
      </c>
      <c r="AD83" s="4">
        <v>7</v>
      </c>
      <c r="AE83" s="4">
        <v>7</v>
      </c>
      <c r="AF83" s="4">
        <v>1</v>
      </c>
      <c r="AG83" s="4">
        <v>1</v>
      </c>
      <c r="AH83" s="4">
        <v>3</v>
      </c>
      <c r="AI83" s="4">
        <v>3</v>
      </c>
      <c r="AJ83" s="4">
        <v>6</v>
      </c>
      <c r="AK83" s="4">
        <v>6</v>
      </c>
      <c r="AL83" s="4">
        <v>0</v>
      </c>
      <c r="AM83" s="4">
        <v>0</v>
      </c>
      <c r="AN83" s="4">
        <v>0</v>
      </c>
      <c r="AO83" s="4">
        <v>0</v>
      </c>
      <c r="AP83" s="3" t="s">
        <v>58</v>
      </c>
      <c r="AQ83" s="3" t="s">
        <v>58</v>
      </c>
      <c r="AS83" s="6" t="str">
        <f>HYPERLINK("https://creighton-primo.hosted.exlibrisgroup.com/primo-explore/search?tab=default_tab&amp;search_scope=EVERYTHING&amp;vid=01CRU&amp;lang=en_US&amp;offset=0&amp;query=any,contains,991001239779702656","Catalog Record")</f>
        <v>Catalog Record</v>
      </c>
      <c r="AT83" s="6" t="str">
        <f>HYPERLINK("http://www.worldcat.org/oclc/19555123","WorldCat Record")</f>
        <v>WorldCat Record</v>
      </c>
      <c r="AU83" s="3" t="s">
        <v>1182</v>
      </c>
      <c r="AV83" s="3" t="s">
        <v>1183</v>
      </c>
      <c r="AW83" s="3" t="s">
        <v>1184</v>
      </c>
      <c r="AX83" s="3" t="s">
        <v>1184</v>
      </c>
      <c r="AY83" s="3" t="s">
        <v>1185</v>
      </c>
      <c r="AZ83" s="3" t="s">
        <v>73</v>
      </c>
      <c r="BB83" s="3" t="s">
        <v>1186</v>
      </c>
      <c r="BC83" s="3" t="s">
        <v>1187</v>
      </c>
      <c r="BD83" s="3" t="s">
        <v>1188</v>
      </c>
    </row>
    <row r="84" spans="1:56" ht="40.5" customHeight="1" x14ac:dyDescent="0.25">
      <c r="A84" s="7" t="s">
        <v>58</v>
      </c>
      <c r="B84" s="2" t="s">
        <v>1189</v>
      </c>
      <c r="C84" s="2" t="s">
        <v>1190</v>
      </c>
      <c r="D84" s="2" t="s">
        <v>1191</v>
      </c>
      <c r="E84" s="3" t="s">
        <v>1192</v>
      </c>
      <c r="F84" s="3" t="s">
        <v>58</v>
      </c>
      <c r="G84" s="3" t="s">
        <v>59</v>
      </c>
      <c r="H84" s="3" t="s">
        <v>58</v>
      </c>
      <c r="I84" s="3" t="s">
        <v>58</v>
      </c>
      <c r="J84" s="3" t="s">
        <v>60</v>
      </c>
      <c r="L84" s="2" t="s">
        <v>1179</v>
      </c>
      <c r="M84" s="3" t="s">
        <v>197</v>
      </c>
      <c r="O84" s="3" t="s">
        <v>64</v>
      </c>
      <c r="P84" s="3" t="s">
        <v>230</v>
      </c>
      <c r="Q84" s="2" t="s">
        <v>1193</v>
      </c>
      <c r="R84" s="3" t="s">
        <v>66</v>
      </c>
      <c r="S84" s="4">
        <v>6</v>
      </c>
      <c r="T84" s="4">
        <v>6</v>
      </c>
      <c r="U84" s="5" t="s">
        <v>1194</v>
      </c>
      <c r="V84" s="5" t="s">
        <v>1194</v>
      </c>
      <c r="W84" s="5" t="s">
        <v>427</v>
      </c>
      <c r="X84" s="5" t="s">
        <v>427</v>
      </c>
      <c r="Y84" s="4">
        <v>269</v>
      </c>
      <c r="Z84" s="4">
        <v>160</v>
      </c>
      <c r="AA84" s="4">
        <v>209</v>
      </c>
      <c r="AB84" s="4">
        <v>1</v>
      </c>
      <c r="AC84" s="4">
        <v>1</v>
      </c>
      <c r="AD84" s="4">
        <v>4</v>
      </c>
      <c r="AE84" s="4">
        <v>6</v>
      </c>
      <c r="AF84" s="4">
        <v>0</v>
      </c>
      <c r="AG84" s="4">
        <v>2</v>
      </c>
      <c r="AH84" s="4">
        <v>2</v>
      </c>
      <c r="AI84" s="4">
        <v>3</v>
      </c>
      <c r="AJ84" s="4">
        <v>4</v>
      </c>
      <c r="AK84" s="4">
        <v>4</v>
      </c>
      <c r="AL84" s="4">
        <v>0</v>
      </c>
      <c r="AM84" s="4">
        <v>0</v>
      </c>
      <c r="AN84" s="4">
        <v>0</v>
      </c>
      <c r="AO84" s="4">
        <v>0</v>
      </c>
      <c r="AP84" s="3" t="s">
        <v>58</v>
      </c>
      <c r="AQ84" s="3" t="s">
        <v>58</v>
      </c>
      <c r="AS84" s="6" t="str">
        <f>HYPERLINK("https://creighton-primo.hosted.exlibrisgroup.com/primo-explore/search?tab=default_tab&amp;search_scope=EVERYTHING&amp;vid=01CRU&amp;lang=en_US&amp;offset=0&amp;query=any,contains,991001239599702656","Catalog Record")</f>
        <v>Catalog Record</v>
      </c>
      <c r="AT84" s="6" t="str">
        <f>HYPERLINK("http://www.worldcat.org/oclc/20935990","WorldCat Record")</f>
        <v>WorldCat Record</v>
      </c>
      <c r="AU84" s="3" t="s">
        <v>1195</v>
      </c>
      <c r="AV84" s="3" t="s">
        <v>1196</v>
      </c>
      <c r="AW84" s="3" t="s">
        <v>1197</v>
      </c>
      <c r="AX84" s="3" t="s">
        <v>1197</v>
      </c>
      <c r="AY84" s="3" t="s">
        <v>1198</v>
      </c>
      <c r="AZ84" s="3" t="s">
        <v>73</v>
      </c>
      <c r="BB84" s="3" t="s">
        <v>1199</v>
      </c>
      <c r="BC84" s="3" t="s">
        <v>1200</v>
      </c>
      <c r="BD84" s="3" t="s">
        <v>1201</v>
      </c>
    </row>
    <row r="85" spans="1:56" ht="40.5" customHeight="1" x14ac:dyDescent="0.25">
      <c r="A85" s="7" t="s">
        <v>58</v>
      </c>
      <c r="B85" s="2" t="s">
        <v>1202</v>
      </c>
      <c r="C85" s="2" t="s">
        <v>1203</v>
      </c>
      <c r="D85" s="2" t="s">
        <v>1204</v>
      </c>
      <c r="F85" s="3" t="s">
        <v>58</v>
      </c>
      <c r="G85" s="3" t="s">
        <v>59</v>
      </c>
      <c r="H85" s="3" t="s">
        <v>58</v>
      </c>
      <c r="I85" s="3" t="s">
        <v>58</v>
      </c>
      <c r="J85" s="3" t="s">
        <v>60</v>
      </c>
      <c r="L85" s="2" t="s">
        <v>1205</v>
      </c>
      <c r="M85" s="3" t="s">
        <v>365</v>
      </c>
      <c r="O85" s="3" t="s">
        <v>64</v>
      </c>
      <c r="P85" s="3" t="s">
        <v>117</v>
      </c>
      <c r="Q85" s="2" t="s">
        <v>1206</v>
      </c>
      <c r="R85" s="3" t="s">
        <v>66</v>
      </c>
      <c r="S85" s="4">
        <v>9</v>
      </c>
      <c r="T85" s="4">
        <v>9</v>
      </c>
      <c r="U85" s="5" t="s">
        <v>1207</v>
      </c>
      <c r="V85" s="5" t="s">
        <v>1207</v>
      </c>
      <c r="W85" s="5" t="s">
        <v>1208</v>
      </c>
      <c r="X85" s="5" t="s">
        <v>1208</v>
      </c>
      <c r="Y85" s="4">
        <v>166</v>
      </c>
      <c r="Z85" s="4">
        <v>119</v>
      </c>
      <c r="AA85" s="4">
        <v>143</v>
      </c>
      <c r="AB85" s="4">
        <v>1</v>
      </c>
      <c r="AC85" s="4">
        <v>1</v>
      </c>
      <c r="AD85" s="4">
        <v>3</v>
      </c>
      <c r="AE85" s="4">
        <v>3</v>
      </c>
      <c r="AF85" s="4">
        <v>0</v>
      </c>
      <c r="AG85" s="4">
        <v>0</v>
      </c>
      <c r="AH85" s="4">
        <v>2</v>
      </c>
      <c r="AI85" s="4">
        <v>2</v>
      </c>
      <c r="AJ85" s="4">
        <v>2</v>
      </c>
      <c r="AK85" s="4">
        <v>2</v>
      </c>
      <c r="AL85" s="4">
        <v>0</v>
      </c>
      <c r="AM85" s="4">
        <v>0</v>
      </c>
      <c r="AN85" s="4">
        <v>0</v>
      </c>
      <c r="AO85" s="4">
        <v>0</v>
      </c>
      <c r="AP85" s="3" t="s">
        <v>58</v>
      </c>
      <c r="AQ85" s="3" t="s">
        <v>58</v>
      </c>
      <c r="AS85" s="6" t="str">
        <f>HYPERLINK("https://creighton-primo.hosted.exlibrisgroup.com/primo-explore/search?tab=default_tab&amp;search_scope=EVERYTHING&amp;vid=01CRU&amp;lang=en_US&amp;offset=0&amp;query=any,contains,991000652159702656","Catalog Record")</f>
        <v>Catalog Record</v>
      </c>
      <c r="AT85" s="6" t="str">
        <f>HYPERLINK("http://www.worldcat.org/oclc/28965002","WorldCat Record")</f>
        <v>WorldCat Record</v>
      </c>
      <c r="AU85" s="3" t="s">
        <v>1209</v>
      </c>
      <c r="AV85" s="3" t="s">
        <v>1210</v>
      </c>
      <c r="AW85" s="3" t="s">
        <v>1211</v>
      </c>
      <c r="AX85" s="3" t="s">
        <v>1211</v>
      </c>
      <c r="AY85" s="3" t="s">
        <v>1212</v>
      </c>
      <c r="AZ85" s="3" t="s">
        <v>73</v>
      </c>
      <c r="BB85" s="3" t="s">
        <v>1213</v>
      </c>
      <c r="BC85" s="3" t="s">
        <v>1214</v>
      </c>
      <c r="BD85" s="3" t="s">
        <v>1215</v>
      </c>
    </row>
    <row r="86" spans="1:56" ht="40.5" customHeight="1" x14ac:dyDescent="0.25">
      <c r="A86" s="7" t="s">
        <v>58</v>
      </c>
      <c r="B86" s="2" t="s">
        <v>1216</v>
      </c>
      <c r="C86" s="2" t="s">
        <v>1217</v>
      </c>
      <c r="D86" s="2" t="s">
        <v>1218</v>
      </c>
      <c r="E86" s="3" t="s">
        <v>96</v>
      </c>
      <c r="F86" s="3" t="s">
        <v>85</v>
      </c>
      <c r="G86" s="3" t="s">
        <v>59</v>
      </c>
      <c r="H86" s="3" t="s">
        <v>58</v>
      </c>
      <c r="I86" s="3" t="s">
        <v>58</v>
      </c>
      <c r="J86" s="3" t="s">
        <v>60</v>
      </c>
      <c r="L86" s="2" t="s">
        <v>1219</v>
      </c>
      <c r="M86" s="3" t="s">
        <v>98</v>
      </c>
      <c r="N86" s="2" t="s">
        <v>288</v>
      </c>
      <c r="O86" s="3" t="s">
        <v>64</v>
      </c>
      <c r="P86" s="3" t="s">
        <v>396</v>
      </c>
      <c r="R86" s="3" t="s">
        <v>66</v>
      </c>
      <c r="S86" s="4">
        <v>4</v>
      </c>
      <c r="T86" s="4">
        <v>7</v>
      </c>
      <c r="U86" s="5" t="s">
        <v>1220</v>
      </c>
      <c r="V86" s="5" t="s">
        <v>1221</v>
      </c>
      <c r="W86" s="5" t="s">
        <v>1222</v>
      </c>
      <c r="X86" s="5" t="s">
        <v>1222</v>
      </c>
      <c r="Y86" s="4">
        <v>436</v>
      </c>
      <c r="Z86" s="4">
        <v>327</v>
      </c>
      <c r="AA86" s="4">
        <v>329</v>
      </c>
      <c r="AB86" s="4">
        <v>3</v>
      </c>
      <c r="AC86" s="4">
        <v>3</v>
      </c>
      <c r="AD86" s="4">
        <v>11</v>
      </c>
      <c r="AE86" s="4">
        <v>11</v>
      </c>
      <c r="AF86" s="4">
        <v>3</v>
      </c>
      <c r="AG86" s="4">
        <v>3</v>
      </c>
      <c r="AH86" s="4">
        <v>3</v>
      </c>
      <c r="AI86" s="4">
        <v>3</v>
      </c>
      <c r="AJ86" s="4">
        <v>7</v>
      </c>
      <c r="AK86" s="4">
        <v>7</v>
      </c>
      <c r="AL86" s="4">
        <v>2</v>
      </c>
      <c r="AM86" s="4">
        <v>2</v>
      </c>
      <c r="AN86" s="4">
        <v>0</v>
      </c>
      <c r="AO86" s="4">
        <v>0</v>
      </c>
      <c r="AP86" s="3" t="s">
        <v>58</v>
      </c>
      <c r="AQ86" s="3" t="s">
        <v>85</v>
      </c>
      <c r="AR86" s="6" t="str">
        <f>HYPERLINK("http://catalog.hathitrust.org/Record/000117040","HathiTrust Record")</f>
        <v>HathiTrust Record</v>
      </c>
      <c r="AS86" s="6" t="str">
        <f>HYPERLINK("https://creighton-primo.hosted.exlibrisgroup.com/primo-explore/search?tab=default_tab&amp;search_scope=EVERYTHING&amp;vid=01CRU&amp;lang=en_US&amp;offset=0&amp;query=any,contains,991000895319702656","Catalog Record")</f>
        <v>Catalog Record</v>
      </c>
      <c r="AT86" s="6" t="str">
        <f>HYPERLINK("http://www.worldcat.org/oclc/11371582","WorldCat Record")</f>
        <v>WorldCat Record</v>
      </c>
      <c r="AU86" s="3" t="s">
        <v>1223</v>
      </c>
      <c r="AV86" s="3" t="s">
        <v>1224</v>
      </c>
      <c r="AW86" s="3" t="s">
        <v>1225</v>
      </c>
      <c r="AX86" s="3" t="s">
        <v>1225</v>
      </c>
      <c r="AY86" s="3" t="s">
        <v>1226</v>
      </c>
      <c r="AZ86" s="3" t="s">
        <v>73</v>
      </c>
      <c r="BB86" s="3" t="s">
        <v>1227</v>
      </c>
      <c r="BC86" s="3" t="s">
        <v>1228</v>
      </c>
      <c r="BD86" s="3" t="s">
        <v>1229</v>
      </c>
    </row>
    <row r="87" spans="1:56" ht="40.5" customHeight="1" x14ac:dyDescent="0.25">
      <c r="A87" s="7" t="s">
        <v>58</v>
      </c>
      <c r="B87" s="2" t="s">
        <v>1216</v>
      </c>
      <c r="C87" s="2" t="s">
        <v>1217</v>
      </c>
      <c r="D87" s="2" t="s">
        <v>1218</v>
      </c>
      <c r="E87" s="3" t="s">
        <v>1230</v>
      </c>
      <c r="F87" s="3" t="s">
        <v>85</v>
      </c>
      <c r="G87" s="3" t="s">
        <v>59</v>
      </c>
      <c r="H87" s="3" t="s">
        <v>58</v>
      </c>
      <c r="I87" s="3" t="s">
        <v>58</v>
      </c>
      <c r="J87" s="3" t="s">
        <v>60</v>
      </c>
      <c r="L87" s="2" t="s">
        <v>1219</v>
      </c>
      <c r="M87" s="3" t="s">
        <v>98</v>
      </c>
      <c r="N87" s="2" t="s">
        <v>288</v>
      </c>
      <c r="O87" s="3" t="s">
        <v>64</v>
      </c>
      <c r="P87" s="3" t="s">
        <v>396</v>
      </c>
      <c r="R87" s="3" t="s">
        <v>66</v>
      </c>
      <c r="S87" s="4">
        <v>1</v>
      </c>
      <c r="T87" s="4">
        <v>7</v>
      </c>
      <c r="V87" s="5" t="s">
        <v>1221</v>
      </c>
      <c r="W87" s="5" t="s">
        <v>1222</v>
      </c>
      <c r="X87" s="5" t="s">
        <v>1222</v>
      </c>
      <c r="Y87" s="4">
        <v>436</v>
      </c>
      <c r="Z87" s="4">
        <v>327</v>
      </c>
      <c r="AA87" s="4">
        <v>329</v>
      </c>
      <c r="AB87" s="4">
        <v>3</v>
      </c>
      <c r="AC87" s="4">
        <v>3</v>
      </c>
      <c r="AD87" s="4">
        <v>11</v>
      </c>
      <c r="AE87" s="4">
        <v>11</v>
      </c>
      <c r="AF87" s="4">
        <v>3</v>
      </c>
      <c r="AG87" s="4">
        <v>3</v>
      </c>
      <c r="AH87" s="4">
        <v>3</v>
      </c>
      <c r="AI87" s="4">
        <v>3</v>
      </c>
      <c r="AJ87" s="4">
        <v>7</v>
      </c>
      <c r="AK87" s="4">
        <v>7</v>
      </c>
      <c r="AL87" s="4">
        <v>2</v>
      </c>
      <c r="AM87" s="4">
        <v>2</v>
      </c>
      <c r="AN87" s="4">
        <v>0</v>
      </c>
      <c r="AO87" s="4">
        <v>0</v>
      </c>
      <c r="AP87" s="3" t="s">
        <v>58</v>
      </c>
      <c r="AQ87" s="3" t="s">
        <v>85</v>
      </c>
      <c r="AR87" s="6" t="str">
        <f>HYPERLINK("http://catalog.hathitrust.org/Record/000117040","HathiTrust Record")</f>
        <v>HathiTrust Record</v>
      </c>
      <c r="AS87" s="6" t="str">
        <f>HYPERLINK("https://creighton-primo.hosted.exlibrisgroup.com/primo-explore/search?tab=default_tab&amp;search_scope=EVERYTHING&amp;vid=01CRU&amp;lang=en_US&amp;offset=0&amp;query=any,contains,991000895319702656","Catalog Record")</f>
        <v>Catalog Record</v>
      </c>
      <c r="AT87" s="6" t="str">
        <f>HYPERLINK("http://www.worldcat.org/oclc/11371582","WorldCat Record")</f>
        <v>WorldCat Record</v>
      </c>
      <c r="AU87" s="3" t="s">
        <v>1223</v>
      </c>
      <c r="AV87" s="3" t="s">
        <v>1224</v>
      </c>
      <c r="AW87" s="3" t="s">
        <v>1225</v>
      </c>
      <c r="AX87" s="3" t="s">
        <v>1225</v>
      </c>
      <c r="AY87" s="3" t="s">
        <v>1226</v>
      </c>
      <c r="AZ87" s="3" t="s">
        <v>73</v>
      </c>
      <c r="BB87" s="3" t="s">
        <v>1227</v>
      </c>
      <c r="BC87" s="3" t="s">
        <v>1231</v>
      </c>
      <c r="BD87" s="3" t="s">
        <v>1232</v>
      </c>
    </row>
    <row r="88" spans="1:56" ht="40.5" customHeight="1" x14ac:dyDescent="0.25">
      <c r="A88" s="7" t="s">
        <v>58</v>
      </c>
      <c r="B88" s="2" t="s">
        <v>1216</v>
      </c>
      <c r="C88" s="2" t="s">
        <v>1217</v>
      </c>
      <c r="D88" s="2" t="s">
        <v>1218</v>
      </c>
      <c r="E88" s="3" t="s">
        <v>258</v>
      </c>
      <c r="F88" s="3" t="s">
        <v>85</v>
      </c>
      <c r="G88" s="3" t="s">
        <v>59</v>
      </c>
      <c r="H88" s="3" t="s">
        <v>58</v>
      </c>
      <c r="I88" s="3" t="s">
        <v>58</v>
      </c>
      <c r="J88" s="3" t="s">
        <v>60</v>
      </c>
      <c r="L88" s="2" t="s">
        <v>1219</v>
      </c>
      <c r="M88" s="3" t="s">
        <v>98</v>
      </c>
      <c r="N88" s="2" t="s">
        <v>288</v>
      </c>
      <c r="O88" s="3" t="s">
        <v>64</v>
      </c>
      <c r="P88" s="3" t="s">
        <v>396</v>
      </c>
      <c r="R88" s="3" t="s">
        <v>66</v>
      </c>
      <c r="S88" s="4">
        <v>2</v>
      </c>
      <c r="T88" s="4">
        <v>7</v>
      </c>
      <c r="U88" s="5" t="s">
        <v>1221</v>
      </c>
      <c r="V88" s="5" t="s">
        <v>1221</v>
      </c>
      <c r="W88" s="5" t="s">
        <v>1222</v>
      </c>
      <c r="X88" s="5" t="s">
        <v>1222</v>
      </c>
      <c r="Y88" s="4">
        <v>436</v>
      </c>
      <c r="Z88" s="4">
        <v>327</v>
      </c>
      <c r="AA88" s="4">
        <v>329</v>
      </c>
      <c r="AB88" s="4">
        <v>3</v>
      </c>
      <c r="AC88" s="4">
        <v>3</v>
      </c>
      <c r="AD88" s="4">
        <v>11</v>
      </c>
      <c r="AE88" s="4">
        <v>11</v>
      </c>
      <c r="AF88" s="4">
        <v>3</v>
      </c>
      <c r="AG88" s="4">
        <v>3</v>
      </c>
      <c r="AH88" s="4">
        <v>3</v>
      </c>
      <c r="AI88" s="4">
        <v>3</v>
      </c>
      <c r="AJ88" s="4">
        <v>7</v>
      </c>
      <c r="AK88" s="4">
        <v>7</v>
      </c>
      <c r="AL88" s="4">
        <v>2</v>
      </c>
      <c r="AM88" s="4">
        <v>2</v>
      </c>
      <c r="AN88" s="4">
        <v>0</v>
      </c>
      <c r="AO88" s="4">
        <v>0</v>
      </c>
      <c r="AP88" s="3" t="s">
        <v>58</v>
      </c>
      <c r="AQ88" s="3" t="s">
        <v>85</v>
      </c>
      <c r="AR88" s="6" t="str">
        <f>HYPERLINK("http://catalog.hathitrust.org/Record/000117040","HathiTrust Record")</f>
        <v>HathiTrust Record</v>
      </c>
      <c r="AS88" s="6" t="str">
        <f>HYPERLINK("https://creighton-primo.hosted.exlibrisgroup.com/primo-explore/search?tab=default_tab&amp;search_scope=EVERYTHING&amp;vid=01CRU&amp;lang=en_US&amp;offset=0&amp;query=any,contains,991000895319702656","Catalog Record")</f>
        <v>Catalog Record</v>
      </c>
      <c r="AT88" s="6" t="str">
        <f>HYPERLINK("http://www.worldcat.org/oclc/11371582","WorldCat Record")</f>
        <v>WorldCat Record</v>
      </c>
      <c r="AU88" s="3" t="s">
        <v>1223</v>
      </c>
      <c r="AV88" s="3" t="s">
        <v>1224</v>
      </c>
      <c r="AW88" s="3" t="s">
        <v>1225</v>
      </c>
      <c r="AX88" s="3" t="s">
        <v>1225</v>
      </c>
      <c r="AY88" s="3" t="s">
        <v>1226</v>
      </c>
      <c r="AZ88" s="3" t="s">
        <v>73</v>
      </c>
      <c r="BB88" s="3" t="s">
        <v>1227</v>
      </c>
      <c r="BC88" s="3" t="s">
        <v>1233</v>
      </c>
      <c r="BD88" s="3" t="s">
        <v>1234</v>
      </c>
    </row>
    <row r="89" spans="1:56" ht="40.5" customHeight="1" x14ac:dyDescent="0.25">
      <c r="A89" s="7" t="s">
        <v>58</v>
      </c>
      <c r="B89" s="2" t="s">
        <v>1235</v>
      </c>
      <c r="C89" s="2" t="s">
        <v>1236</v>
      </c>
      <c r="D89" s="2" t="s">
        <v>1237</v>
      </c>
      <c r="E89" s="3" t="s">
        <v>108</v>
      </c>
      <c r="F89" s="3" t="s">
        <v>85</v>
      </c>
      <c r="G89" s="3" t="s">
        <v>59</v>
      </c>
      <c r="H89" s="3" t="s">
        <v>58</v>
      </c>
      <c r="I89" s="3" t="s">
        <v>58</v>
      </c>
      <c r="J89" s="3" t="s">
        <v>60</v>
      </c>
      <c r="L89" s="2" t="s">
        <v>1238</v>
      </c>
      <c r="M89" s="3" t="s">
        <v>98</v>
      </c>
      <c r="N89" s="2" t="s">
        <v>288</v>
      </c>
      <c r="O89" s="3" t="s">
        <v>64</v>
      </c>
      <c r="P89" s="3" t="s">
        <v>396</v>
      </c>
      <c r="R89" s="3" t="s">
        <v>66</v>
      </c>
      <c r="S89" s="4">
        <v>1</v>
      </c>
      <c r="T89" s="4">
        <v>2</v>
      </c>
      <c r="U89" s="5" t="s">
        <v>1239</v>
      </c>
      <c r="V89" s="5" t="s">
        <v>1239</v>
      </c>
      <c r="W89" s="5" t="s">
        <v>290</v>
      </c>
      <c r="X89" s="5" t="s">
        <v>1240</v>
      </c>
      <c r="Y89" s="4">
        <v>436</v>
      </c>
      <c r="Z89" s="4">
        <v>327</v>
      </c>
      <c r="AA89" s="4">
        <v>329</v>
      </c>
      <c r="AB89" s="4">
        <v>3</v>
      </c>
      <c r="AC89" s="4">
        <v>3</v>
      </c>
      <c r="AD89" s="4">
        <v>11</v>
      </c>
      <c r="AE89" s="4">
        <v>11</v>
      </c>
      <c r="AF89" s="4">
        <v>3</v>
      </c>
      <c r="AG89" s="4">
        <v>3</v>
      </c>
      <c r="AH89" s="4">
        <v>3</v>
      </c>
      <c r="AI89" s="4">
        <v>3</v>
      </c>
      <c r="AJ89" s="4">
        <v>7</v>
      </c>
      <c r="AK89" s="4">
        <v>7</v>
      </c>
      <c r="AL89" s="4">
        <v>2</v>
      </c>
      <c r="AM89" s="4">
        <v>2</v>
      </c>
      <c r="AN89" s="4">
        <v>0</v>
      </c>
      <c r="AO89" s="4">
        <v>0</v>
      </c>
      <c r="AP89" s="3" t="s">
        <v>58</v>
      </c>
      <c r="AQ89" s="3" t="s">
        <v>85</v>
      </c>
      <c r="AR89" s="6" t="str">
        <f>HYPERLINK("http://catalog.hathitrust.org/Record/000117040","HathiTrust Record")</f>
        <v>HathiTrust Record</v>
      </c>
      <c r="AS89" s="6" t="str">
        <f>HYPERLINK("https://creighton-primo.hosted.exlibrisgroup.com/primo-explore/search?tab=default_tab&amp;search_scope=EVERYTHING&amp;vid=01CRU&amp;lang=en_US&amp;offset=0&amp;query=any,contains,991000895819702656","Catalog Record")</f>
        <v>Catalog Record</v>
      </c>
      <c r="AT89" s="6" t="str">
        <f>HYPERLINK("http://www.worldcat.org/oclc/11371582","WorldCat Record")</f>
        <v>WorldCat Record</v>
      </c>
      <c r="AU89" s="3" t="s">
        <v>1223</v>
      </c>
      <c r="AV89" s="3" t="s">
        <v>1224</v>
      </c>
      <c r="AW89" s="3" t="s">
        <v>1241</v>
      </c>
      <c r="AX89" s="3" t="s">
        <v>1241</v>
      </c>
      <c r="AY89" s="3" t="s">
        <v>1242</v>
      </c>
      <c r="AZ89" s="3" t="s">
        <v>73</v>
      </c>
      <c r="BC89" s="3" t="s">
        <v>1243</v>
      </c>
      <c r="BD89" s="3" t="s">
        <v>1244</v>
      </c>
    </row>
    <row r="90" spans="1:56" ht="40.5" customHeight="1" x14ac:dyDescent="0.25">
      <c r="A90" s="7" t="s">
        <v>58</v>
      </c>
      <c r="B90" s="2" t="s">
        <v>1235</v>
      </c>
      <c r="C90" s="2" t="s">
        <v>1236</v>
      </c>
      <c r="D90" s="2" t="s">
        <v>1237</v>
      </c>
      <c r="E90" s="3" t="s">
        <v>1245</v>
      </c>
      <c r="F90" s="3" t="s">
        <v>85</v>
      </c>
      <c r="G90" s="3" t="s">
        <v>59</v>
      </c>
      <c r="H90" s="3" t="s">
        <v>58</v>
      </c>
      <c r="I90" s="3" t="s">
        <v>58</v>
      </c>
      <c r="J90" s="3" t="s">
        <v>60</v>
      </c>
      <c r="L90" s="2" t="s">
        <v>1238</v>
      </c>
      <c r="M90" s="3" t="s">
        <v>98</v>
      </c>
      <c r="N90" s="2" t="s">
        <v>288</v>
      </c>
      <c r="O90" s="3" t="s">
        <v>64</v>
      </c>
      <c r="P90" s="3" t="s">
        <v>396</v>
      </c>
      <c r="R90" s="3" t="s">
        <v>66</v>
      </c>
      <c r="S90" s="4">
        <v>1</v>
      </c>
      <c r="T90" s="4">
        <v>2</v>
      </c>
      <c r="V90" s="5" t="s">
        <v>1239</v>
      </c>
      <c r="W90" s="5" t="s">
        <v>1240</v>
      </c>
      <c r="X90" s="5" t="s">
        <v>1240</v>
      </c>
      <c r="Y90" s="4">
        <v>436</v>
      </c>
      <c r="Z90" s="4">
        <v>327</v>
      </c>
      <c r="AA90" s="4">
        <v>329</v>
      </c>
      <c r="AB90" s="4">
        <v>3</v>
      </c>
      <c r="AC90" s="4">
        <v>3</v>
      </c>
      <c r="AD90" s="4">
        <v>11</v>
      </c>
      <c r="AE90" s="4">
        <v>11</v>
      </c>
      <c r="AF90" s="4">
        <v>3</v>
      </c>
      <c r="AG90" s="4">
        <v>3</v>
      </c>
      <c r="AH90" s="4">
        <v>3</v>
      </c>
      <c r="AI90" s="4">
        <v>3</v>
      </c>
      <c r="AJ90" s="4">
        <v>7</v>
      </c>
      <c r="AK90" s="4">
        <v>7</v>
      </c>
      <c r="AL90" s="4">
        <v>2</v>
      </c>
      <c r="AM90" s="4">
        <v>2</v>
      </c>
      <c r="AN90" s="4">
        <v>0</v>
      </c>
      <c r="AO90" s="4">
        <v>0</v>
      </c>
      <c r="AP90" s="3" t="s">
        <v>58</v>
      </c>
      <c r="AQ90" s="3" t="s">
        <v>85</v>
      </c>
      <c r="AR90" s="6" t="str">
        <f>HYPERLINK("http://catalog.hathitrust.org/Record/000117040","HathiTrust Record")</f>
        <v>HathiTrust Record</v>
      </c>
      <c r="AS90" s="6" t="str">
        <f>HYPERLINK("https://creighton-primo.hosted.exlibrisgroup.com/primo-explore/search?tab=default_tab&amp;search_scope=EVERYTHING&amp;vid=01CRU&amp;lang=en_US&amp;offset=0&amp;query=any,contains,991000895819702656","Catalog Record")</f>
        <v>Catalog Record</v>
      </c>
      <c r="AT90" s="6" t="str">
        <f>HYPERLINK("http://www.worldcat.org/oclc/11371582","WorldCat Record")</f>
        <v>WorldCat Record</v>
      </c>
      <c r="AU90" s="3" t="s">
        <v>1223</v>
      </c>
      <c r="AV90" s="3" t="s">
        <v>1224</v>
      </c>
      <c r="AW90" s="3" t="s">
        <v>1241</v>
      </c>
      <c r="AX90" s="3" t="s">
        <v>1241</v>
      </c>
      <c r="AY90" s="3" t="s">
        <v>1242</v>
      </c>
      <c r="AZ90" s="3" t="s">
        <v>73</v>
      </c>
      <c r="BC90" s="3" t="s">
        <v>1246</v>
      </c>
      <c r="BD90" s="3" t="s">
        <v>1247</v>
      </c>
    </row>
    <row r="91" spans="1:56" ht="40.5" customHeight="1" x14ac:dyDescent="0.25">
      <c r="A91" s="7" t="s">
        <v>58</v>
      </c>
      <c r="B91" s="2" t="s">
        <v>1248</v>
      </c>
      <c r="C91" s="2" t="s">
        <v>1249</v>
      </c>
      <c r="D91" s="2" t="s">
        <v>1250</v>
      </c>
      <c r="F91" s="3" t="s">
        <v>58</v>
      </c>
      <c r="G91" s="3" t="s">
        <v>59</v>
      </c>
      <c r="H91" s="3" t="s">
        <v>58</v>
      </c>
      <c r="I91" s="3" t="s">
        <v>58</v>
      </c>
      <c r="J91" s="3" t="s">
        <v>60</v>
      </c>
      <c r="K91" s="2" t="s">
        <v>1251</v>
      </c>
      <c r="L91" s="2" t="s">
        <v>1252</v>
      </c>
      <c r="M91" s="3" t="s">
        <v>365</v>
      </c>
      <c r="N91" s="2" t="s">
        <v>288</v>
      </c>
      <c r="O91" s="3" t="s">
        <v>64</v>
      </c>
      <c r="P91" s="3" t="s">
        <v>117</v>
      </c>
      <c r="Q91" s="2" t="s">
        <v>1253</v>
      </c>
      <c r="R91" s="3" t="s">
        <v>66</v>
      </c>
      <c r="S91" s="4">
        <v>32</v>
      </c>
      <c r="T91" s="4">
        <v>32</v>
      </c>
      <c r="U91" s="5" t="s">
        <v>1254</v>
      </c>
      <c r="V91" s="5" t="s">
        <v>1254</v>
      </c>
      <c r="W91" s="5" t="s">
        <v>1255</v>
      </c>
      <c r="X91" s="5" t="s">
        <v>1255</v>
      </c>
      <c r="Y91" s="4">
        <v>610</v>
      </c>
      <c r="Z91" s="4">
        <v>435</v>
      </c>
      <c r="AA91" s="4">
        <v>756</v>
      </c>
      <c r="AB91" s="4">
        <v>3</v>
      </c>
      <c r="AC91" s="4">
        <v>8</v>
      </c>
      <c r="AD91" s="4">
        <v>23</v>
      </c>
      <c r="AE91" s="4">
        <v>37</v>
      </c>
      <c r="AF91" s="4">
        <v>9</v>
      </c>
      <c r="AG91" s="4">
        <v>13</v>
      </c>
      <c r="AH91" s="4">
        <v>6</v>
      </c>
      <c r="AI91" s="4">
        <v>9</v>
      </c>
      <c r="AJ91" s="4">
        <v>12</v>
      </c>
      <c r="AK91" s="4">
        <v>18</v>
      </c>
      <c r="AL91" s="4">
        <v>2</v>
      </c>
      <c r="AM91" s="4">
        <v>7</v>
      </c>
      <c r="AN91" s="4">
        <v>0</v>
      </c>
      <c r="AO91" s="4">
        <v>0</v>
      </c>
      <c r="AP91" s="3" t="s">
        <v>58</v>
      </c>
      <c r="AQ91" s="3" t="s">
        <v>85</v>
      </c>
      <c r="AR91" s="6" t="str">
        <f>HYPERLINK("http://catalog.hathitrust.org/Record/002753632","HathiTrust Record")</f>
        <v>HathiTrust Record</v>
      </c>
      <c r="AS91" s="6" t="str">
        <f>HYPERLINK("https://creighton-primo.hosted.exlibrisgroup.com/primo-explore/search?tab=default_tab&amp;search_scope=EVERYTHING&amp;vid=01CRU&amp;lang=en_US&amp;offset=0&amp;query=any,contains,991000544999702656","Catalog Record")</f>
        <v>Catalog Record</v>
      </c>
      <c r="AT91" s="6" t="str">
        <f>HYPERLINK("http://www.worldcat.org/oclc/28678541","WorldCat Record")</f>
        <v>WorldCat Record</v>
      </c>
      <c r="AU91" s="3" t="s">
        <v>1256</v>
      </c>
      <c r="AV91" s="3" t="s">
        <v>1257</v>
      </c>
      <c r="AW91" s="3" t="s">
        <v>1258</v>
      </c>
      <c r="AX91" s="3" t="s">
        <v>1258</v>
      </c>
      <c r="AY91" s="3" t="s">
        <v>1259</v>
      </c>
      <c r="AZ91" s="3" t="s">
        <v>73</v>
      </c>
      <c r="BB91" s="3" t="s">
        <v>1260</v>
      </c>
      <c r="BC91" s="3" t="s">
        <v>1261</v>
      </c>
      <c r="BD91" s="3" t="s">
        <v>1262</v>
      </c>
    </row>
    <row r="92" spans="1:56" ht="40.5" customHeight="1" x14ac:dyDescent="0.25">
      <c r="A92" s="7" t="s">
        <v>58</v>
      </c>
      <c r="B92" s="2" t="s">
        <v>1263</v>
      </c>
      <c r="C92" s="2" t="s">
        <v>1264</v>
      </c>
      <c r="D92" s="2" t="s">
        <v>1265</v>
      </c>
      <c r="F92" s="3" t="s">
        <v>58</v>
      </c>
      <c r="G92" s="3" t="s">
        <v>59</v>
      </c>
      <c r="H92" s="3" t="s">
        <v>58</v>
      </c>
      <c r="I92" s="3" t="s">
        <v>58</v>
      </c>
      <c r="J92" s="3" t="s">
        <v>60</v>
      </c>
      <c r="L92" s="2" t="s">
        <v>1266</v>
      </c>
      <c r="M92" s="3" t="s">
        <v>1267</v>
      </c>
      <c r="O92" s="3" t="s">
        <v>64</v>
      </c>
      <c r="P92" s="3" t="s">
        <v>366</v>
      </c>
      <c r="Q92" s="2" t="s">
        <v>1268</v>
      </c>
      <c r="R92" s="3" t="s">
        <v>66</v>
      </c>
      <c r="S92" s="4">
        <v>4</v>
      </c>
      <c r="T92" s="4">
        <v>4</v>
      </c>
      <c r="U92" s="5" t="s">
        <v>1269</v>
      </c>
      <c r="V92" s="5" t="s">
        <v>1269</v>
      </c>
      <c r="W92" s="5" t="s">
        <v>1270</v>
      </c>
      <c r="X92" s="5" t="s">
        <v>1270</v>
      </c>
      <c r="Y92" s="4">
        <v>258</v>
      </c>
      <c r="Z92" s="4">
        <v>165</v>
      </c>
      <c r="AA92" s="4">
        <v>237</v>
      </c>
      <c r="AB92" s="4">
        <v>2</v>
      </c>
      <c r="AC92" s="4">
        <v>3</v>
      </c>
      <c r="AD92" s="4">
        <v>2</v>
      </c>
      <c r="AE92" s="4">
        <v>5</v>
      </c>
      <c r="AF92" s="4">
        <v>0</v>
      </c>
      <c r="AG92" s="4">
        <v>1</v>
      </c>
      <c r="AH92" s="4">
        <v>0</v>
      </c>
      <c r="AI92" s="4">
        <v>1</v>
      </c>
      <c r="AJ92" s="4">
        <v>1</v>
      </c>
      <c r="AK92" s="4">
        <v>2</v>
      </c>
      <c r="AL92" s="4">
        <v>1</v>
      </c>
      <c r="AM92" s="4">
        <v>2</v>
      </c>
      <c r="AN92" s="4">
        <v>0</v>
      </c>
      <c r="AO92" s="4">
        <v>0</v>
      </c>
      <c r="AP92" s="3" t="s">
        <v>58</v>
      </c>
      <c r="AQ92" s="3" t="s">
        <v>85</v>
      </c>
      <c r="AR92" s="6" t="str">
        <f>HYPERLINK("http://catalog.hathitrust.org/Record/004022518","HathiTrust Record")</f>
        <v>HathiTrust Record</v>
      </c>
      <c r="AS92" s="6" t="str">
        <f>HYPERLINK("https://creighton-primo.hosted.exlibrisgroup.com/primo-explore/search?tab=default_tab&amp;search_scope=EVERYTHING&amp;vid=01CRU&amp;lang=en_US&amp;offset=0&amp;query=any,contains,991001534749702656","Catalog Record")</f>
        <v>Catalog Record</v>
      </c>
      <c r="AT92" s="6" t="str">
        <f>HYPERLINK("http://www.worldcat.org/oclc/39633795","WorldCat Record")</f>
        <v>WorldCat Record</v>
      </c>
      <c r="AU92" s="3" t="s">
        <v>1271</v>
      </c>
      <c r="AV92" s="3" t="s">
        <v>1272</v>
      </c>
      <c r="AW92" s="3" t="s">
        <v>1273</v>
      </c>
      <c r="AX92" s="3" t="s">
        <v>1273</v>
      </c>
      <c r="AY92" s="3" t="s">
        <v>1274</v>
      </c>
      <c r="AZ92" s="3" t="s">
        <v>73</v>
      </c>
      <c r="BB92" s="3" t="s">
        <v>1275</v>
      </c>
      <c r="BC92" s="3" t="s">
        <v>1276</v>
      </c>
      <c r="BD92" s="3" t="s">
        <v>1277</v>
      </c>
    </row>
    <row r="93" spans="1:56" ht="40.5" customHeight="1" x14ac:dyDescent="0.25">
      <c r="A93" s="7" t="s">
        <v>58</v>
      </c>
      <c r="B93" s="2" t="s">
        <v>1278</v>
      </c>
      <c r="C93" s="2" t="s">
        <v>1279</v>
      </c>
      <c r="D93" s="2" t="s">
        <v>1280</v>
      </c>
      <c r="F93" s="3" t="s">
        <v>58</v>
      </c>
      <c r="G93" s="3" t="s">
        <v>59</v>
      </c>
      <c r="H93" s="3" t="s">
        <v>58</v>
      </c>
      <c r="I93" s="3" t="s">
        <v>58</v>
      </c>
      <c r="J93" s="3" t="s">
        <v>60</v>
      </c>
      <c r="K93" s="2" t="s">
        <v>1281</v>
      </c>
      <c r="L93" s="2" t="s">
        <v>1282</v>
      </c>
      <c r="M93" s="3" t="s">
        <v>1283</v>
      </c>
      <c r="O93" s="3" t="s">
        <v>64</v>
      </c>
      <c r="P93" s="3" t="s">
        <v>117</v>
      </c>
      <c r="Q93" s="2" t="s">
        <v>1284</v>
      </c>
      <c r="R93" s="3" t="s">
        <v>66</v>
      </c>
      <c r="S93" s="4">
        <v>6</v>
      </c>
      <c r="T93" s="4">
        <v>6</v>
      </c>
      <c r="U93" s="5" t="s">
        <v>1285</v>
      </c>
      <c r="V93" s="5" t="s">
        <v>1285</v>
      </c>
      <c r="W93" s="5" t="s">
        <v>1286</v>
      </c>
      <c r="X93" s="5" t="s">
        <v>1286</v>
      </c>
      <c r="Y93" s="4">
        <v>327</v>
      </c>
      <c r="Z93" s="4">
        <v>249</v>
      </c>
      <c r="AA93" s="4">
        <v>275</v>
      </c>
      <c r="AB93" s="4">
        <v>3</v>
      </c>
      <c r="AC93" s="4">
        <v>3</v>
      </c>
      <c r="AD93" s="4">
        <v>15</v>
      </c>
      <c r="AE93" s="4">
        <v>15</v>
      </c>
      <c r="AF93" s="4">
        <v>5</v>
      </c>
      <c r="AG93" s="4">
        <v>5</v>
      </c>
      <c r="AH93" s="4">
        <v>3</v>
      </c>
      <c r="AI93" s="4">
        <v>3</v>
      </c>
      <c r="AJ93" s="4">
        <v>8</v>
      </c>
      <c r="AK93" s="4">
        <v>8</v>
      </c>
      <c r="AL93" s="4">
        <v>2</v>
      </c>
      <c r="AM93" s="4">
        <v>2</v>
      </c>
      <c r="AN93" s="4">
        <v>0</v>
      </c>
      <c r="AO93" s="4">
        <v>0</v>
      </c>
      <c r="AP93" s="3" t="s">
        <v>58</v>
      </c>
      <c r="AQ93" s="3" t="s">
        <v>58</v>
      </c>
      <c r="AR93" s="6" t="str">
        <f>HYPERLINK("http://catalog.hathitrust.org/Record/001556497","HathiTrust Record")</f>
        <v>HathiTrust Record</v>
      </c>
      <c r="AS93" s="6" t="str">
        <f>HYPERLINK("https://creighton-primo.hosted.exlibrisgroup.com/primo-explore/search?tab=default_tab&amp;search_scope=EVERYTHING&amp;vid=01CRU&amp;lang=en_US&amp;offset=0&amp;query=any,contains,991000896299702656","Catalog Record")</f>
        <v>Catalog Record</v>
      </c>
      <c r="AT93" s="6" t="str">
        <f>HYPERLINK("http://www.worldcat.org/oclc/557622","WorldCat Record")</f>
        <v>WorldCat Record</v>
      </c>
      <c r="AU93" s="3" t="s">
        <v>1287</v>
      </c>
      <c r="AV93" s="3" t="s">
        <v>1288</v>
      </c>
      <c r="AW93" s="3" t="s">
        <v>1289</v>
      </c>
      <c r="AX93" s="3" t="s">
        <v>1289</v>
      </c>
      <c r="AY93" s="3" t="s">
        <v>1290</v>
      </c>
      <c r="AZ93" s="3" t="s">
        <v>73</v>
      </c>
      <c r="BC93" s="3" t="s">
        <v>1291</v>
      </c>
      <c r="BD93" s="3" t="s">
        <v>1292</v>
      </c>
    </row>
    <row r="94" spans="1:56" ht="40.5" customHeight="1" x14ac:dyDescent="0.25">
      <c r="A94" s="7" t="s">
        <v>58</v>
      </c>
      <c r="B94" s="2" t="s">
        <v>1293</v>
      </c>
      <c r="C94" s="2" t="s">
        <v>1294</v>
      </c>
      <c r="D94" s="2" t="s">
        <v>1295</v>
      </c>
      <c r="F94" s="3" t="s">
        <v>58</v>
      </c>
      <c r="G94" s="3" t="s">
        <v>59</v>
      </c>
      <c r="H94" s="3" t="s">
        <v>58</v>
      </c>
      <c r="I94" s="3" t="s">
        <v>58</v>
      </c>
      <c r="J94" s="3" t="s">
        <v>60</v>
      </c>
      <c r="K94" s="2" t="s">
        <v>1296</v>
      </c>
      <c r="L94" s="2" t="s">
        <v>1297</v>
      </c>
      <c r="M94" s="3" t="s">
        <v>1298</v>
      </c>
      <c r="O94" s="3" t="s">
        <v>64</v>
      </c>
      <c r="P94" s="3" t="s">
        <v>82</v>
      </c>
      <c r="R94" s="3" t="s">
        <v>66</v>
      </c>
      <c r="S94" s="4">
        <v>3</v>
      </c>
      <c r="T94" s="4">
        <v>3</v>
      </c>
      <c r="U94" s="5" t="s">
        <v>1299</v>
      </c>
      <c r="V94" s="5" t="s">
        <v>1299</v>
      </c>
      <c r="W94" s="5" t="s">
        <v>1286</v>
      </c>
      <c r="X94" s="5" t="s">
        <v>1286</v>
      </c>
      <c r="Y94" s="4">
        <v>262</v>
      </c>
      <c r="Z94" s="4">
        <v>184</v>
      </c>
      <c r="AA94" s="4">
        <v>328</v>
      </c>
      <c r="AB94" s="4">
        <v>2</v>
      </c>
      <c r="AC94" s="4">
        <v>3</v>
      </c>
      <c r="AD94" s="4">
        <v>4</v>
      </c>
      <c r="AE94" s="4">
        <v>9</v>
      </c>
      <c r="AF94" s="4">
        <v>1</v>
      </c>
      <c r="AG94" s="4">
        <v>1</v>
      </c>
      <c r="AH94" s="4">
        <v>2</v>
      </c>
      <c r="AI94" s="4">
        <v>4</v>
      </c>
      <c r="AJ94" s="4">
        <v>2</v>
      </c>
      <c r="AK94" s="4">
        <v>5</v>
      </c>
      <c r="AL94" s="4">
        <v>1</v>
      </c>
      <c r="AM94" s="4">
        <v>2</v>
      </c>
      <c r="AN94" s="4">
        <v>0</v>
      </c>
      <c r="AO94" s="4">
        <v>0</v>
      </c>
      <c r="AP94" s="3" t="s">
        <v>58</v>
      </c>
      <c r="AQ94" s="3" t="s">
        <v>85</v>
      </c>
      <c r="AR94" s="6" t="str">
        <f>HYPERLINK("http://catalog.hathitrust.org/Record/001492537","HathiTrust Record")</f>
        <v>HathiTrust Record</v>
      </c>
      <c r="AS94" s="6" t="str">
        <f>HYPERLINK("https://creighton-primo.hosted.exlibrisgroup.com/primo-explore/search?tab=default_tab&amp;search_scope=EVERYTHING&amp;vid=01CRU&amp;lang=en_US&amp;offset=0&amp;query=any,contains,991000896259702656","Catalog Record")</f>
        <v>Catalog Record</v>
      </c>
      <c r="AT94" s="6" t="str">
        <f>HYPERLINK("http://www.worldcat.org/oclc/485562","WorldCat Record")</f>
        <v>WorldCat Record</v>
      </c>
      <c r="AU94" s="3" t="s">
        <v>1300</v>
      </c>
      <c r="AV94" s="3" t="s">
        <v>1301</v>
      </c>
      <c r="AW94" s="3" t="s">
        <v>1302</v>
      </c>
      <c r="AX94" s="3" t="s">
        <v>1302</v>
      </c>
      <c r="AY94" s="3" t="s">
        <v>1303</v>
      </c>
      <c r="AZ94" s="3" t="s">
        <v>73</v>
      </c>
      <c r="BC94" s="3" t="s">
        <v>1304</v>
      </c>
      <c r="BD94" s="3" t="s">
        <v>1305</v>
      </c>
    </row>
    <row r="95" spans="1:56" ht="40.5" customHeight="1" x14ac:dyDescent="0.25">
      <c r="A95" s="7" t="s">
        <v>58</v>
      </c>
      <c r="B95" s="2" t="s">
        <v>1306</v>
      </c>
      <c r="C95" s="2" t="s">
        <v>1307</v>
      </c>
      <c r="D95" s="2" t="s">
        <v>1308</v>
      </c>
      <c r="E95" s="3" t="s">
        <v>108</v>
      </c>
      <c r="F95" s="3" t="s">
        <v>58</v>
      </c>
      <c r="G95" s="3" t="s">
        <v>59</v>
      </c>
      <c r="H95" s="3" t="s">
        <v>58</v>
      </c>
      <c r="I95" s="3" t="s">
        <v>58</v>
      </c>
      <c r="J95" s="3" t="s">
        <v>60</v>
      </c>
      <c r="L95" s="2" t="s">
        <v>1309</v>
      </c>
      <c r="M95" s="3" t="s">
        <v>424</v>
      </c>
      <c r="O95" s="3" t="s">
        <v>64</v>
      </c>
      <c r="P95" s="3" t="s">
        <v>674</v>
      </c>
      <c r="Q95" s="2" t="s">
        <v>1310</v>
      </c>
      <c r="R95" s="3" t="s">
        <v>66</v>
      </c>
      <c r="S95" s="4">
        <v>2</v>
      </c>
      <c r="T95" s="4">
        <v>2</v>
      </c>
      <c r="U95" s="5" t="s">
        <v>1311</v>
      </c>
      <c r="V95" s="5" t="s">
        <v>1311</v>
      </c>
      <c r="W95" s="5" t="s">
        <v>290</v>
      </c>
      <c r="X95" s="5" t="s">
        <v>290</v>
      </c>
      <c r="Y95" s="4">
        <v>3</v>
      </c>
      <c r="Z95" s="4">
        <v>3</v>
      </c>
      <c r="AA95" s="4">
        <v>3</v>
      </c>
      <c r="AB95" s="4">
        <v>1</v>
      </c>
      <c r="AC95" s="4">
        <v>1</v>
      </c>
      <c r="AD95" s="4">
        <v>0</v>
      </c>
      <c r="AE95" s="4">
        <v>0</v>
      </c>
      <c r="AF95" s="4">
        <v>0</v>
      </c>
      <c r="AG95" s="4">
        <v>0</v>
      </c>
      <c r="AH95" s="4">
        <v>0</v>
      </c>
      <c r="AI95" s="4">
        <v>0</v>
      </c>
      <c r="AJ95" s="4">
        <v>0</v>
      </c>
      <c r="AK95" s="4">
        <v>0</v>
      </c>
      <c r="AL95" s="4">
        <v>0</v>
      </c>
      <c r="AM95" s="4">
        <v>0</v>
      </c>
      <c r="AN95" s="4">
        <v>0</v>
      </c>
      <c r="AO95" s="4">
        <v>0</v>
      </c>
      <c r="AP95" s="3" t="s">
        <v>58</v>
      </c>
      <c r="AQ95" s="3" t="s">
        <v>58</v>
      </c>
      <c r="AS95" s="6" t="str">
        <f>HYPERLINK("https://creighton-primo.hosted.exlibrisgroup.com/primo-explore/search?tab=default_tab&amp;search_scope=EVERYTHING&amp;vid=01CRU&amp;lang=en_US&amp;offset=0&amp;query=any,contains,991000896229702656","Catalog Record")</f>
        <v>Catalog Record</v>
      </c>
      <c r="AT95" s="6" t="str">
        <f>HYPERLINK("http://www.worldcat.org/oclc/10723818","WorldCat Record")</f>
        <v>WorldCat Record</v>
      </c>
      <c r="AU95" s="3" t="s">
        <v>1312</v>
      </c>
      <c r="AV95" s="3" t="s">
        <v>1313</v>
      </c>
      <c r="AW95" s="3" t="s">
        <v>1314</v>
      </c>
      <c r="AX95" s="3" t="s">
        <v>1314</v>
      </c>
      <c r="AY95" s="3" t="s">
        <v>1315</v>
      </c>
      <c r="AZ95" s="3" t="s">
        <v>73</v>
      </c>
      <c r="BB95" s="3" t="s">
        <v>1316</v>
      </c>
      <c r="BC95" s="3" t="s">
        <v>1317</v>
      </c>
      <c r="BD95" s="3" t="s">
        <v>1318</v>
      </c>
    </row>
    <row r="96" spans="1:56" ht="40.5" customHeight="1" x14ac:dyDescent="0.25">
      <c r="A96" s="7" t="s">
        <v>58</v>
      </c>
      <c r="B96" s="2" t="s">
        <v>1319</v>
      </c>
      <c r="C96" s="2" t="s">
        <v>1320</v>
      </c>
      <c r="D96" s="2" t="s">
        <v>1321</v>
      </c>
      <c r="F96" s="3" t="s">
        <v>58</v>
      </c>
      <c r="G96" s="3" t="s">
        <v>59</v>
      </c>
      <c r="H96" s="3" t="s">
        <v>58</v>
      </c>
      <c r="I96" s="3" t="s">
        <v>58</v>
      </c>
      <c r="J96" s="3" t="s">
        <v>60</v>
      </c>
      <c r="K96" s="2" t="s">
        <v>1322</v>
      </c>
      <c r="L96" s="2" t="s">
        <v>1323</v>
      </c>
      <c r="M96" s="3" t="s">
        <v>644</v>
      </c>
      <c r="O96" s="3" t="s">
        <v>64</v>
      </c>
      <c r="P96" s="3" t="s">
        <v>1324</v>
      </c>
      <c r="R96" s="3" t="s">
        <v>66</v>
      </c>
      <c r="S96" s="4">
        <v>3</v>
      </c>
      <c r="T96" s="4">
        <v>3</v>
      </c>
      <c r="U96" s="5" t="s">
        <v>1325</v>
      </c>
      <c r="V96" s="5" t="s">
        <v>1325</v>
      </c>
      <c r="W96" s="5" t="s">
        <v>1325</v>
      </c>
      <c r="X96" s="5" t="s">
        <v>1325</v>
      </c>
      <c r="Y96" s="4">
        <v>124</v>
      </c>
      <c r="Z96" s="4">
        <v>113</v>
      </c>
      <c r="AA96" s="4">
        <v>115</v>
      </c>
      <c r="AB96" s="4">
        <v>1</v>
      </c>
      <c r="AC96" s="4">
        <v>1</v>
      </c>
      <c r="AD96" s="4">
        <v>4</v>
      </c>
      <c r="AE96" s="4">
        <v>4</v>
      </c>
      <c r="AF96" s="4">
        <v>1</v>
      </c>
      <c r="AG96" s="4">
        <v>1</v>
      </c>
      <c r="AH96" s="4">
        <v>2</v>
      </c>
      <c r="AI96" s="4">
        <v>2</v>
      </c>
      <c r="AJ96" s="4">
        <v>2</v>
      </c>
      <c r="AK96" s="4">
        <v>2</v>
      </c>
      <c r="AL96" s="4">
        <v>0</v>
      </c>
      <c r="AM96" s="4">
        <v>0</v>
      </c>
      <c r="AN96" s="4">
        <v>0</v>
      </c>
      <c r="AO96" s="4">
        <v>0</v>
      </c>
      <c r="AP96" s="3" t="s">
        <v>58</v>
      </c>
      <c r="AQ96" s="3" t="s">
        <v>85</v>
      </c>
      <c r="AR96" s="6" t="str">
        <f>HYPERLINK("http://catalog.hathitrust.org/Record/003251398","HathiTrust Record")</f>
        <v>HathiTrust Record</v>
      </c>
      <c r="AS96" s="6" t="str">
        <f>HYPERLINK("https://creighton-primo.hosted.exlibrisgroup.com/primo-explore/search?tab=default_tab&amp;search_scope=EVERYTHING&amp;vid=01CRU&amp;lang=en_US&amp;offset=0&amp;query=any,contains,991001295579702656","Catalog Record")</f>
        <v>Catalog Record</v>
      </c>
      <c r="AT96" s="6" t="str">
        <f>HYPERLINK("http://www.worldcat.org/oclc/35172551","WorldCat Record")</f>
        <v>WorldCat Record</v>
      </c>
      <c r="AU96" s="3" t="s">
        <v>1326</v>
      </c>
      <c r="AV96" s="3" t="s">
        <v>1327</v>
      </c>
      <c r="AW96" s="3" t="s">
        <v>1328</v>
      </c>
      <c r="AX96" s="3" t="s">
        <v>1328</v>
      </c>
      <c r="AY96" s="3" t="s">
        <v>1329</v>
      </c>
      <c r="AZ96" s="3" t="s">
        <v>73</v>
      </c>
      <c r="BB96" s="3" t="s">
        <v>1330</v>
      </c>
      <c r="BC96" s="3" t="s">
        <v>1331</v>
      </c>
      <c r="BD96" s="3" t="s">
        <v>1332</v>
      </c>
    </row>
    <row r="97" spans="1:56" ht="40.5" customHeight="1" x14ac:dyDescent="0.25">
      <c r="A97" s="7" t="s">
        <v>58</v>
      </c>
      <c r="B97" s="2" t="s">
        <v>1333</v>
      </c>
      <c r="C97" s="2" t="s">
        <v>1334</v>
      </c>
      <c r="D97" s="2" t="s">
        <v>1335</v>
      </c>
      <c r="F97" s="3" t="s">
        <v>58</v>
      </c>
      <c r="G97" s="3" t="s">
        <v>59</v>
      </c>
      <c r="H97" s="3" t="s">
        <v>58</v>
      </c>
      <c r="I97" s="3" t="s">
        <v>58</v>
      </c>
      <c r="J97" s="3" t="s">
        <v>60</v>
      </c>
      <c r="K97" s="2" t="s">
        <v>1336</v>
      </c>
      <c r="L97" s="2" t="s">
        <v>1337</v>
      </c>
      <c r="M97" s="3" t="s">
        <v>1338</v>
      </c>
      <c r="N97" s="2" t="s">
        <v>1339</v>
      </c>
      <c r="O97" s="3" t="s">
        <v>64</v>
      </c>
      <c r="P97" s="3" t="s">
        <v>152</v>
      </c>
      <c r="R97" s="3" t="s">
        <v>66</v>
      </c>
      <c r="S97" s="4">
        <v>4</v>
      </c>
      <c r="T97" s="4">
        <v>4</v>
      </c>
      <c r="U97" s="5" t="s">
        <v>1340</v>
      </c>
      <c r="V97" s="5" t="s">
        <v>1340</v>
      </c>
      <c r="W97" s="5" t="s">
        <v>290</v>
      </c>
      <c r="X97" s="5" t="s">
        <v>290</v>
      </c>
      <c r="Y97" s="4">
        <v>132</v>
      </c>
      <c r="Z97" s="4">
        <v>81</v>
      </c>
      <c r="AA97" s="4">
        <v>250</v>
      </c>
      <c r="AB97" s="4">
        <v>1</v>
      </c>
      <c r="AC97" s="4">
        <v>1</v>
      </c>
      <c r="AD97" s="4">
        <v>2</v>
      </c>
      <c r="AE97" s="4">
        <v>8</v>
      </c>
      <c r="AF97" s="4">
        <v>1</v>
      </c>
      <c r="AG97" s="4">
        <v>2</v>
      </c>
      <c r="AH97" s="4">
        <v>1</v>
      </c>
      <c r="AI97" s="4">
        <v>2</v>
      </c>
      <c r="AJ97" s="4">
        <v>1</v>
      </c>
      <c r="AK97" s="4">
        <v>6</v>
      </c>
      <c r="AL97" s="4">
        <v>0</v>
      </c>
      <c r="AM97" s="4">
        <v>0</v>
      </c>
      <c r="AN97" s="4">
        <v>0</v>
      </c>
      <c r="AO97" s="4">
        <v>0</v>
      </c>
      <c r="AP97" s="3" t="s">
        <v>58</v>
      </c>
      <c r="AQ97" s="3" t="s">
        <v>85</v>
      </c>
      <c r="AR97" s="6" t="str">
        <f>HYPERLINK("http://catalog.hathitrust.org/Record/001034762","HathiTrust Record")</f>
        <v>HathiTrust Record</v>
      </c>
      <c r="AS97" s="6" t="str">
        <f>HYPERLINK("https://creighton-primo.hosted.exlibrisgroup.com/primo-explore/search?tab=default_tab&amp;search_scope=EVERYTHING&amp;vid=01CRU&amp;lang=en_US&amp;offset=0&amp;query=any,contains,991000896199702656","Catalog Record")</f>
        <v>Catalog Record</v>
      </c>
      <c r="AT97" s="6" t="str">
        <f>HYPERLINK("http://www.worldcat.org/oclc/410490","WorldCat Record")</f>
        <v>WorldCat Record</v>
      </c>
      <c r="AU97" s="3" t="s">
        <v>1341</v>
      </c>
      <c r="AV97" s="3" t="s">
        <v>1342</v>
      </c>
      <c r="AW97" s="3" t="s">
        <v>1343</v>
      </c>
      <c r="AX97" s="3" t="s">
        <v>1343</v>
      </c>
      <c r="AY97" s="3" t="s">
        <v>1344</v>
      </c>
      <c r="AZ97" s="3" t="s">
        <v>73</v>
      </c>
      <c r="BC97" s="3" t="s">
        <v>1345</v>
      </c>
      <c r="BD97" s="3" t="s">
        <v>1346</v>
      </c>
    </row>
    <row r="98" spans="1:56" ht="40.5" customHeight="1" x14ac:dyDescent="0.25">
      <c r="A98" s="7" t="s">
        <v>58</v>
      </c>
      <c r="B98" s="2" t="s">
        <v>1347</v>
      </c>
      <c r="C98" s="2" t="s">
        <v>1348</v>
      </c>
      <c r="D98" s="2" t="s">
        <v>1349</v>
      </c>
      <c r="F98" s="3" t="s">
        <v>58</v>
      </c>
      <c r="G98" s="3" t="s">
        <v>59</v>
      </c>
      <c r="H98" s="3" t="s">
        <v>58</v>
      </c>
      <c r="I98" s="3" t="s">
        <v>58</v>
      </c>
      <c r="J98" s="3" t="s">
        <v>60</v>
      </c>
      <c r="K98" s="2" t="s">
        <v>1350</v>
      </c>
      <c r="L98" s="2" t="s">
        <v>1351</v>
      </c>
      <c r="M98" s="3" t="s">
        <v>63</v>
      </c>
      <c r="O98" s="3" t="s">
        <v>64</v>
      </c>
      <c r="P98" s="3" t="s">
        <v>135</v>
      </c>
      <c r="R98" s="3" t="s">
        <v>66</v>
      </c>
      <c r="S98" s="4">
        <v>6</v>
      </c>
      <c r="T98" s="4">
        <v>6</v>
      </c>
      <c r="U98" s="5" t="s">
        <v>1352</v>
      </c>
      <c r="V98" s="5" t="s">
        <v>1352</v>
      </c>
      <c r="W98" s="5" t="s">
        <v>290</v>
      </c>
      <c r="X98" s="5" t="s">
        <v>290</v>
      </c>
      <c r="Y98" s="4">
        <v>177</v>
      </c>
      <c r="Z98" s="4">
        <v>121</v>
      </c>
      <c r="AA98" s="4">
        <v>123</v>
      </c>
      <c r="AB98" s="4">
        <v>1</v>
      </c>
      <c r="AC98" s="4">
        <v>1</v>
      </c>
      <c r="AD98" s="4">
        <v>0</v>
      </c>
      <c r="AE98" s="4">
        <v>1</v>
      </c>
      <c r="AF98" s="4">
        <v>0</v>
      </c>
      <c r="AG98" s="4">
        <v>1</v>
      </c>
      <c r="AH98" s="4">
        <v>0</v>
      </c>
      <c r="AI98" s="4">
        <v>0</v>
      </c>
      <c r="AJ98" s="4">
        <v>0</v>
      </c>
      <c r="AK98" s="4">
        <v>1</v>
      </c>
      <c r="AL98" s="4">
        <v>0</v>
      </c>
      <c r="AM98" s="4">
        <v>0</v>
      </c>
      <c r="AN98" s="4">
        <v>0</v>
      </c>
      <c r="AO98" s="4">
        <v>0</v>
      </c>
      <c r="AP98" s="3" t="s">
        <v>58</v>
      </c>
      <c r="AQ98" s="3" t="s">
        <v>85</v>
      </c>
      <c r="AR98" s="6" t="str">
        <f>HYPERLINK("http://catalog.hathitrust.org/Record/000202600","HathiTrust Record")</f>
        <v>HathiTrust Record</v>
      </c>
      <c r="AS98" s="6" t="str">
        <f>HYPERLINK("https://creighton-primo.hosted.exlibrisgroup.com/primo-explore/search?tab=default_tab&amp;search_scope=EVERYTHING&amp;vid=01CRU&amp;lang=en_US&amp;offset=0&amp;query=any,contains,991000896169702656","Catalog Record")</f>
        <v>Catalog Record</v>
      </c>
      <c r="AT98" s="6" t="str">
        <f>HYPERLINK("http://www.worldcat.org/oclc/8034927","WorldCat Record")</f>
        <v>WorldCat Record</v>
      </c>
      <c r="AU98" s="3" t="s">
        <v>1353</v>
      </c>
      <c r="AV98" s="3" t="s">
        <v>1354</v>
      </c>
      <c r="AW98" s="3" t="s">
        <v>1355</v>
      </c>
      <c r="AX98" s="3" t="s">
        <v>1355</v>
      </c>
      <c r="AY98" s="3" t="s">
        <v>1356</v>
      </c>
      <c r="AZ98" s="3" t="s">
        <v>73</v>
      </c>
      <c r="BB98" s="3" t="s">
        <v>1357</v>
      </c>
      <c r="BC98" s="3" t="s">
        <v>1358</v>
      </c>
      <c r="BD98" s="3" t="s">
        <v>1359</v>
      </c>
    </row>
    <row r="99" spans="1:56" ht="40.5" customHeight="1" x14ac:dyDescent="0.25">
      <c r="A99" s="7" t="s">
        <v>58</v>
      </c>
      <c r="B99" s="2" t="s">
        <v>1360</v>
      </c>
      <c r="C99" s="2" t="s">
        <v>1361</v>
      </c>
      <c r="D99" s="2" t="s">
        <v>1362</v>
      </c>
      <c r="F99" s="3" t="s">
        <v>58</v>
      </c>
      <c r="G99" s="3" t="s">
        <v>59</v>
      </c>
      <c r="H99" s="3" t="s">
        <v>58</v>
      </c>
      <c r="I99" s="3" t="s">
        <v>58</v>
      </c>
      <c r="J99" s="3" t="s">
        <v>60</v>
      </c>
      <c r="K99" s="2" t="s">
        <v>1363</v>
      </c>
      <c r="L99" s="2" t="s">
        <v>1364</v>
      </c>
      <c r="M99" s="3" t="s">
        <v>1365</v>
      </c>
      <c r="O99" s="3" t="s">
        <v>64</v>
      </c>
      <c r="P99" s="3" t="s">
        <v>230</v>
      </c>
      <c r="R99" s="3" t="s">
        <v>66</v>
      </c>
      <c r="S99" s="4">
        <v>8</v>
      </c>
      <c r="T99" s="4">
        <v>8</v>
      </c>
      <c r="U99" s="5" t="s">
        <v>1366</v>
      </c>
      <c r="V99" s="5" t="s">
        <v>1366</v>
      </c>
      <c r="W99" s="5" t="s">
        <v>1367</v>
      </c>
      <c r="X99" s="5" t="s">
        <v>1367</v>
      </c>
      <c r="Y99" s="4">
        <v>143</v>
      </c>
      <c r="Z99" s="4">
        <v>99</v>
      </c>
      <c r="AA99" s="4">
        <v>126</v>
      </c>
      <c r="AB99" s="4">
        <v>1</v>
      </c>
      <c r="AC99" s="4">
        <v>1</v>
      </c>
      <c r="AD99" s="4">
        <v>4</v>
      </c>
      <c r="AE99" s="4">
        <v>5</v>
      </c>
      <c r="AF99" s="4">
        <v>1</v>
      </c>
      <c r="AG99" s="4">
        <v>1</v>
      </c>
      <c r="AH99" s="4">
        <v>2</v>
      </c>
      <c r="AI99" s="4">
        <v>3</v>
      </c>
      <c r="AJ99" s="4">
        <v>2</v>
      </c>
      <c r="AK99" s="4">
        <v>2</v>
      </c>
      <c r="AL99" s="4">
        <v>0</v>
      </c>
      <c r="AM99" s="4">
        <v>0</v>
      </c>
      <c r="AN99" s="4">
        <v>0</v>
      </c>
      <c r="AO99" s="4">
        <v>0</v>
      </c>
      <c r="AP99" s="3" t="s">
        <v>58</v>
      </c>
      <c r="AQ99" s="3" t="s">
        <v>85</v>
      </c>
      <c r="AR99" s="6" t="str">
        <f>HYPERLINK("http://catalog.hathitrust.org/Record/004337902","HathiTrust Record")</f>
        <v>HathiTrust Record</v>
      </c>
      <c r="AS99" s="6" t="str">
        <f>HYPERLINK("https://creighton-primo.hosted.exlibrisgroup.com/primo-explore/search?tab=default_tab&amp;search_scope=EVERYTHING&amp;vid=01CRU&amp;lang=en_US&amp;offset=0&amp;query=any,contains,991000396729702656","Catalog Record")</f>
        <v>Catalog Record</v>
      </c>
      <c r="AT99" s="6" t="str">
        <f>HYPERLINK("http://www.worldcat.org/oclc/51172070","WorldCat Record")</f>
        <v>WorldCat Record</v>
      </c>
      <c r="AU99" s="3" t="s">
        <v>1368</v>
      </c>
      <c r="AV99" s="3" t="s">
        <v>1369</v>
      </c>
      <c r="AW99" s="3" t="s">
        <v>1370</v>
      </c>
      <c r="AX99" s="3" t="s">
        <v>1370</v>
      </c>
      <c r="AY99" s="3" t="s">
        <v>1371</v>
      </c>
      <c r="AZ99" s="3" t="s">
        <v>73</v>
      </c>
      <c r="BB99" s="3" t="s">
        <v>1372</v>
      </c>
      <c r="BC99" s="3" t="s">
        <v>1373</v>
      </c>
      <c r="BD99" s="3" t="s">
        <v>1374</v>
      </c>
    </row>
    <row r="100" spans="1:56" ht="40.5" customHeight="1" x14ac:dyDescent="0.25">
      <c r="A100" s="7" t="s">
        <v>58</v>
      </c>
      <c r="B100" s="2" t="s">
        <v>1375</v>
      </c>
      <c r="C100" s="2" t="s">
        <v>1376</v>
      </c>
      <c r="D100" s="2" t="s">
        <v>1377</v>
      </c>
      <c r="E100" s="3" t="s">
        <v>96</v>
      </c>
      <c r="F100" s="3" t="s">
        <v>85</v>
      </c>
      <c r="G100" s="3" t="s">
        <v>59</v>
      </c>
      <c r="H100" s="3" t="s">
        <v>58</v>
      </c>
      <c r="I100" s="3" t="s">
        <v>58</v>
      </c>
      <c r="J100" s="3" t="s">
        <v>60</v>
      </c>
      <c r="L100" s="2" t="s">
        <v>1378</v>
      </c>
      <c r="M100" s="3" t="s">
        <v>496</v>
      </c>
      <c r="O100" s="3" t="s">
        <v>64</v>
      </c>
      <c r="P100" s="3" t="s">
        <v>65</v>
      </c>
      <c r="R100" s="3" t="s">
        <v>66</v>
      </c>
      <c r="S100" s="4">
        <v>1</v>
      </c>
      <c r="T100" s="4">
        <v>2</v>
      </c>
      <c r="U100" s="5" t="s">
        <v>1379</v>
      </c>
      <c r="V100" s="5" t="s">
        <v>1379</v>
      </c>
      <c r="W100" s="5" t="s">
        <v>290</v>
      </c>
      <c r="X100" s="5" t="s">
        <v>290</v>
      </c>
      <c r="Y100" s="4">
        <v>262</v>
      </c>
      <c r="Z100" s="4">
        <v>192</v>
      </c>
      <c r="AA100" s="4">
        <v>194</v>
      </c>
      <c r="AB100" s="4">
        <v>2</v>
      </c>
      <c r="AC100" s="4">
        <v>2</v>
      </c>
      <c r="AD100" s="4">
        <v>5</v>
      </c>
      <c r="AE100" s="4">
        <v>5</v>
      </c>
      <c r="AF100" s="4">
        <v>0</v>
      </c>
      <c r="AG100" s="4">
        <v>0</v>
      </c>
      <c r="AH100" s="4">
        <v>2</v>
      </c>
      <c r="AI100" s="4">
        <v>2</v>
      </c>
      <c r="AJ100" s="4">
        <v>3</v>
      </c>
      <c r="AK100" s="4">
        <v>3</v>
      </c>
      <c r="AL100" s="4">
        <v>1</v>
      </c>
      <c r="AM100" s="4">
        <v>1</v>
      </c>
      <c r="AN100" s="4">
        <v>0</v>
      </c>
      <c r="AO100" s="4">
        <v>0</v>
      </c>
      <c r="AP100" s="3" t="s">
        <v>58</v>
      </c>
      <c r="AQ100" s="3" t="s">
        <v>85</v>
      </c>
      <c r="AR100" s="6" t="str">
        <f>HYPERLINK("http://catalog.hathitrust.org/Record/000332565","HathiTrust Record")</f>
        <v>HathiTrust Record</v>
      </c>
      <c r="AS100" s="6" t="str">
        <f>HYPERLINK("https://creighton-primo.hosted.exlibrisgroup.com/primo-explore/search?tab=default_tab&amp;search_scope=EVERYTHING&amp;vid=01CRU&amp;lang=en_US&amp;offset=0&amp;query=any,contains,991000896129702656","Catalog Record")</f>
        <v>Catalog Record</v>
      </c>
      <c r="AT100" s="6" t="str">
        <f>HYPERLINK("http://www.worldcat.org/oclc/10229664","WorldCat Record")</f>
        <v>WorldCat Record</v>
      </c>
      <c r="AU100" s="3" t="s">
        <v>1380</v>
      </c>
      <c r="AV100" s="3" t="s">
        <v>1381</v>
      </c>
      <c r="AW100" s="3" t="s">
        <v>1382</v>
      </c>
      <c r="AX100" s="3" t="s">
        <v>1382</v>
      </c>
      <c r="AY100" s="3" t="s">
        <v>1383</v>
      </c>
      <c r="AZ100" s="3" t="s">
        <v>73</v>
      </c>
      <c r="BB100" s="3" t="s">
        <v>1384</v>
      </c>
      <c r="BC100" s="3" t="s">
        <v>1385</v>
      </c>
      <c r="BD100" s="3" t="s">
        <v>1386</v>
      </c>
    </row>
    <row r="101" spans="1:56" ht="40.5" customHeight="1" x14ac:dyDescent="0.25">
      <c r="A101" s="7" t="s">
        <v>58</v>
      </c>
      <c r="B101" s="2" t="s">
        <v>1375</v>
      </c>
      <c r="C101" s="2" t="s">
        <v>1376</v>
      </c>
      <c r="D101" s="2" t="s">
        <v>1377</v>
      </c>
      <c r="E101" s="3" t="s">
        <v>258</v>
      </c>
      <c r="F101" s="3" t="s">
        <v>85</v>
      </c>
      <c r="G101" s="3" t="s">
        <v>59</v>
      </c>
      <c r="H101" s="3" t="s">
        <v>58</v>
      </c>
      <c r="I101" s="3" t="s">
        <v>58</v>
      </c>
      <c r="J101" s="3" t="s">
        <v>60</v>
      </c>
      <c r="L101" s="2" t="s">
        <v>1378</v>
      </c>
      <c r="M101" s="3" t="s">
        <v>496</v>
      </c>
      <c r="O101" s="3" t="s">
        <v>64</v>
      </c>
      <c r="P101" s="3" t="s">
        <v>65</v>
      </c>
      <c r="R101" s="3" t="s">
        <v>66</v>
      </c>
      <c r="S101" s="4">
        <v>1</v>
      </c>
      <c r="T101" s="4">
        <v>2</v>
      </c>
      <c r="U101" s="5" t="s">
        <v>1379</v>
      </c>
      <c r="V101" s="5" t="s">
        <v>1379</v>
      </c>
      <c r="W101" s="5" t="s">
        <v>290</v>
      </c>
      <c r="X101" s="5" t="s">
        <v>290</v>
      </c>
      <c r="Y101" s="4">
        <v>262</v>
      </c>
      <c r="Z101" s="4">
        <v>192</v>
      </c>
      <c r="AA101" s="4">
        <v>194</v>
      </c>
      <c r="AB101" s="4">
        <v>2</v>
      </c>
      <c r="AC101" s="4">
        <v>2</v>
      </c>
      <c r="AD101" s="4">
        <v>5</v>
      </c>
      <c r="AE101" s="4">
        <v>5</v>
      </c>
      <c r="AF101" s="4">
        <v>0</v>
      </c>
      <c r="AG101" s="4">
        <v>0</v>
      </c>
      <c r="AH101" s="4">
        <v>2</v>
      </c>
      <c r="AI101" s="4">
        <v>2</v>
      </c>
      <c r="AJ101" s="4">
        <v>3</v>
      </c>
      <c r="AK101" s="4">
        <v>3</v>
      </c>
      <c r="AL101" s="4">
        <v>1</v>
      </c>
      <c r="AM101" s="4">
        <v>1</v>
      </c>
      <c r="AN101" s="4">
        <v>0</v>
      </c>
      <c r="AO101" s="4">
        <v>0</v>
      </c>
      <c r="AP101" s="3" t="s">
        <v>58</v>
      </c>
      <c r="AQ101" s="3" t="s">
        <v>85</v>
      </c>
      <c r="AR101" s="6" t="str">
        <f>HYPERLINK("http://catalog.hathitrust.org/Record/000332565","HathiTrust Record")</f>
        <v>HathiTrust Record</v>
      </c>
      <c r="AS101" s="6" t="str">
        <f>HYPERLINK("https://creighton-primo.hosted.exlibrisgroup.com/primo-explore/search?tab=default_tab&amp;search_scope=EVERYTHING&amp;vid=01CRU&amp;lang=en_US&amp;offset=0&amp;query=any,contains,991000896129702656","Catalog Record")</f>
        <v>Catalog Record</v>
      </c>
      <c r="AT101" s="6" t="str">
        <f>HYPERLINK("http://www.worldcat.org/oclc/10229664","WorldCat Record")</f>
        <v>WorldCat Record</v>
      </c>
      <c r="AU101" s="3" t="s">
        <v>1380</v>
      </c>
      <c r="AV101" s="3" t="s">
        <v>1381</v>
      </c>
      <c r="AW101" s="3" t="s">
        <v>1382</v>
      </c>
      <c r="AX101" s="3" t="s">
        <v>1382</v>
      </c>
      <c r="AY101" s="3" t="s">
        <v>1383</v>
      </c>
      <c r="AZ101" s="3" t="s">
        <v>73</v>
      </c>
      <c r="BB101" s="3" t="s">
        <v>1384</v>
      </c>
      <c r="BC101" s="3" t="s">
        <v>1387</v>
      </c>
      <c r="BD101" s="3" t="s">
        <v>1388</v>
      </c>
    </row>
    <row r="102" spans="1:56" ht="40.5" customHeight="1" x14ac:dyDescent="0.25">
      <c r="A102" s="7" t="s">
        <v>58</v>
      </c>
      <c r="B102" s="2" t="s">
        <v>1389</v>
      </c>
      <c r="C102" s="2" t="s">
        <v>1390</v>
      </c>
      <c r="D102" s="2" t="s">
        <v>1391</v>
      </c>
      <c r="F102" s="3" t="s">
        <v>58</v>
      </c>
      <c r="G102" s="3" t="s">
        <v>59</v>
      </c>
      <c r="H102" s="3" t="s">
        <v>58</v>
      </c>
      <c r="I102" s="3" t="s">
        <v>58</v>
      </c>
      <c r="J102" s="3" t="s">
        <v>60</v>
      </c>
      <c r="L102" s="2" t="s">
        <v>1392</v>
      </c>
      <c r="M102" s="3" t="s">
        <v>742</v>
      </c>
      <c r="N102" s="2" t="s">
        <v>1393</v>
      </c>
      <c r="O102" s="3" t="s">
        <v>64</v>
      </c>
      <c r="P102" s="3" t="s">
        <v>1394</v>
      </c>
      <c r="Q102" s="2" t="s">
        <v>1395</v>
      </c>
      <c r="R102" s="3" t="s">
        <v>66</v>
      </c>
      <c r="S102" s="4">
        <v>9</v>
      </c>
      <c r="T102" s="4">
        <v>9</v>
      </c>
      <c r="U102" s="5" t="s">
        <v>1396</v>
      </c>
      <c r="V102" s="5" t="s">
        <v>1396</v>
      </c>
      <c r="W102" s="5" t="s">
        <v>1397</v>
      </c>
      <c r="X102" s="5" t="s">
        <v>1397</v>
      </c>
      <c r="Y102" s="4">
        <v>232</v>
      </c>
      <c r="Z102" s="4">
        <v>159</v>
      </c>
      <c r="AA102" s="4">
        <v>315</v>
      </c>
      <c r="AB102" s="4">
        <v>4</v>
      </c>
      <c r="AC102" s="4">
        <v>4</v>
      </c>
      <c r="AD102" s="4">
        <v>6</v>
      </c>
      <c r="AE102" s="4">
        <v>14</v>
      </c>
      <c r="AF102" s="4">
        <v>2</v>
      </c>
      <c r="AG102" s="4">
        <v>6</v>
      </c>
      <c r="AH102" s="4">
        <v>1</v>
      </c>
      <c r="AI102" s="4">
        <v>4</v>
      </c>
      <c r="AJ102" s="4">
        <v>1</v>
      </c>
      <c r="AK102" s="4">
        <v>6</v>
      </c>
      <c r="AL102" s="4">
        <v>3</v>
      </c>
      <c r="AM102" s="4">
        <v>3</v>
      </c>
      <c r="AN102" s="4">
        <v>0</v>
      </c>
      <c r="AO102" s="4">
        <v>0</v>
      </c>
      <c r="AP102" s="3" t="s">
        <v>58</v>
      </c>
      <c r="AQ102" s="3" t="s">
        <v>85</v>
      </c>
      <c r="AR102" s="6" t="str">
        <f>HYPERLINK("http://catalog.hathitrust.org/Record/002753409","HathiTrust Record")</f>
        <v>HathiTrust Record</v>
      </c>
      <c r="AS102" s="6" t="str">
        <f>HYPERLINK("https://creighton-primo.hosted.exlibrisgroup.com/primo-explore/search?tab=default_tab&amp;search_scope=EVERYTHING&amp;vid=01CRU&amp;lang=en_US&amp;offset=0&amp;query=any,contains,991000242029702656","Catalog Record")</f>
        <v>Catalog Record</v>
      </c>
      <c r="AT102" s="6" t="str">
        <f>HYPERLINK("http://www.worldcat.org/oclc/28294845","WorldCat Record")</f>
        <v>WorldCat Record</v>
      </c>
      <c r="AU102" s="3" t="s">
        <v>1398</v>
      </c>
      <c r="AV102" s="3" t="s">
        <v>1399</v>
      </c>
      <c r="AW102" s="3" t="s">
        <v>1400</v>
      </c>
      <c r="AX102" s="3" t="s">
        <v>1400</v>
      </c>
      <c r="AY102" s="3" t="s">
        <v>1401</v>
      </c>
      <c r="AZ102" s="3" t="s">
        <v>73</v>
      </c>
      <c r="BB102" s="3" t="s">
        <v>1402</v>
      </c>
      <c r="BC102" s="3" t="s">
        <v>1403</v>
      </c>
      <c r="BD102" s="3" t="s">
        <v>1404</v>
      </c>
    </row>
    <row r="103" spans="1:56" ht="40.5" customHeight="1" x14ac:dyDescent="0.25">
      <c r="A103" s="7" t="s">
        <v>58</v>
      </c>
      <c r="B103" s="2" t="s">
        <v>1405</v>
      </c>
      <c r="C103" s="2" t="s">
        <v>1406</v>
      </c>
      <c r="D103" s="2" t="s">
        <v>1407</v>
      </c>
      <c r="E103" s="3" t="s">
        <v>1408</v>
      </c>
      <c r="F103" s="3" t="s">
        <v>58</v>
      </c>
      <c r="G103" s="3" t="s">
        <v>59</v>
      </c>
      <c r="H103" s="3" t="s">
        <v>58</v>
      </c>
      <c r="I103" s="3" t="s">
        <v>58</v>
      </c>
      <c r="J103" s="3" t="s">
        <v>60</v>
      </c>
      <c r="L103" s="2" t="s">
        <v>1409</v>
      </c>
      <c r="M103" s="3" t="s">
        <v>496</v>
      </c>
      <c r="O103" s="3" t="s">
        <v>64</v>
      </c>
      <c r="P103" s="3" t="s">
        <v>117</v>
      </c>
      <c r="Q103" s="2" t="s">
        <v>1410</v>
      </c>
      <c r="R103" s="3" t="s">
        <v>66</v>
      </c>
      <c r="S103" s="4">
        <v>2</v>
      </c>
      <c r="T103" s="4">
        <v>2</v>
      </c>
      <c r="U103" s="5" t="s">
        <v>1411</v>
      </c>
      <c r="V103" s="5" t="s">
        <v>1411</v>
      </c>
      <c r="W103" s="5" t="s">
        <v>290</v>
      </c>
      <c r="X103" s="5" t="s">
        <v>290</v>
      </c>
      <c r="Y103" s="4">
        <v>312</v>
      </c>
      <c r="Z103" s="4">
        <v>232</v>
      </c>
      <c r="AA103" s="4">
        <v>239</v>
      </c>
      <c r="AB103" s="4">
        <v>2</v>
      </c>
      <c r="AC103" s="4">
        <v>2</v>
      </c>
      <c r="AD103" s="4">
        <v>5</v>
      </c>
      <c r="AE103" s="4">
        <v>5</v>
      </c>
      <c r="AF103" s="4">
        <v>0</v>
      </c>
      <c r="AG103" s="4">
        <v>0</v>
      </c>
      <c r="AH103" s="4">
        <v>3</v>
      </c>
      <c r="AI103" s="4">
        <v>3</v>
      </c>
      <c r="AJ103" s="4">
        <v>3</v>
      </c>
      <c r="AK103" s="4">
        <v>3</v>
      </c>
      <c r="AL103" s="4">
        <v>1</v>
      </c>
      <c r="AM103" s="4">
        <v>1</v>
      </c>
      <c r="AN103" s="4">
        <v>0</v>
      </c>
      <c r="AO103" s="4">
        <v>0</v>
      </c>
      <c r="AP103" s="3" t="s">
        <v>58</v>
      </c>
      <c r="AQ103" s="3" t="s">
        <v>85</v>
      </c>
      <c r="AR103" s="6" t="str">
        <f>HYPERLINK("http://catalog.hathitrust.org/Record/000605080","HathiTrust Record")</f>
        <v>HathiTrust Record</v>
      </c>
      <c r="AS103" s="6" t="str">
        <f>HYPERLINK("https://creighton-primo.hosted.exlibrisgroup.com/primo-explore/search?tab=default_tab&amp;search_scope=EVERYTHING&amp;vid=01CRU&amp;lang=en_US&amp;offset=0&amp;query=any,contains,991000896069702656","Catalog Record")</f>
        <v>Catalog Record</v>
      </c>
      <c r="AT103" s="6" t="str">
        <f>HYPERLINK("http://www.worldcat.org/oclc/9830354","WorldCat Record")</f>
        <v>WorldCat Record</v>
      </c>
      <c r="AU103" s="3" t="s">
        <v>1412</v>
      </c>
      <c r="AV103" s="3" t="s">
        <v>1413</v>
      </c>
      <c r="AW103" s="3" t="s">
        <v>1414</v>
      </c>
      <c r="AX103" s="3" t="s">
        <v>1414</v>
      </c>
      <c r="AY103" s="3" t="s">
        <v>1415</v>
      </c>
      <c r="AZ103" s="3" t="s">
        <v>73</v>
      </c>
      <c r="BB103" s="3" t="s">
        <v>1416</v>
      </c>
      <c r="BC103" s="3" t="s">
        <v>1417</v>
      </c>
      <c r="BD103" s="3" t="s">
        <v>1418</v>
      </c>
    </row>
    <row r="104" spans="1:56" ht="40.5" customHeight="1" x14ac:dyDescent="0.25">
      <c r="A104" s="7" t="s">
        <v>58</v>
      </c>
      <c r="B104" s="2" t="s">
        <v>1419</v>
      </c>
      <c r="C104" s="2" t="s">
        <v>1420</v>
      </c>
      <c r="D104" s="2" t="s">
        <v>1421</v>
      </c>
      <c r="E104" s="3" t="s">
        <v>628</v>
      </c>
      <c r="F104" s="3" t="s">
        <v>58</v>
      </c>
      <c r="G104" s="3" t="s">
        <v>59</v>
      </c>
      <c r="H104" s="3" t="s">
        <v>58</v>
      </c>
      <c r="I104" s="3" t="s">
        <v>58</v>
      </c>
      <c r="J104" s="3" t="s">
        <v>60</v>
      </c>
      <c r="L104" s="2" t="s">
        <v>1409</v>
      </c>
      <c r="M104" s="3" t="s">
        <v>496</v>
      </c>
      <c r="O104" s="3" t="s">
        <v>64</v>
      </c>
      <c r="P104" s="3" t="s">
        <v>117</v>
      </c>
      <c r="Q104" s="2" t="s">
        <v>1422</v>
      </c>
      <c r="R104" s="3" t="s">
        <v>66</v>
      </c>
      <c r="S104" s="4">
        <v>3</v>
      </c>
      <c r="T104" s="4">
        <v>3</v>
      </c>
      <c r="U104" s="5" t="s">
        <v>1423</v>
      </c>
      <c r="V104" s="5" t="s">
        <v>1423</v>
      </c>
      <c r="W104" s="5" t="s">
        <v>290</v>
      </c>
      <c r="X104" s="5" t="s">
        <v>290</v>
      </c>
      <c r="Y104" s="4">
        <v>285</v>
      </c>
      <c r="Z104" s="4">
        <v>215</v>
      </c>
      <c r="AA104" s="4">
        <v>217</v>
      </c>
      <c r="AB104" s="4">
        <v>2</v>
      </c>
      <c r="AC104" s="4">
        <v>2</v>
      </c>
      <c r="AD104" s="4">
        <v>6</v>
      </c>
      <c r="AE104" s="4">
        <v>6</v>
      </c>
      <c r="AF104" s="4">
        <v>0</v>
      </c>
      <c r="AG104" s="4">
        <v>0</v>
      </c>
      <c r="AH104" s="4">
        <v>3</v>
      </c>
      <c r="AI104" s="4">
        <v>3</v>
      </c>
      <c r="AJ104" s="4">
        <v>4</v>
      </c>
      <c r="AK104" s="4">
        <v>4</v>
      </c>
      <c r="AL104" s="4">
        <v>1</v>
      </c>
      <c r="AM104" s="4">
        <v>1</v>
      </c>
      <c r="AN104" s="4">
        <v>0</v>
      </c>
      <c r="AO104" s="4">
        <v>0</v>
      </c>
      <c r="AP104" s="3" t="s">
        <v>58</v>
      </c>
      <c r="AQ104" s="3" t="s">
        <v>85</v>
      </c>
      <c r="AR104" s="6" t="str">
        <f>HYPERLINK("http://catalog.hathitrust.org/Record/000603319","HathiTrust Record")</f>
        <v>HathiTrust Record</v>
      </c>
      <c r="AS104" s="6" t="str">
        <f>HYPERLINK("https://creighton-primo.hosted.exlibrisgroup.com/primo-explore/search?tab=default_tab&amp;search_scope=EVERYTHING&amp;vid=01CRU&amp;lang=en_US&amp;offset=0&amp;query=any,contains,991001211639702656","Catalog Record")</f>
        <v>Catalog Record</v>
      </c>
      <c r="AT104" s="6" t="str">
        <f>HYPERLINK("http://www.worldcat.org/oclc/9828960","WorldCat Record")</f>
        <v>WorldCat Record</v>
      </c>
      <c r="AU104" s="3" t="s">
        <v>1424</v>
      </c>
      <c r="AV104" s="3" t="s">
        <v>1425</v>
      </c>
      <c r="AW104" s="3" t="s">
        <v>1426</v>
      </c>
      <c r="AX104" s="3" t="s">
        <v>1426</v>
      </c>
      <c r="AY104" s="3" t="s">
        <v>1427</v>
      </c>
      <c r="AZ104" s="3" t="s">
        <v>73</v>
      </c>
      <c r="BB104" s="3" t="s">
        <v>1428</v>
      </c>
      <c r="BC104" s="3" t="s">
        <v>1429</v>
      </c>
      <c r="BD104" s="3" t="s">
        <v>1430</v>
      </c>
    </row>
    <row r="105" spans="1:56" ht="40.5" customHeight="1" x14ac:dyDescent="0.25">
      <c r="A105" s="7" t="s">
        <v>58</v>
      </c>
      <c r="B105" s="2" t="s">
        <v>1431</v>
      </c>
      <c r="C105" s="2" t="s">
        <v>1432</v>
      </c>
      <c r="D105" s="2" t="s">
        <v>1433</v>
      </c>
      <c r="E105" s="3" t="s">
        <v>1434</v>
      </c>
      <c r="F105" s="3" t="s">
        <v>58</v>
      </c>
      <c r="G105" s="3" t="s">
        <v>59</v>
      </c>
      <c r="H105" s="3" t="s">
        <v>58</v>
      </c>
      <c r="I105" s="3" t="s">
        <v>58</v>
      </c>
      <c r="J105" s="3" t="s">
        <v>60</v>
      </c>
      <c r="L105" s="2" t="s">
        <v>1409</v>
      </c>
      <c r="M105" s="3" t="s">
        <v>496</v>
      </c>
      <c r="O105" s="3" t="s">
        <v>64</v>
      </c>
      <c r="P105" s="3" t="s">
        <v>117</v>
      </c>
      <c r="Q105" s="2" t="s">
        <v>1435</v>
      </c>
      <c r="R105" s="3" t="s">
        <v>66</v>
      </c>
      <c r="S105" s="4">
        <v>3</v>
      </c>
      <c r="T105" s="4">
        <v>3</v>
      </c>
      <c r="U105" s="5" t="s">
        <v>1436</v>
      </c>
      <c r="V105" s="5" t="s">
        <v>1436</v>
      </c>
      <c r="W105" s="5" t="s">
        <v>290</v>
      </c>
      <c r="X105" s="5" t="s">
        <v>290</v>
      </c>
      <c r="Y105" s="4">
        <v>298</v>
      </c>
      <c r="Z105" s="4">
        <v>227</v>
      </c>
      <c r="AA105" s="4">
        <v>234</v>
      </c>
      <c r="AB105" s="4">
        <v>2</v>
      </c>
      <c r="AC105" s="4">
        <v>2</v>
      </c>
      <c r="AD105" s="4">
        <v>6</v>
      </c>
      <c r="AE105" s="4">
        <v>6</v>
      </c>
      <c r="AF105" s="4">
        <v>1</v>
      </c>
      <c r="AG105" s="4">
        <v>1</v>
      </c>
      <c r="AH105" s="4">
        <v>3</v>
      </c>
      <c r="AI105" s="4">
        <v>3</v>
      </c>
      <c r="AJ105" s="4">
        <v>4</v>
      </c>
      <c r="AK105" s="4">
        <v>4</v>
      </c>
      <c r="AL105" s="4">
        <v>1</v>
      </c>
      <c r="AM105" s="4">
        <v>1</v>
      </c>
      <c r="AN105" s="4">
        <v>0</v>
      </c>
      <c r="AO105" s="4">
        <v>0</v>
      </c>
      <c r="AP105" s="3" t="s">
        <v>58</v>
      </c>
      <c r="AQ105" s="3" t="s">
        <v>85</v>
      </c>
      <c r="AR105" s="6" t="str">
        <f>HYPERLINK("http://catalog.hathitrust.org/Record/000603329","HathiTrust Record")</f>
        <v>HathiTrust Record</v>
      </c>
      <c r="AS105" s="6" t="str">
        <f>HYPERLINK("https://creighton-primo.hosted.exlibrisgroup.com/primo-explore/search?tab=default_tab&amp;search_scope=EVERYTHING&amp;vid=01CRU&amp;lang=en_US&amp;offset=0&amp;query=any,contains,991000896019702656","Catalog Record")</f>
        <v>Catalog Record</v>
      </c>
      <c r="AT105" s="6" t="str">
        <f>HYPERLINK("http://www.worldcat.org/oclc/9830276","WorldCat Record")</f>
        <v>WorldCat Record</v>
      </c>
      <c r="AU105" s="3" t="s">
        <v>1437</v>
      </c>
      <c r="AV105" s="3" t="s">
        <v>1438</v>
      </c>
      <c r="AW105" s="3" t="s">
        <v>1439</v>
      </c>
      <c r="AX105" s="3" t="s">
        <v>1439</v>
      </c>
      <c r="AY105" s="3" t="s">
        <v>1440</v>
      </c>
      <c r="AZ105" s="3" t="s">
        <v>73</v>
      </c>
      <c r="BB105" s="3" t="s">
        <v>1441</v>
      </c>
      <c r="BC105" s="3" t="s">
        <v>1442</v>
      </c>
      <c r="BD105" s="3" t="s">
        <v>1443</v>
      </c>
    </row>
    <row r="106" spans="1:56" ht="40.5" customHeight="1" x14ac:dyDescent="0.25">
      <c r="A106" s="7" t="s">
        <v>58</v>
      </c>
      <c r="B106" s="2" t="s">
        <v>1444</v>
      </c>
      <c r="C106" s="2" t="s">
        <v>1445</v>
      </c>
      <c r="D106" s="2" t="s">
        <v>1446</v>
      </c>
      <c r="E106" s="3" t="s">
        <v>1447</v>
      </c>
      <c r="F106" s="3" t="s">
        <v>58</v>
      </c>
      <c r="G106" s="3" t="s">
        <v>59</v>
      </c>
      <c r="H106" s="3" t="s">
        <v>58</v>
      </c>
      <c r="I106" s="3" t="s">
        <v>58</v>
      </c>
      <c r="J106" s="3" t="s">
        <v>60</v>
      </c>
      <c r="L106" s="2" t="s">
        <v>1448</v>
      </c>
      <c r="M106" s="3" t="s">
        <v>182</v>
      </c>
      <c r="O106" s="3" t="s">
        <v>64</v>
      </c>
      <c r="P106" s="3" t="s">
        <v>117</v>
      </c>
      <c r="Q106" s="2" t="s">
        <v>1449</v>
      </c>
      <c r="R106" s="3" t="s">
        <v>66</v>
      </c>
      <c r="S106" s="4">
        <v>5</v>
      </c>
      <c r="T106" s="4">
        <v>5</v>
      </c>
      <c r="U106" s="5" t="s">
        <v>1450</v>
      </c>
      <c r="V106" s="5" t="s">
        <v>1450</v>
      </c>
      <c r="W106" s="5" t="s">
        <v>1451</v>
      </c>
      <c r="X106" s="5" t="s">
        <v>1451</v>
      </c>
      <c r="Y106" s="4">
        <v>206</v>
      </c>
      <c r="Z106" s="4">
        <v>156</v>
      </c>
      <c r="AA106" s="4">
        <v>158</v>
      </c>
      <c r="AB106" s="4">
        <v>1</v>
      </c>
      <c r="AC106" s="4">
        <v>1</v>
      </c>
      <c r="AD106" s="4">
        <v>5</v>
      </c>
      <c r="AE106" s="4">
        <v>5</v>
      </c>
      <c r="AF106" s="4">
        <v>0</v>
      </c>
      <c r="AG106" s="4">
        <v>0</v>
      </c>
      <c r="AH106" s="4">
        <v>3</v>
      </c>
      <c r="AI106" s="4">
        <v>3</v>
      </c>
      <c r="AJ106" s="4">
        <v>4</v>
      </c>
      <c r="AK106" s="4">
        <v>4</v>
      </c>
      <c r="AL106" s="4">
        <v>0</v>
      </c>
      <c r="AM106" s="4">
        <v>0</v>
      </c>
      <c r="AN106" s="4">
        <v>0</v>
      </c>
      <c r="AO106" s="4">
        <v>0</v>
      </c>
      <c r="AP106" s="3" t="s">
        <v>58</v>
      </c>
      <c r="AQ106" s="3" t="s">
        <v>85</v>
      </c>
      <c r="AR106" s="6" t="str">
        <f>HYPERLINK("http://catalog.hathitrust.org/Record/000815580","HathiTrust Record")</f>
        <v>HathiTrust Record</v>
      </c>
      <c r="AS106" s="6" t="str">
        <f>HYPERLINK("https://creighton-primo.hosted.exlibrisgroup.com/primo-explore/search?tab=default_tab&amp;search_scope=EVERYTHING&amp;vid=01CRU&amp;lang=en_US&amp;offset=0&amp;query=any,contains,991001202149702656","Catalog Record")</f>
        <v>Catalog Record</v>
      </c>
      <c r="AT106" s="6" t="str">
        <f>HYPERLINK("http://www.worldcat.org/oclc/13793106","WorldCat Record")</f>
        <v>WorldCat Record</v>
      </c>
      <c r="AU106" s="3" t="s">
        <v>1452</v>
      </c>
      <c r="AV106" s="3" t="s">
        <v>1453</v>
      </c>
      <c r="AW106" s="3" t="s">
        <v>1454</v>
      </c>
      <c r="AX106" s="3" t="s">
        <v>1454</v>
      </c>
      <c r="AY106" s="3" t="s">
        <v>1455</v>
      </c>
      <c r="AZ106" s="3" t="s">
        <v>73</v>
      </c>
      <c r="BB106" s="3" t="s">
        <v>1456</v>
      </c>
      <c r="BC106" s="3" t="s">
        <v>1457</v>
      </c>
      <c r="BD106" s="3" t="s">
        <v>1458</v>
      </c>
    </row>
    <row r="107" spans="1:56" ht="40.5" customHeight="1" x14ac:dyDescent="0.25">
      <c r="A107" s="7" t="s">
        <v>58</v>
      </c>
      <c r="B107" s="2" t="s">
        <v>1459</v>
      </c>
      <c r="C107" s="2" t="s">
        <v>1460</v>
      </c>
      <c r="D107" s="2" t="s">
        <v>1461</v>
      </c>
      <c r="E107" s="3" t="s">
        <v>1462</v>
      </c>
      <c r="F107" s="3" t="s">
        <v>58</v>
      </c>
      <c r="G107" s="3" t="s">
        <v>59</v>
      </c>
      <c r="H107" s="3" t="s">
        <v>58</v>
      </c>
      <c r="I107" s="3" t="s">
        <v>58</v>
      </c>
      <c r="J107" s="3" t="s">
        <v>60</v>
      </c>
      <c r="L107" s="2" t="s">
        <v>1463</v>
      </c>
      <c r="M107" s="3" t="s">
        <v>182</v>
      </c>
      <c r="O107" s="3" t="s">
        <v>64</v>
      </c>
      <c r="P107" s="3" t="s">
        <v>65</v>
      </c>
      <c r="Q107" s="2" t="s">
        <v>1464</v>
      </c>
      <c r="R107" s="3" t="s">
        <v>66</v>
      </c>
      <c r="S107" s="4">
        <v>4</v>
      </c>
      <c r="T107" s="4">
        <v>4</v>
      </c>
      <c r="U107" s="5" t="s">
        <v>1465</v>
      </c>
      <c r="V107" s="5" t="s">
        <v>1465</v>
      </c>
      <c r="W107" s="5" t="s">
        <v>1466</v>
      </c>
      <c r="X107" s="5" t="s">
        <v>1466</v>
      </c>
      <c r="Y107" s="4">
        <v>202</v>
      </c>
      <c r="Z107" s="4">
        <v>154</v>
      </c>
      <c r="AA107" s="4">
        <v>156</v>
      </c>
      <c r="AB107" s="4">
        <v>2</v>
      </c>
      <c r="AC107" s="4">
        <v>2</v>
      </c>
      <c r="AD107" s="4">
        <v>6</v>
      </c>
      <c r="AE107" s="4">
        <v>6</v>
      </c>
      <c r="AF107" s="4">
        <v>0</v>
      </c>
      <c r="AG107" s="4">
        <v>0</v>
      </c>
      <c r="AH107" s="4">
        <v>3</v>
      </c>
      <c r="AI107" s="4">
        <v>3</v>
      </c>
      <c r="AJ107" s="4">
        <v>4</v>
      </c>
      <c r="AK107" s="4">
        <v>4</v>
      </c>
      <c r="AL107" s="4">
        <v>1</v>
      </c>
      <c r="AM107" s="4">
        <v>1</v>
      </c>
      <c r="AN107" s="4">
        <v>0</v>
      </c>
      <c r="AO107" s="4">
        <v>0</v>
      </c>
      <c r="AP107" s="3" t="s">
        <v>58</v>
      </c>
      <c r="AQ107" s="3" t="s">
        <v>85</v>
      </c>
      <c r="AR107" s="6" t="str">
        <f>HYPERLINK("http://catalog.hathitrust.org/Record/000838359","HathiTrust Record")</f>
        <v>HathiTrust Record</v>
      </c>
      <c r="AS107" s="6" t="str">
        <f>HYPERLINK("https://creighton-primo.hosted.exlibrisgroup.com/primo-explore/search?tab=default_tab&amp;search_scope=EVERYTHING&amp;vid=01CRU&amp;lang=en_US&amp;offset=0&amp;query=any,contains,991001529849702656","Catalog Record")</f>
        <v>Catalog Record</v>
      </c>
      <c r="AT107" s="6" t="str">
        <f>HYPERLINK("http://www.worldcat.org/oclc/15415033","WorldCat Record")</f>
        <v>WorldCat Record</v>
      </c>
      <c r="AU107" s="3" t="s">
        <v>1467</v>
      </c>
      <c r="AV107" s="3" t="s">
        <v>1468</v>
      </c>
      <c r="AW107" s="3" t="s">
        <v>1469</v>
      </c>
      <c r="AX107" s="3" t="s">
        <v>1469</v>
      </c>
      <c r="AY107" s="3" t="s">
        <v>1470</v>
      </c>
      <c r="AZ107" s="3" t="s">
        <v>73</v>
      </c>
      <c r="BB107" s="3" t="s">
        <v>1471</v>
      </c>
      <c r="BC107" s="3" t="s">
        <v>1472</v>
      </c>
      <c r="BD107" s="3" t="s">
        <v>1473</v>
      </c>
    </row>
    <row r="108" spans="1:56" ht="40.5" customHeight="1" x14ac:dyDescent="0.25">
      <c r="A108" s="7" t="s">
        <v>58</v>
      </c>
      <c r="B108" s="2" t="s">
        <v>1474</v>
      </c>
      <c r="C108" s="2" t="s">
        <v>1475</v>
      </c>
      <c r="D108" s="2" t="s">
        <v>1476</v>
      </c>
      <c r="F108" s="3" t="s">
        <v>58</v>
      </c>
      <c r="G108" s="3" t="s">
        <v>59</v>
      </c>
      <c r="H108" s="3" t="s">
        <v>58</v>
      </c>
      <c r="I108" s="3" t="s">
        <v>58</v>
      </c>
      <c r="J108" s="3" t="s">
        <v>60</v>
      </c>
      <c r="L108" s="2" t="s">
        <v>1477</v>
      </c>
      <c r="M108" s="3" t="s">
        <v>116</v>
      </c>
      <c r="O108" s="3" t="s">
        <v>64</v>
      </c>
      <c r="P108" s="3" t="s">
        <v>117</v>
      </c>
      <c r="Q108" s="2" t="s">
        <v>1478</v>
      </c>
      <c r="R108" s="3" t="s">
        <v>66</v>
      </c>
      <c r="S108" s="4">
        <v>10</v>
      </c>
      <c r="T108" s="4">
        <v>10</v>
      </c>
      <c r="U108" s="5" t="s">
        <v>1479</v>
      </c>
      <c r="V108" s="5" t="s">
        <v>1479</v>
      </c>
      <c r="W108" s="5" t="s">
        <v>1480</v>
      </c>
      <c r="X108" s="5" t="s">
        <v>1480</v>
      </c>
      <c r="Y108" s="4">
        <v>133</v>
      </c>
      <c r="Z108" s="4">
        <v>103</v>
      </c>
      <c r="AA108" s="4">
        <v>112</v>
      </c>
      <c r="AB108" s="4">
        <v>2</v>
      </c>
      <c r="AC108" s="4">
        <v>2</v>
      </c>
      <c r="AD108" s="4">
        <v>6</v>
      </c>
      <c r="AE108" s="4">
        <v>6</v>
      </c>
      <c r="AF108" s="4">
        <v>0</v>
      </c>
      <c r="AG108" s="4">
        <v>0</v>
      </c>
      <c r="AH108" s="4">
        <v>4</v>
      </c>
      <c r="AI108" s="4">
        <v>4</v>
      </c>
      <c r="AJ108" s="4">
        <v>3</v>
      </c>
      <c r="AK108" s="4">
        <v>3</v>
      </c>
      <c r="AL108" s="4">
        <v>1</v>
      </c>
      <c r="AM108" s="4">
        <v>1</v>
      </c>
      <c r="AN108" s="4">
        <v>0</v>
      </c>
      <c r="AO108" s="4">
        <v>0</v>
      </c>
      <c r="AP108" s="3" t="s">
        <v>58</v>
      </c>
      <c r="AQ108" s="3" t="s">
        <v>85</v>
      </c>
      <c r="AR108" s="6" t="str">
        <f>HYPERLINK("http://catalog.hathitrust.org/Record/002533847","HathiTrust Record")</f>
        <v>HathiTrust Record</v>
      </c>
      <c r="AS108" s="6" t="str">
        <f>HYPERLINK("https://creighton-primo.hosted.exlibrisgroup.com/primo-explore/search?tab=default_tab&amp;search_scope=EVERYTHING&amp;vid=01CRU&amp;lang=en_US&amp;offset=0&amp;query=any,contains,991001301509702656","Catalog Record")</f>
        <v>Catalog Record</v>
      </c>
      <c r="AT108" s="6" t="str">
        <f>HYPERLINK("http://www.worldcat.org/oclc/24246509","WorldCat Record")</f>
        <v>WorldCat Record</v>
      </c>
      <c r="AU108" s="3" t="s">
        <v>1481</v>
      </c>
      <c r="AV108" s="3" t="s">
        <v>1482</v>
      </c>
      <c r="AW108" s="3" t="s">
        <v>1483</v>
      </c>
      <c r="AX108" s="3" t="s">
        <v>1483</v>
      </c>
      <c r="AY108" s="3" t="s">
        <v>1484</v>
      </c>
      <c r="AZ108" s="3" t="s">
        <v>73</v>
      </c>
      <c r="BB108" s="3" t="s">
        <v>1485</v>
      </c>
      <c r="BC108" s="3" t="s">
        <v>1486</v>
      </c>
      <c r="BD108" s="3" t="s">
        <v>1487</v>
      </c>
    </row>
    <row r="109" spans="1:56" ht="40.5" customHeight="1" x14ac:dyDescent="0.25">
      <c r="A109" s="7" t="s">
        <v>58</v>
      </c>
      <c r="B109" s="2" t="s">
        <v>1488</v>
      </c>
      <c r="C109" s="2" t="s">
        <v>1489</v>
      </c>
      <c r="D109" s="2" t="s">
        <v>1490</v>
      </c>
      <c r="F109" s="3" t="s">
        <v>58</v>
      </c>
      <c r="G109" s="3" t="s">
        <v>59</v>
      </c>
      <c r="H109" s="3" t="s">
        <v>58</v>
      </c>
      <c r="I109" s="3" t="s">
        <v>58</v>
      </c>
      <c r="J109" s="3" t="s">
        <v>60</v>
      </c>
      <c r="K109" s="2" t="s">
        <v>1491</v>
      </c>
      <c r="L109" s="2" t="s">
        <v>1492</v>
      </c>
      <c r="M109" s="3" t="s">
        <v>1067</v>
      </c>
      <c r="O109" s="3" t="s">
        <v>64</v>
      </c>
      <c r="P109" s="3" t="s">
        <v>135</v>
      </c>
      <c r="Q109" s="2" t="s">
        <v>118</v>
      </c>
      <c r="R109" s="3" t="s">
        <v>66</v>
      </c>
      <c r="S109" s="4">
        <v>9</v>
      </c>
      <c r="T109" s="4">
        <v>9</v>
      </c>
      <c r="U109" s="5" t="s">
        <v>1493</v>
      </c>
      <c r="V109" s="5" t="s">
        <v>1493</v>
      </c>
      <c r="W109" s="5" t="s">
        <v>1494</v>
      </c>
      <c r="X109" s="5" t="s">
        <v>1494</v>
      </c>
      <c r="Y109" s="4">
        <v>249</v>
      </c>
      <c r="Z109" s="4">
        <v>111</v>
      </c>
      <c r="AA109" s="4">
        <v>115</v>
      </c>
      <c r="AB109" s="4">
        <v>2</v>
      </c>
      <c r="AC109" s="4">
        <v>2</v>
      </c>
      <c r="AD109" s="4">
        <v>6</v>
      </c>
      <c r="AE109" s="4">
        <v>6</v>
      </c>
      <c r="AF109" s="4">
        <v>3</v>
      </c>
      <c r="AG109" s="4">
        <v>3</v>
      </c>
      <c r="AH109" s="4">
        <v>3</v>
      </c>
      <c r="AI109" s="4">
        <v>3</v>
      </c>
      <c r="AJ109" s="4">
        <v>2</v>
      </c>
      <c r="AK109" s="4">
        <v>2</v>
      </c>
      <c r="AL109" s="4">
        <v>1</v>
      </c>
      <c r="AM109" s="4">
        <v>1</v>
      </c>
      <c r="AN109" s="4">
        <v>0</v>
      </c>
      <c r="AO109" s="4">
        <v>0</v>
      </c>
      <c r="AP109" s="3" t="s">
        <v>58</v>
      </c>
      <c r="AQ109" s="3" t="s">
        <v>58</v>
      </c>
      <c r="AS109" s="6" t="str">
        <f>HYPERLINK("https://creighton-primo.hosted.exlibrisgroup.com/primo-explore/search?tab=default_tab&amp;search_scope=EVERYTHING&amp;vid=01CRU&amp;lang=en_US&amp;offset=0&amp;query=any,contains,991000686029702656","Catalog Record")</f>
        <v>Catalog Record</v>
      </c>
      <c r="AT109" s="6" t="str">
        <f>HYPERLINK("http://www.worldcat.org/oclc/23286854","WorldCat Record")</f>
        <v>WorldCat Record</v>
      </c>
      <c r="AU109" s="3" t="s">
        <v>1495</v>
      </c>
      <c r="AV109" s="3" t="s">
        <v>1496</v>
      </c>
      <c r="AW109" s="3" t="s">
        <v>1497</v>
      </c>
      <c r="AX109" s="3" t="s">
        <v>1497</v>
      </c>
      <c r="AY109" s="3" t="s">
        <v>1498</v>
      </c>
      <c r="AZ109" s="3" t="s">
        <v>73</v>
      </c>
      <c r="BB109" s="3" t="s">
        <v>1499</v>
      </c>
      <c r="BC109" s="3" t="s">
        <v>1500</v>
      </c>
      <c r="BD109" s="3" t="s">
        <v>1501</v>
      </c>
    </row>
    <row r="110" spans="1:56" ht="40.5" customHeight="1" x14ac:dyDescent="0.25">
      <c r="A110" s="7" t="s">
        <v>58</v>
      </c>
      <c r="B110" s="2" t="s">
        <v>1502</v>
      </c>
      <c r="C110" s="2" t="s">
        <v>1503</v>
      </c>
      <c r="D110" s="2" t="s">
        <v>1504</v>
      </c>
      <c r="F110" s="3" t="s">
        <v>58</v>
      </c>
      <c r="G110" s="3" t="s">
        <v>59</v>
      </c>
      <c r="H110" s="3" t="s">
        <v>58</v>
      </c>
      <c r="I110" s="3" t="s">
        <v>58</v>
      </c>
      <c r="J110" s="3" t="s">
        <v>60</v>
      </c>
      <c r="K110" s="2" t="s">
        <v>1505</v>
      </c>
      <c r="L110" s="2" t="s">
        <v>1506</v>
      </c>
      <c r="M110" s="3" t="s">
        <v>973</v>
      </c>
      <c r="O110" s="3" t="s">
        <v>64</v>
      </c>
      <c r="P110" s="3" t="s">
        <v>135</v>
      </c>
      <c r="Q110" s="2" t="s">
        <v>1507</v>
      </c>
      <c r="R110" s="3" t="s">
        <v>66</v>
      </c>
      <c r="S110" s="4">
        <v>5</v>
      </c>
      <c r="T110" s="4">
        <v>5</v>
      </c>
      <c r="U110" s="5" t="s">
        <v>1508</v>
      </c>
      <c r="V110" s="5" t="s">
        <v>1508</v>
      </c>
      <c r="W110" s="5" t="s">
        <v>290</v>
      </c>
      <c r="X110" s="5" t="s">
        <v>290</v>
      </c>
      <c r="Y110" s="4">
        <v>213</v>
      </c>
      <c r="Z110" s="4">
        <v>142</v>
      </c>
      <c r="AA110" s="4">
        <v>144</v>
      </c>
      <c r="AB110" s="4">
        <v>2</v>
      </c>
      <c r="AC110" s="4">
        <v>2</v>
      </c>
      <c r="AD110" s="4">
        <v>3</v>
      </c>
      <c r="AE110" s="4">
        <v>3</v>
      </c>
      <c r="AF110" s="4">
        <v>0</v>
      </c>
      <c r="AG110" s="4">
        <v>0</v>
      </c>
      <c r="AH110" s="4">
        <v>2</v>
      </c>
      <c r="AI110" s="4">
        <v>2</v>
      </c>
      <c r="AJ110" s="4">
        <v>1</v>
      </c>
      <c r="AK110" s="4">
        <v>1</v>
      </c>
      <c r="AL110" s="4">
        <v>1</v>
      </c>
      <c r="AM110" s="4">
        <v>1</v>
      </c>
      <c r="AN110" s="4">
        <v>0</v>
      </c>
      <c r="AO110" s="4">
        <v>0</v>
      </c>
      <c r="AP110" s="3" t="s">
        <v>58</v>
      </c>
      <c r="AQ110" s="3" t="s">
        <v>85</v>
      </c>
      <c r="AR110" s="6" t="str">
        <f>HYPERLINK("http://catalog.hathitrust.org/Record/000262395","HathiTrust Record")</f>
        <v>HathiTrust Record</v>
      </c>
      <c r="AS110" s="6" t="str">
        <f>HYPERLINK("https://creighton-primo.hosted.exlibrisgroup.com/primo-explore/search?tab=default_tab&amp;search_scope=EVERYTHING&amp;vid=01CRU&amp;lang=en_US&amp;offset=0&amp;query=any,contains,991000895959702656","Catalog Record")</f>
        <v>Catalog Record</v>
      </c>
      <c r="AT110" s="6" t="str">
        <f>HYPERLINK("http://www.worldcat.org/oclc/6447761","WorldCat Record")</f>
        <v>WorldCat Record</v>
      </c>
      <c r="AU110" s="3" t="s">
        <v>1509</v>
      </c>
      <c r="AV110" s="3" t="s">
        <v>1510</v>
      </c>
      <c r="AW110" s="3" t="s">
        <v>1511</v>
      </c>
      <c r="AX110" s="3" t="s">
        <v>1511</v>
      </c>
      <c r="AY110" s="3" t="s">
        <v>1512</v>
      </c>
      <c r="AZ110" s="3" t="s">
        <v>73</v>
      </c>
      <c r="BB110" s="3" t="s">
        <v>1513</v>
      </c>
      <c r="BC110" s="3" t="s">
        <v>1514</v>
      </c>
      <c r="BD110" s="3" t="s">
        <v>1515</v>
      </c>
    </row>
    <row r="111" spans="1:56" ht="40.5" customHeight="1" x14ac:dyDescent="0.25">
      <c r="A111" s="7" t="s">
        <v>58</v>
      </c>
      <c r="B111" s="2" t="s">
        <v>1516</v>
      </c>
      <c r="C111" s="2" t="s">
        <v>1517</v>
      </c>
      <c r="D111" s="2" t="s">
        <v>1518</v>
      </c>
      <c r="E111" s="3" t="s">
        <v>96</v>
      </c>
      <c r="F111" s="3" t="s">
        <v>85</v>
      </c>
      <c r="G111" s="3" t="s">
        <v>59</v>
      </c>
      <c r="H111" s="3" t="s">
        <v>58</v>
      </c>
      <c r="I111" s="3" t="s">
        <v>58</v>
      </c>
      <c r="J111" s="3" t="s">
        <v>60</v>
      </c>
      <c r="L111" s="2" t="s">
        <v>1519</v>
      </c>
      <c r="M111" s="3" t="s">
        <v>197</v>
      </c>
      <c r="O111" s="3" t="s">
        <v>64</v>
      </c>
      <c r="P111" s="3" t="s">
        <v>65</v>
      </c>
      <c r="R111" s="3" t="s">
        <v>66</v>
      </c>
      <c r="S111" s="4">
        <v>7</v>
      </c>
      <c r="T111" s="4">
        <v>21</v>
      </c>
      <c r="U111" s="5" t="s">
        <v>1520</v>
      </c>
      <c r="V111" s="5" t="s">
        <v>1521</v>
      </c>
      <c r="W111" s="5" t="s">
        <v>1522</v>
      </c>
      <c r="X111" s="5" t="s">
        <v>1522</v>
      </c>
      <c r="Y111" s="4">
        <v>266</v>
      </c>
      <c r="Z111" s="4">
        <v>196</v>
      </c>
      <c r="AA111" s="4">
        <v>197</v>
      </c>
      <c r="AB111" s="4">
        <v>2</v>
      </c>
      <c r="AC111" s="4">
        <v>2</v>
      </c>
      <c r="AD111" s="4">
        <v>2</v>
      </c>
      <c r="AE111" s="4">
        <v>2</v>
      </c>
      <c r="AF111" s="4">
        <v>0</v>
      </c>
      <c r="AG111" s="4">
        <v>0</v>
      </c>
      <c r="AH111" s="4">
        <v>1</v>
      </c>
      <c r="AI111" s="4">
        <v>1</v>
      </c>
      <c r="AJ111" s="4">
        <v>1</v>
      </c>
      <c r="AK111" s="4">
        <v>1</v>
      </c>
      <c r="AL111" s="4">
        <v>1</v>
      </c>
      <c r="AM111" s="4">
        <v>1</v>
      </c>
      <c r="AN111" s="4">
        <v>0</v>
      </c>
      <c r="AO111" s="4">
        <v>0</v>
      </c>
      <c r="AP111" s="3" t="s">
        <v>58</v>
      </c>
      <c r="AQ111" s="3" t="s">
        <v>58</v>
      </c>
      <c r="AS111" s="6" t="str">
        <f>HYPERLINK("https://creighton-primo.hosted.exlibrisgroup.com/primo-explore/search?tab=default_tab&amp;search_scope=EVERYTHING&amp;vid=01CRU&amp;lang=en_US&amp;offset=0&amp;query=any,contains,991001105549702656","Catalog Record")</f>
        <v>Catalog Record</v>
      </c>
      <c r="AT111" s="6" t="str">
        <f>HYPERLINK("http://www.worldcat.org/oclc/16581743","WorldCat Record")</f>
        <v>WorldCat Record</v>
      </c>
      <c r="AU111" s="3" t="s">
        <v>1523</v>
      </c>
      <c r="AV111" s="3" t="s">
        <v>1524</v>
      </c>
      <c r="AW111" s="3" t="s">
        <v>1525</v>
      </c>
      <c r="AX111" s="3" t="s">
        <v>1525</v>
      </c>
      <c r="AY111" s="3" t="s">
        <v>1526</v>
      </c>
      <c r="AZ111" s="3" t="s">
        <v>73</v>
      </c>
      <c r="BB111" s="3" t="s">
        <v>1527</v>
      </c>
      <c r="BC111" s="3" t="s">
        <v>1528</v>
      </c>
      <c r="BD111" s="3" t="s">
        <v>1529</v>
      </c>
    </row>
    <row r="112" spans="1:56" ht="40.5" customHeight="1" x14ac:dyDescent="0.25">
      <c r="A112" s="7" t="s">
        <v>58</v>
      </c>
      <c r="B112" s="2" t="s">
        <v>1516</v>
      </c>
      <c r="C112" s="2" t="s">
        <v>1517</v>
      </c>
      <c r="D112" s="2" t="s">
        <v>1518</v>
      </c>
      <c r="E112" s="3" t="s">
        <v>258</v>
      </c>
      <c r="F112" s="3" t="s">
        <v>85</v>
      </c>
      <c r="G112" s="3" t="s">
        <v>59</v>
      </c>
      <c r="H112" s="3" t="s">
        <v>58</v>
      </c>
      <c r="I112" s="3" t="s">
        <v>58</v>
      </c>
      <c r="J112" s="3" t="s">
        <v>60</v>
      </c>
      <c r="L112" s="2" t="s">
        <v>1519</v>
      </c>
      <c r="M112" s="3" t="s">
        <v>197</v>
      </c>
      <c r="O112" s="3" t="s">
        <v>64</v>
      </c>
      <c r="P112" s="3" t="s">
        <v>65</v>
      </c>
      <c r="R112" s="3" t="s">
        <v>66</v>
      </c>
      <c r="S112" s="4">
        <v>14</v>
      </c>
      <c r="T112" s="4">
        <v>21</v>
      </c>
      <c r="U112" s="5" t="s">
        <v>1521</v>
      </c>
      <c r="V112" s="5" t="s">
        <v>1521</v>
      </c>
      <c r="W112" s="5" t="s">
        <v>1522</v>
      </c>
      <c r="X112" s="5" t="s">
        <v>1522</v>
      </c>
      <c r="Y112" s="4">
        <v>266</v>
      </c>
      <c r="Z112" s="4">
        <v>196</v>
      </c>
      <c r="AA112" s="4">
        <v>197</v>
      </c>
      <c r="AB112" s="4">
        <v>2</v>
      </c>
      <c r="AC112" s="4">
        <v>2</v>
      </c>
      <c r="AD112" s="4">
        <v>2</v>
      </c>
      <c r="AE112" s="4">
        <v>2</v>
      </c>
      <c r="AF112" s="4">
        <v>0</v>
      </c>
      <c r="AG112" s="4">
        <v>0</v>
      </c>
      <c r="AH112" s="4">
        <v>1</v>
      </c>
      <c r="AI112" s="4">
        <v>1</v>
      </c>
      <c r="AJ112" s="4">
        <v>1</v>
      </c>
      <c r="AK112" s="4">
        <v>1</v>
      </c>
      <c r="AL112" s="4">
        <v>1</v>
      </c>
      <c r="AM112" s="4">
        <v>1</v>
      </c>
      <c r="AN112" s="4">
        <v>0</v>
      </c>
      <c r="AO112" s="4">
        <v>0</v>
      </c>
      <c r="AP112" s="3" t="s">
        <v>58</v>
      </c>
      <c r="AQ112" s="3" t="s">
        <v>58</v>
      </c>
      <c r="AS112" s="6" t="str">
        <f>HYPERLINK("https://creighton-primo.hosted.exlibrisgroup.com/primo-explore/search?tab=default_tab&amp;search_scope=EVERYTHING&amp;vid=01CRU&amp;lang=en_US&amp;offset=0&amp;query=any,contains,991001105549702656","Catalog Record")</f>
        <v>Catalog Record</v>
      </c>
      <c r="AT112" s="6" t="str">
        <f>HYPERLINK("http://www.worldcat.org/oclc/16581743","WorldCat Record")</f>
        <v>WorldCat Record</v>
      </c>
      <c r="AU112" s="3" t="s">
        <v>1523</v>
      </c>
      <c r="AV112" s="3" t="s">
        <v>1524</v>
      </c>
      <c r="AW112" s="3" t="s">
        <v>1525</v>
      </c>
      <c r="AX112" s="3" t="s">
        <v>1525</v>
      </c>
      <c r="AY112" s="3" t="s">
        <v>1526</v>
      </c>
      <c r="AZ112" s="3" t="s">
        <v>73</v>
      </c>
      <c r="BB112" s="3" t="s">
        <v>1527</v>
      </c>
      <c r="BC112" s="3" t="s">
        <v>1530</v>
      </c>
      <c r="BD112" s="3" t="s">
        <v>1531</v>
      </c>
    </row>
    <row r="113" spans="1:56" ht="40.5" customHeight="1" x14ac:dyDescent="0.25">
      <c r="A113" s="7" t="s">
        <v>58</v>
      </c>
      <c r="B113" s="2" t="s">
        <v>1532</v>
      </c>
      <c r="C113" s="2" t="s">
        <v>1533</v>
      </c>
      <c r="D113" s="2" t="s">
        <v>1534</v>
      </c>
      <c r="F113" s="3" t="s">
        <v>58</v>
      </c>
      <c r="G113" s="3" t="s">
        <v>59</v>
      </c>
      <c r="H113" s="3" t="s">
        <v>58</v>
      </c>
      <c r="I113" s="3" t="s">
        <v>58</v>
      </c>
      <c r="J113" s="3" t="s">
        <v>60</v>
      </c>
      <c r="L113" s="2" t="s">
        <v>1535</v>
      </c>
      <c r="M113" s="3" t="s">
        <v>1536</v>
      </c>
      <c r="O113" s="3" t="s">
        <v>64</v>
      </c>
      <c r="P113" s="3" t="s">
        <v>366</v>
      </c>
      <c r="R113" s="3" t="s">
        <v>66</v>
      </c>
      <c r="S113" s="4">
        <v>0</v>
      </c>
      <c r="T113" s="4">
        <v>0</v>
      </c>
      <c r="U113" s="5" t="s">
        <v>1537</v>
      </c>
      <c r="V113" s="5" t="s">
        <v>1537</v>
      </c>
      <c r="W113" s="5" t="s">
        <v>1537</v>
      </c>
      <c r="X113" s="5" t="s">
        <v>1537</v>
      </c>
      <c r="Y113" s="4">
        <v>232</v>
      </c>
      <c r="Z113" s="4">
        <v>164</v>
      </c>
      <c r="AA113" s="4">
        <v>213</v>
      </c>
      <c r="AB113" s="4">
        <v>2</v>
      </c>
      <c r="AC113" s="4">
        <v>2</v>
      </c>
      <c r="AD113" s="4">
        <v>4</v>
      </c>
      <c r="AE113" s="4">
        <v>7</v>
      </c>
      <c r="AF113" s="4">
        <v>0</v>
      </c>
      <c r="AG113" s="4">
        <v>2</v>
      </c>
      <c r="AH113" s="4">
        <v>3</v>
      </c>
      <c r="AI113" s="4">
        <v>3</v>
      </c>
      <c r="AJ113" s="4">
        <v>1</v>
      </c>
      <c r="AK113" s="4">
        <v>4</v>
      </c>
      <c r="AL113" s="4">
        <v>1</v>
      </c>
      <c r="AM113" s="4">
        <v>1</v>
      </c>
      <c r="AN113" s="4">
        <v>0</v>
      </c>
      <c r="AO113" s="4">
        <v>0</v>
      </c>
      <c r="AP113" s="3" t="s">
        <v>58</v>
      </c>
      <c r="AQ113" s="3" t="s">
        <v>58</v>
      </c>
      <c r="AS113" s="6" t="str">
        <f>HYPERLINK("https://creighton-primo.hosted.exlibrisgroup.com/primo-explore/search?tab=default_tab&amp;search_scope=EVERYTHING&amp;vid=01CRU&amp;lang=en_US&amp;offset=0&amp;query=any,contains,991000446579702656","Catalog Record")</f>
        <v>Catalog Record</v>
      </c>
      <c r="AT113" s="6" t="str">
        <f>HYPERLINK("http://www.worldcat.org/oclc/53955397","WorldCat Record")</f>
        <v>WorldCat Record</v>
      </c>
      <c r="AU113" s="3" t="s">
        <v>1538</v>
      </c>
      <c r="AV113" s="3" t="s">
        <v>1539</v>
      </c>
      <c r="AW113" s="3" t="s">
        <v>1540</v>
      </c>
      <c r="AX113" s="3" t="s">
        <v>1540</v>
      </c>
      <c r="AY113" s="3" t="s">
        <v>1541</v>
      </c>
      <c r="AZ113" s="3" t="s">
        <v>73</v>
      </c>
      <c r="BB113" s="3" t="s">
        <v>1542</v>
      </c>
      <c r="BC113" s="3" t="s">
        <v>1543</v>
      </c>
      <c r="BD113" s="3" t="s">
        <v>1544</v>
      </c>
    </row>
    <row r="114" spans="1:56" ht="40.5" customHeight="1" x14ac:dyDescent="0.25">
      <c r="A114" s="7" t="s">
        <v>58</v>
      </c>
      <c r="B114" s="2" t="s">
        <v>1545</v>
      </c>
      <c r="C114" s="2" t="s">
        <v>1546</v>
      </c>
      <c r="D114" s="2" t="s">
        <v>1547</v>
      </c>
      <c r="E114" s="3" t="s">
        <v>96</v>
      </c>
      <c r="F114" s="3" t="s">
        <v>85</v>
      </c>
      <c r="G114" s="3" t="s">
        <v>59</v>
      </c>
      <c r="H114" s="3" t="s">
        <v>58</v>
      </c>
      <c r="I114" s="3" t="s">
        <v>58</v>
      </c>
      <c r="J114" s="3" t="s">
        <v>60</v>
      </c>
      <c r="L114" s="2" t="s">
        <v>1378</v>
      </c>
      <c r="M114" s="3" t="s">
        <v>496</v>
      </c>
      <c r="O114" s="3" t="s">
        <v>64</v>
      </c>
      <c r="P114" s="3" t="s">
        <v>65</v>
      </c>
      <c r="Q114" s="2" t="s">
        <v>1548</v>
      </c>
      <c r="R114" s="3" t="s">
        <v>66</v>
      </c>
      <c r="S114" s="4">
        <v>5</v>
      </c>
      <c r="T114" s="4">
        <v>10</v>
      </c>
      <c r="U114" s="5" t="s">
        <v>1549</v>
      </c>
      <c r="V114" s="5" t="s">
        <v>1550</v>
      </c>
      <c r="W114" s="5" t="s">
        <v>1551</v>
      </c>
      <c r="X114" s="5" t="s">
        <v>1551</v>
      </c>
      <c r="Y114" s="4">
        <v>291</v>
      </c>
      <c r="Z114" s="4">
        <v>236</v>
      </c>
      <c r="AA114" s="4">
        <v>238</v>
      </c>
      <c r="AB114" s="4">
        <v>2</v>
      </c>
      <c r="AC114" s="4">
        <v>2</v>
      </c>
      <c r="AD114" s="4">
        <v>4</v>
      </c>
      <c r="AE114" s="4">
        <v>4</v>
      </c>
      <c r="AF114" s="4">
        <v>0</v>
      </c>
      <c r="AG114" s="4">
        <v>0</v>
      </c>
      <c r="AH114" s="4">
        <v>2</v>
      </c>
      <c r="AI114" s="4">
        <v>2</v>
      </c>
      <c r="AJ114" s="4">
        <v>2</v>
      </c>
      <c r="AK114" s="4">
        <v>2</v>
      </c>
      <c r="AL114" s="4">
        <v>1</v>
      </c>
      <c r="AM114" s="4">
        <v>1</v>
      </c>
      <c r="AN114" s="4">
        <v>0</v>
      </c>
      <c r="AO114" s="4">
        <v>0</v>
      </c>
      <c r="AP114" s="3" t="s">
        <v>58</v>
      </c>
      <c r="AQ114" s="3" t="s">
        <v>85</v>
      </c>
      <c r="AR114" s="6" t="str">
        <f>HYPERLINK("http://catalog.hathitrust.org/Record/000361327","HathiTrust Record")</f>
        <v>HathiTrust Record</v>
      </c>
      <c r="AS114" s="6" t="str">
        <f>HYPERLINK("https://creighton-primo.hosted.exlibrisgroup.com/primo-explore/search?tab=default_tab&amp;search_scope=EVERYTHING&amp;vid=01CRU&amp;lang=en_US&amp;offset=0&amp;query=any,contains,991001314019702656","Catalog Record")</f>
        <v>Catalog Record</v>
      </c>
      <c r="AT114" s="6" t="str">
        <f>HYPERLINK("http://www.worldcat.org/oclc/9197614","WorldCat Record")</f>
        <v>WorldCat Record</v>
      </c>
      <c r="AU114" s="3" t="s">
        <v>1552</v>
      </c>
      <c r="AV114" s="3" t="s">
        <v>1553</v>
      </c>
      <c r="AW114" s="3" t="s">
        <v>1554</v>
      </c>
      <c r="AX114" s="3" t="s">
        <v>1554</v>
      </c>
      <c r="AY114" s="3" t="s">
        <v>1555</v>
      </c>
      <c r="AZ114" s="3" t="s">
        <v>73</v>
      </c>
      <c r="BB114" s="3" t="s">
        <v>1556</v>
      </c>
      <c r="BC114" s="3" t="s">
        <v>1557</v>
      </c>
      <c r="BD114" s="3" t="s">
        <v>1558</v>
      </c>
    </row>
    <row r="115" spans="1:56" ht="40.5" customHeight="1" x14ac:dyDescent="0.25">
      <c r="A115" s="7" t="s">
        <v>58</v>
      </c>
      <c r="B115" s="2" t="s">
        <v>1545</v>
      </c>
      <c r="C115" s="2" t="s">
        <v>1546</v>
      </c>
      <c r="D115" s="2" t="s">
        <v>1547</v>
      </c>
      <c r="E115" s="3" t="s">
        <v>258</v>
      </c>
      <c r="F115" s="3" t="s">
        <v>85</v>
      </c>
      <c r="G115" s="3" t="s">
        <v>59</v>
      </c>
      <c r="H115" s="3" t="s">
        <v>58</v>
      </c>
      <c r="I115" s="3" t="s">
        <v>58</v>
      </c>
      <c r="J115" s="3" t="s">
        <v>60</v>
      </c>
      <c r="L115" s="2" t="s">
        <v>1378</v>
      </c>
      <c r="M115" s="3" t="s">
        <v>496</v>
      </c>
      <c r="O115" s="3" t="s">
        <v>64</v>
      </c>
      <c r="P115" s="3" t="s">
        <v>65</v>
      </c>
      <c r="Q115" s="2" t="s">
        <v>1548</v>
      </c>
      <c r="R115" s="3" t="s">
        <v>66</v>
      </c>
      <c r="S115" s="4">
        <v>5</v>
      </c>
      <c r="T115" s="4">
        <v>10</v>
      </c>
      <c r="U115" s="5" t="s">
        <v>1550</v>
      </c>
      <c r="V115" s="5" t="s">
        <v>1550</v>
      </c>
      <c r="W115" s="5" t="s">
        <v>1551</v>
      </c>
      <c r="X115" s="5" t="s">
        <v>1551</v>
      </c>
      <c r="Y115" s="4">
        <v>291</v>
      </c>
      <c r="Z115" s="4">
        <v>236</v>
      </c>
      <c r="AA115" s="4">
        <v>238</v>
      </c>
      <c r="AB115" s="4">
        <v>2</v>
      </c>
      <c r="AC115" s="4">
        <v>2</v>
      </c>
      <c r="AD115" s="4">
        <v>4</v>
      </c>
      <c r="AE115" s="4">
        <v>4</v>
      </c>
      <c r="AF115" s="4">
        <v>0</v>
      </c>
      <c r="AG115" s="4">
        <v>0</v>
      </c>
      <c r="AH115" s="4">
        <v>2</v>
      </c>
      <c r="AI115" s="4">
        <v>2</v>
      </c>
      <c r="AJ115" s="4">
        <v>2</v>
      </c>
      <c r="AK115" s="4">
        <v>2</v>
      </c>
      <c r="AL115" s="4">
        <v>1</v>
      </c>
      <c r="AM115" s="4">
        <v>1</v>
      </c>
      <c r="AN115" s="4">
        <v>0</v>
      </c>
      <c r="AO115" s="4">
        <v>0</v>
      </c>
      <c r="AP115" s="3" t="s">
        <v>58</v>
      </c>
      <c r="AQ115" s="3" t="s">
        <v>85</v>
      </c>
      <c r="AR115" s="6" t="str">
        <f>HYPERLINK("http://catalog.hathitrust.org/Record/000361327","HathiTrust Record")</f>
        <v>HathiTrust Record</v>
      </c>
      <c r="AS115" s="6" t="str">
        <f>HYPERLINK("https://creighton-primo.hosted.exlibrisgroup.com/primo-explore/search?tab=default_tab&amp;search_scope=EVERYTHING&amp;vid=01CRU&amp;lang=en_US&amp;offset=0&amp;query=any,contains,991001314019702656","Catalog Record")</f>
        <v>Catalog Record</v>
      </c>
      <c r="AT115" s="6" t="str">
        <f>HYPERLINK("http://www.worldcat.org/oclc/9197614","WorldCat Record")</f>
        <v>WorldCat Record</v>
      </c>
      <c r="AU115" s="3" t="s">
        <v>1552</v>
      </c>
      <c r="AV115" s="3" t="s">
        <v>1553</v>
      </c>
      <c r="AW115" s="3" t="s">
        <v>1554</v>
      </c>
      <c r="AX115" s="3" t="s">
        <v>1554</v>
      </c>
      <c r="AY115" s="3" t="s">
        <v>1555</v>
      </c>
      <c r="AZ115" s="3" t="s">
        <v>73</v>
      </c>
      <c r="BB115" s="3" t="s">
        <v>1556</v>
      </c>
      <c r="BC115" s="3" t="s">
        <v>1559</v>
      </c>
      <c r="BD115" s="3" t="s">
        <v>1560</v>
      </c>
    </row>
    <row r="116" spans="1:56" ht="40.5" customHeight="1" x14ac:dyDescent="0.25">
      <c r="A116" s="7" t="s">
        <v>58</v>
      </c>
      <c r="B116" s="2" t="s">
        <v>1561</v>
      </c>
      <c r="C116" s="2" t="s">
        <v>1562</v>
      </c>
      <c r="D116" s="2" t="s">
        <v>1563</v>
      </c>
      <c r="F116" s="3" t="s">
        <v>58</v>
      </c>
      <c r="G116" s="3" t="s">
        <v>59</v>
      </c>
      <c r="H116" s="3" t="s">
        <v>58</v>
      </c>
      <c r="I116" s="3" t="s">
        <v>58</v>
      </c>
      <c r="J116" s="3" t="s">
        <v>60</v>
      </c>
      <c r="L116" s="2" t="s">
        <v>1564</v>
      </c>
      <c r="M116" s="3" t="s">
        <v>614</v>
      </c>
      <c r="O116" s="3" t="s">
        <v>64</v>
      </c>
      <c r="P116" s="3" t="s">
        <v>65</v>
      </c>
      <c r="R116" s="3" t="s">
        <v>66</v>
      </c>
      <c r="S116" s="4">
        <v>10</v>
      </c>
      <c r="T116" s="4">
        <v>10</v>
      </c>
      <c r="U116" s="5" t="s">
        <v>1565</v>
      </c>
      <c r="V116" s="5" t="s">
        <v>1565</v>
      </c>
      <c r="W116" s="5" t="s">
        <v>1566</v>
      </c>
      <c r="X116" s="5" t="s">
        <v>1566</v>
      </c>
      <c r="Y116" s="4">
        <v>637</v>
      </c>
      <c r="Z116" s="4">
        <v>494</v>
      </c>
      <c r="AA116" s="4">
        <v>507</v>
      </c>
      <c r="AB116" s="4">
        <v>3</v>
      </c>
      <c r="AC116" s="4">
        <v>3</v>
      </c>
      <c r="AD116" s="4">
        <v>10</v>
      </c>
      <c r="AE116" s="4">
        <v>11</v>
      </c>
      <c r="AF116" s="4">
        <v>2</v>
      </c>
      <c r="AG116" s="4">
        <v>2</v>
      </c>
      <c r="AH116" s="4">
        <v>3</v>
      </c>
      <c r="AI116" s="4">
        <v>4</v>
      </c>
      <c r="AJ116" s="4">
        <v>8</v>
      </c>
      <c r="AK116" s="4">
        <v>8</v>
      </c>
      <c r="AL116" s="4">
        <v>1</v>
      </c>
      <c r="AM116" s="4">
        <v>1</v>
      </c>
      <c r="AN116" s="4">
        <v>0</v>
      </c>
      <c r="AO116" s="4">
        <v>0</v>
      </c>
      <c r="AP116" s="3" t="s">
        <v>58</v>
      </c>
      <c r="AQ116" s="3" t="s">
        <v>58</v>
      </c>
      <c r="AS116" s="6" t="str">
        <f>HYPERLINK("https://creighton-primo.hosted.exlibrisgroup.com/primo-explore/search?tab=default_tab&amp;search_scope=EVERYTHING&amp;vid=01CRU&amp;lang=en_US&amp;offset=0&amp;query=any,contains,991000943989702656","Catalog Record")</f>
        <v>Catalog Record</v>
      </c>
      <c r="AT116" s="6" t="str">
        <f>HYPERLINK("http://www.worldcat.org/oclc/18907242","WorldCat Record")</f>
        <v>WorldCat Record</v>
      </c>
      <c r="AU116" s="3" t="s">
        <v>1567</v>
      </c>
      <c r="AV116" s="3" t="s">
        <v>1568</v>
      </c>
      <c r="AW116" s="3" t="s">
        <v>1569</v>
      </c>
      <c r="AX116" s="3" t="s">
        <v>1569</v>
      </c>
      <c r="AY116" s="3" t="s">
        <v>1570</v>
      </c>
      <c r="AZ116" s="3" t="s">
        <v>73</v>
      </c>
      <c r="BB116" s="3" t="s">
        <v>1571</v>
      </c>
      <c r="BC116" s="3" t="s">
        <v>1572</v>
      </c>
      <c r="BD116" s="3" t="s">
        <v>1573</v>
      </c>
    </row>
    <row r="117" spans="1:56" ht="40.5" customHeight="1" x14ac:dyDescent="0.25">
      <c r="A117" s="7" t="s">
        <v>58</v>
      </c>
      <c r="B117" s="2" t="s">
        <v>1574</v>
      </c>
      <c r="C117" s="2" t="s">
        <v>1575</v>
      </c>
      <c r="D117" s="2" t="s">
        <v>1576</v>
      </c>
      <c r="F117" s="3" t="s">
        <v>58</v>
      </c>
      <c r="G117" s="3" t="s">
        <v>59</v>
      </c>
      <c r="H117" s="3" t="s">
        <v>58</v>
      </c>
      <c r="I117" s="3" t="s">
        <v>58</v>
      </c>
      <c r="J117" s="3" t="s">
        <v>60</v>
      </c>
      <c r="L117" s="2" t="s">
        <v>1577</v>
      </c>
      <c r="M117" s="3" t="s">
        <v>116</v>
      </c>
      <c r="O117" s="3" t="s">
        <v>64</v>
      </c>
      <c r="P117" s="3" t="s">
        <v>135</v>
      </c>
      <c r="Q117" s="2" t="s">
        <v>1578</v>
      </c>
      <c r="R117" s="3" t="s">
        <v>66</v>
      </c>
      <c r="S117" s="4">
        <v>5</v>
      </c>
      <c r="T117" s="4">
        <v>5</v>
      </c>
      <c r="U117" s="5" t="s">
        <v>1579</v>
      </c>
      <c r="V117" s="5" t="s">
        <v>1579</v>
      </c>
      <c r="W117" s="5" t="s">
        <v>1580</v>
      </c>
      <c r="X117" s="5" t="s">
        <v>1580</v>
      </c>
      <c r="Y117" s="4">
        <v>92</v>
      </c>
      <c r="Z117" s="4">
        <v>58</v>
      </c>
      <c r="AA117" s="4">
        <v>64</v>
      </c>
      <c r="AB117" s="4">
        <v>1</v>
      </c>
      <c r="AC117" s="4">
        <v>1</v>
      </c>
      <c r="AD117" s="4">
        <v>1</v>
      </c>
      <c r="AE117" s="4">
        <v>1</v>
      </c>
      <c r="AF117" s="4">
        <v>0</v>
      </c>
      <c r="AG117" s="4">
        <v>0</v>
      </c>
      <c r="AH117" s="4">
        <v>0</v>
      </c>
      <c r="AI117" s="4">
        <v>0</v>
      </c>
      <c r="AJ117" s="4">
        <v>1</v>
      </c>
      <c r="AK117" s="4">
        <v>1</v>
      </c>
      <c r="AL117" s="4">
        <v>0</v>
      </c>
      <c r="AM117" s="4">
        <v>0</v>
      </c>
      <c r="AN117" s="4">
        <v>0</v>
      </c>
      <c r="AO117" s="4">
        <v>0</v>
      </c>
      <c r="AP117" s="3" t="s">
        <v>58</v>
      </c>
      <c r="AQ117" s="3" t="s">
        <v>85</v>
      </c>
      <c r="AR117" s="6" t="str">
        <f>HYPERLINK("http://catalog.hathitrust.org/Record/002962841","HathiTrust Record")</f>
        <v>HathiTrust Record</v>
      </c>
      <c r="AS117" s="6" t="str">
        <f>HYPERLINK("https://creighton-primo.hosted.exlibrisgroup.com/primo-explore/search?tab=default_tab&amp;search_scope=EVERYTHING&amp;vid=01CRU&amp;lang=en_US&amp;offset=0&amp;query=any,contains,991001429109702656","Catalog Record")</f>
        <v>Catalog Record</v>
      </c>
      <c r="AT117" s="6" t="str">
        <f>HYPERLINK("http://www.worldcat.org/oclc/27357754","WorldCat Record")</f>
        <v>WorldCat Record</v>
      </c>
      <c r="AU117" s="3" t="s">
        <v>1581</v>
      </c>
      <c r="AV117" s="3" t="s">
        <v>1582</v>
      </c>
      <c r="AW117" s="3" t="s">
        <v>1583</v>
      </c>
      <c r="AX117" s="3" t="s">
        <v>1583</v>
      </c>
      <c r="AY117" s="3" t="s">
        <v>1584</v>
      </c>
      <c r="AZ117" s="3" t="s">
        <v>73</v>
      </c>
      <c r="BB117" s="3" t="s">
        <v>1585</v>
      </c>
      <c r="BC117" s="3" t="s">
        <v>1586</v>
      </c>
      <c r="BD117" s="3" t="s">
        <v>1587</v>
      </c>
    </row>
    <row r="118" spans="1:56" ht="40.5" customHeight="1" x14ac:dyDescent="0.25">
      <c r="A118" s="7" t="s">
        <v>58</v>
      </c>
      <c r="B118" s="2" t="s">
        <v>1588</v>
      </c>
      <c r="C118" s="2" t="s">
        <v>1589</v>
      </c>
      <c r="D118" s="2" t="s">
        <v>1590</v>
      </c>
      <c r="F118" s="3" t="s">
        <v>58</v>
      </c>
      <c r="G118" s="3" t="s">
        <v>59</v>
      </c>
      <c r="H118" s="3" t="s">
        <v>58</v>
      </c>
      <c r="I118" s="3" t="s">
        <v>58</v>
      </c>
      <c r="J118" s="3" t="s">
        <v>60</v>
      </c>
      <c r="K118" s="2" t="s">
        <v>1591</v>
      </c>
      <c r="L118" s="2" t="s">
        <v>1592</v>
      </c>
      <c r="M118" s="3" t="s">
        <v>1593</v>
      </c>
      <c r="O118" s="3" t="s">
        <v>64</v>
      </c>
      <c r="P118" s="3" t="s">
        <v>1594</v>
      </c>
      <c r="R118" s="3" t="s">
        <v>66</v>
      </c>
      <c r="S118" s="4">
        <v>9</v>
      </c>
      <c r="T118" s="4">
        <v>9</v>
      </c>
      <c r="U118" s="5" t="s">
        <v>1595</v>
      </c>
      <c r="V118" s="5" t="s">
        <v>1595</v>
      </c>
      <c r="W118" s="5" t="s">
        <v>290</v>
      </c>
      <c r="X118" s="5" t="s">
        <v>290</v>
      </c>
      <c r="Y118" s="4">
        <v>109</v>
      </c>
      <c r="Z118" s="4">
        <v>75</v>
      </c>
      <c r="AA118" s="4">
        <v>93</v>
      </c>
      <c r="AB118" s="4">
        <v>1</v>
      </c>
      <c r="AC118" s="4">
        <v>1</v>
      </c>
      <c r="AD118" s="4">
        <v>1</v>
      </c>
      <c r="AE118" s="4">
        <v>1</v>
      </c>
      <c r="AF118" s="4">
        <v>1</v>
      </c>
      <c r="AG118" s="4">
        <v>1</v>
      </c>
      <c r="AH118" s="4">
        <v>0</v>
      </c>
      <c r="AI118" s="4">
        <v>0</v>
      </c>
      <c r="AJ118" s="4">
        <v>1</v>
      </c>
      <c r="AK118" s="4">
        <v>1</v>
      </c>
      <c r="AL118" s="4">
        <v>0</v>
      </c>
      <c r="AM118" s="4">
        <v>0</v>
      </c>
      <c r="AN118" s="4">
        <v>0</v>
      </c>
      <c r="AO118" s="4">
        <v>0</v>
      </c>
      <c r="AP118" s="3" t="s">
        <v>85</v>
      </c>
      <c r="AQ118" s="3" t="s">
        <v>58</v>
      </c>
      <c r="AR118" s="6" t="str">
        <f>HYPERLINK("http://catalog.hathitrust.org/Record/001580066","HathiTrust Record")</f>
        <v>HathiTrust Record</v>
      </c>
      <c r="AS118" s="6" t="str">
        <f>HYPERLINK("https://creighton-primo.hosted.exlibrisgroup.com/primo-explore/search?tab=default_tab&amp;search_scope=EVERYTHING&amp;vid=01CRU&amp;lang=en_US&amp;offset=0&amp;query=any,contains,991000896719702656","Catalog Record")</f>
        <v>Catalog Record</v>
      </c>
      <c r="AT118" s="6" t="str">
        <f>HYPERLINK("http://www.worldcat.org/oclc/9806687","WorldCat Record")</f>
        <v>WorldCat Record</v>
      </c>
      <c r="AU118" s="3" t="s">
        <v>1596</v>
      </c>
      <c r="AV118" s="3" t="s">
        <v>1597</v>
      </c>
      <c r="AW118" s="3" t="s">
        <v>1598</v>
      </c>
      <c r="AX118" s="3" t="s">
        <v>1598</v>
      </c>
      <c r="AY118" s="3" t="s">
        <v>1599</v>
      </c>
      <c r="AZ118" s="3" t="s">
        <v>73</v>
      </c>
      <c r="BC118" s="3" t="s">
        <v>1600</v>
      </c>
      <c r="BD118" s="3" t="s">
        <v>1601</v>
      </c>
    </row>
    <row r="119" spans="1:56" ht="40.5" customHeight="1" x14ac:dyDescent="0.25">
      <c r="A119" s="7" t="s">
        <v>58</v>
      </c>
      <c r="B119" s="2" t="s">
        <v>1602</v>
      </c>
      <c r="C119" s="2" t="s">
        <v>1603</v>
      </c>
      <c r="D119" s="2" t="s">
        <v>1604</v>
      </c>
      <c r="F119" s="3" t="s">
        <v>58</v>
      </c>
      <c r="G119" s="3" t="s">
        <v>59</v>
      </c>
      <c r="H119" s="3" t="s">
        <v>58</v>
      </c>
      <c r="I119" s="3" t="s">
        <v>58</v>
      </c>
      <c r="J119" s="3" t="s">
        <v>60</v>
      </c>
      <c r="L119" s="2" t="s">
        <v>1605</v>
      </c>
      <c r="M119" s="3" t="s">
        <v>973</v>
      </c>
      <c r="O119" s="3" t="s">
        <v>64</v>
      </c>
      <c r="P119" s="3" t="s">
        <v>117</v>
      </c>
      <c r="R119" s="3" t="s">
        <v>66</v>
      </c>
      <c r="S119" s="4">
        <v>3</v>
      </c>
      <c r="T119" s="4">
        <v>3</v>
      </c>
      <c r="U119" s="5" t="s">
        <v>1606</v>
      </c>
      <c r="V119" s="5" t="s">
        <v>1606</v>
      </c>
      <c r="W119" s="5" t="s">
        <v>290</v>
      </c>
      <c r="X119" s="5" t="s">
        <v>290</v>
      </c>
      <c r="Y119" s="4">
        <v>407</v>
      </c>
      <c r="Z119" s="4">
        <v>292</v>
      </c>
      <c r="AA119" s="4">
        <v>312</v>
      </c>
      <c r="AB119" s="4">
        <v>2</v>
      </c>
      <c r="AC119" s="4">
        <v>2</v>
      </c>
      <c r="AD119" s="4">
        <v>9</v>
      </c>
      <c r="AE119" s="4">
        <v>10</v>
      </c>
      <c r="AF119" s="4">
        <v>0</v>
      </c>
      <c r="AG119" s="4">
        <v>1</v>
      </c>
      <c r="AH119" s="4">
        <v>5</v>
      </c>
      <c r="AI119" s="4">
        <v>5</v>
      </c>
      <c r="AJ119" s="4">
        <v>6</v>
      </c>
      <c r="AK119" s="4">
        <v>7</v>
      </c>
      <c r="AL119" s="4">
        <v>1</v>
      </c>
      <c r="AM119" s="4">
        <v>1</v>
      </c>
      <c r="AN119" s="4">
        <v>0</v>
      </c>
      <c r="AO119" s="4">
        <v>0</v>
      </c>
      <c r="AP119" s="3" t="s">
        <v>58</v>
      </c>
      <c r="AQ119" s="3" t="s">
        <v>85</v>
      </c>
      <c r="AR119" s="6" t="str">
        <f>HYPERLINK("http://catalog.hathitrust.org/Record/000727552","HathiTrust Record")</f>
        <v>HathiTrust Record</v>
      </c>
      <c r="AS119" s="6" t="str">
        <f>HYPERLINK("https://creighton-primo.hosted.exlibrisgroup.com/primo-explore/search?tab=default_tab&amp;search_scope=EVERYTHING&amp;vid=01CRU&amp;lang=en_US&amp;offset=0&amp;query=any,contains,991000896629702656","Catalog Record")</f>
        <v>Catalog Record</v>
      </c>
      <c r="AT119" s="6" t="str">
        <f>HYPERLINK("http://www.worldcat.org/oclc/5101904","WorldCat Record")</f>
        <v>WorldCat Record</v>
      </c>
      <c r="AU119" s="3" t="s">
        <v>1607</v>
      </c>
      <c r="AV119" s="3" t="s">
        <v>1608</v>
      </c>
      <c r="AW119" s="3" t="s">
        <v>1609</v>
      </c>
      <c r="AX119" s="3" t="s">
        <v>1609</v>
      </c>
      <c r="AY119" s="3" t="s">
        <v>1610</v>
      </c>
      <c r="AZ119" s="3" t="s">
        <v>73</v>
      </c>
      <c r="BB119" s="3" t="s">
        <v>1611</v>
      </c>
      <c r="BC119" s="3" t="s">
        <v>1612</v>
      </c>
      <c r="BD119" s="3" t="s">
        <v>1613</v>
      </c>
    </row>
    <row r="120" spans="1:56" ht="40.5" customHeight="1" x14ac:dyDescent="0.25">
      <c r="A120" s="7" t="s">
        <v>58</v>
      </c>
      <c r="B120" s="2" t="s">
        <v>1614</v>
      </c>
      <c r="C120" s="2" t="s">
        <v>1615</v>
      </c>
      <c r="D120" s="2" t="s">
        <v>1616</v>
      </c>
      <c r="F120" s="3" t="s">
        <v>58</v>
      </c>
      <c r="G120" s="3" t="s">
        <v>59</v>
      </c>
      <c r="H120" s="3" t="s">
        <v>58</v>
      </c>
      <c r="I120" s="3" t="s">
        <v>58</v>
      </c>
      <c r="J120" s="3" t="s">
        <v>60</v>
      </c>
      <c r="L120" s="2" t="s">
        <v>1617</v>
      </c>
      <c r="M120" s="3" t="s">
        <v>182</v>
      </c>
      <c r="O120" s="3" t="s">
        <v>64</v>
      </c>
      <c r="P120" s="3" t="s">
        <v>65</v>
      </c>
      <c r="Q120" s="2" t="s">
        <v>1618</v>
      </c>
      <c r="R120" s="3" t="s">
        <v>66</v>
      </c>
      <c r="S120" s="4">
        <v>4</v>
      </c>
      <c r="T120" s="4">
        <v>4</v>
      </c>
      <c r="U120" s="5" t="s">
        <v>1619</v>
      </c>
      <c r="V120" s="5" t="s">
        <v>1619</v>
      </c>
      <c r="W120" s="5" t="s">
        <v>1620</v>
      </c>
      <c r="X120" s="5" t="s">
        <v>1620</v>
      </c>
      <c r="Y120" s="4">
        <v>241</v>
      </c>
      <c r="Z120" s="4">
        <v>181</v>
      </c>
      <c r="AA120" s="4">
        <v>222</v>
      </c>
      <c r="AB120" s="4">
        <v>2</v>
      </c>
      <c r="AC120" s="4">
        <v>3</v>
      </c>
      <c r="AD120" s="4">
        <v>5</v>
      </c>
      <c r="AE120" s="4">
        <v>9</v>
      </c>
      <c r="AF120" s="4">
        <v>0</v>
      </c>
      <c r="AG120" s="4">
        <v>2</v>
      </c>
      <c r="AH120" s="4">
        <v>3</v>
      </c>
      <c r="AI120" s="4">
        <v>5</v>
      </c>
      <c r="AJ120" s="4">
        <v>2</v>
      </c>
      <c r="AK120" s="4">
        <v>2</v>
      </c>
      <c r="AL120" s="4">
        <v>1</v>
      </c>
      <c r="AM120" s="4">
        <v>2</v>
      </c>
      <c r="AN120" s="4">
        <v>0</v>
      </c>
      <c r="AO120" s="4">
        <v>0</v>
      </c>
      <c r="AP120" s="3" t="s">
        <v>58</v>
      </c>
      <c r="AQ120" s="3" t="s">
        <v>85</v>
      </c>
      <c r="AR120" s="6" t="str">
        <f>HYPERLINK("http://catalog.hathitrust.org/Record/000857821","HathiTrust Record")</f>
        <v>HathiTrust Record</v>
      </c>
      <c r="AS120" s="6" t="str">
        <f>HYPERLINK("https://creighton-primo.hosted.exlibrisgroup.com/primo-explore/search?tab=default_tab&amp;search_scope=EVERYTHING&amp;vid=01CRU&amp;lang=en_US&amp;offset=0&amp;query=any,contains,991001191689702656","Catalog Record")</f>
        <v>Catalog Record</v>
      </c>
      <c r="AT120" s="6" t="str">
        <f>HYPERLINK("http://www.worldcat.org/oclc/14518817","WorldCat Record")</f>
        <v>WorldCat Record</v>
      </c>
      <c r="AU120" s="3" t="s">
        <v>1621</v>
      </c>
      <c r="AV120" s="3" t="s">
        <v>1622</v>
      </c>
      <c r="AW120" s="3" t="s">
        <v>1623</v>
      </c>
      <c r="AX120" s="3" t="s">
        <v>1623</v>
      </c>
      <c r="AY120" s="3" t="s">
        <v>1624</v>
      </c>
      <c r="AZ120" s="3" t="s">
        <v>73</v>
      </c>
      <c r="BB120" s="3" t="s">
        <v>1625</v>
      </c>
      <c r="BC120" s="3" t="s">
        <v>1626</v>
      </c>
      <c r="BD120" s="3" t="s">
        <v>1627</v>
      </c>
    </row>
    <row r="121" spans="1:56" ht="40.5" customHeight="1" x14ac:dyDescent="0.25">
      <c r="A121" s="7" t="s">
        <v>58</v>
      </c>
      <c r="B121" s="2" t="s">
        <v>1628</v>
      </c>
      <c r="C121" s="2" t="s">
        <v>1629</v>
      </c>
      <c r="D121" s="2" t="s">
        <v>1630</v>
      </c>
      <c r="F121" s="3" t="s">
        <v>58</v>
      </c>
      <c r="G121" s="3" t="s">
        <v>59</v>
      </c>
      <c r="H121" s="3" t="s">
        <v>58</v>
      </c>
      <c r="I121" s="3" t="s">
        <v>85</v>
      </c>
      <c r="J121" s="3" t="s">
        <v>60</v>
      </c>
      <c r="K121" s="2" t="s">
        <v>1631</v>
      </c>
      <c r="L121" s="2" t="s">
        <v>1632</v>
      </c>
      <c r="M121" s="3" t="s">
        <v>1267</v>
      </c>
      <c r="N121" s="2" t="s">
        <v>198</v>
      </c>
      <c r="O121" s="3" t="s">
        <v>64</v>
      </c>
      <c r="P121" s="3" t="s">
        <v>117</v>
      </c>
      <c r="R121" s="3" t="s">
        <v>66</v>
      </c>
      <c r="S121" s="4">
        <v>8</v>
      </c>
      <c r="T121" s="4">
        <v>8</v>
      </c>
      <c r="U121" s="5" t="s">
        <v>1633</v>
      </c>
      <c r="V121" s="5" t="s">
        <v>1633</v>
      </c>
      <c r="W121" s="5" t="s">
        <v>1634</v>
      </c>
      <c r="X121" s="5" t="s">
        <v>1634</v>
      </c>
      <c r="Y121" s="4">
        <v>741</v>
      </c>
      <c r="Z121" s="4">
        <v>500</v>
      </c>
      <c r="AA121" s="4">
        <v>848</v>
      </c>
      <c r="AB121" s="4">
        <v>3</v>
      </c>
      <c r="AC121" s="4">
        <v>8</v>
      </c>
      <c r="AD121" s="4">
        <v>19</v>
      </c>
      <c r="AE121" s="4">
        <v>41</v>
      </c>
      <c r="AF121" s="4">
        <v>8</v>
      </c>
      <c r="AG121" s="4">
        <v>15</v>
      </c>
      <c r="AH121" s="4">
        <v>5</v>
      </c>
      <c r="AI121" s="4">
        <v>7</v>
      </c>
      <c r="AJ121" s="4">
        <v>9</v>
      </c>
      <c r="AK121" s="4">
        <v>23</v>
      </c>
      <c r="AL121" s="4">
        <v>2</v>
      </c>
      <c r="AM121" s="4">
        <v>6</v>
      </c>
      <c r="AN121" s="4">
        <v>0</v>
      </c>
      <c r="AO121" s="4">
        <v>0</v>
      </c>
      <c r="AP121" s="3" t="s">
        <v>58</v>
      </c>
      <c r="AQ121" s="3" t="s">
        <v>58</v>
      </c>
      <c r="AS121" s="6" t="str">
        <f>HYPERLINK("https://creighton-primo.hosted.exlibrisgroup.com/primo-explore/search?tab=default_tab&amp;search_scope=EVERYTHING&amp;vid=01CRU&amp;lang=en_US&amp;offset=0&amp;query=any,contains,991001409999702656","Catalog Record")</f>
        <v>Catalog Record</v>
      </c>
      <c r="AT121" s="6" t="str">
        <f>HYPERLINK("http://www.worldcat.org/oclc/39508201","WorldCat Record")</f>
        <v>WorldCat Record</v>
      </c>
      <c r="AU121" s="3" t="s">
        <v>1635</v>
      </c>
      <c r="AV121" s="3" t="s">
        <v>1636</v>
      </c>
      <c r="AW121" s="3" t="s">
        <v>1637</v>
      </c>
      <c r="AX121" s="3" t="s">
        <v>1637</v>
      </c>
      <c r="AY121" s="3" t="s">
        <v>1638</v>
      </c>
      <c r="AZ121" s="3" t="s">
        <v>73</v>
      </c>
      <c r="BB121" s="3" t="s">
        <v>1639</v>
      </c>
      <c r="BC121" s="3" t="s">
        <v>1640</v>
      </c>
      <c r="BD121" s="3" t="s">
        <v>1641</v>
      </c>
    </row>
    <row r="122" spans="1:56" ht="40.5" customHeight="1" x14ac:dyDescent="0.25">
      <c r="A122" s="7" t="s">
        <v>58</v>
      </c>
      <c r="B122" s="2" t="s">
        <v>1642</v>
      </c>
      <c r="C122" s="2" t="s">
        <v>1643</v>
      </c>
      <c r="D122" s="2" t="s">
        <v>1644</v>
      </c>
      <c r="F122" s="3" t="s">
        <v>58</v>
      </c>
      <c r="G122" s="3" t="s">
        <v>59</v>
      </c>
      <c r="H122" s="3" t="s">
        <v>58</v>
      </c>
      <c r="I122" s="3" t="s">
        <v>58</v>
      </c>
      <c r="J122" s="3" t="s">
        <v>60</v>
      </c>
      <c r="L122" s="2" t="s">
        <v>1645</v>
      </c>
      <c r="M122" s="3" t="s">
        <v>197</v>
      </c>
      <c r="O122" s="3" t="s">
        <v>64</v>
      </c>
      <c r="P122" s="3" t="s">
        <v>396</v>
      </c>
      <c r="Q122" s="2" t="s">
        <v>1646</v>
      </c>
      <c r="R122" s="3" t="s">
        <v>66</v>
      </c>
      <c r="S122" s="4">
        <v>6</v>
      </c>
      <c r="T122" s="4">
        <v>6</v>
      </c>
      <c r="U122" s="5" t="s">
        <v>1647</v>
      </c>
      <c r="V122" s="5" t="s">
        <v>1647</v>
      </c>
      <c r="W122" s="5" t="s">
        <v>1648</v>
      </c>
      <c r="X122" s="5" t="s">
        <v>1648</v>
      </c>
      <c r="Y122" s="4">
        <v>164</v>
      </c>
      <c r="Z122" s="4">
        <v>114</v>
      </c>
      <c r="AA122" s="4">
        <v>134</v>
      </c>
      <c r="AB122" s="4">
        <v>1</v>
      </c>
      <c r="AC122" s="4">
        <v>1</v>
      </c>
      <c r="AD122" s="4">
        <v>4</v>
      </c>
      <c r="AE122" s="4">
        <v>5</v>
      </c>
      <c r="AF122" s="4">
        <v>1</v>
      </c>
      <c r="AG122" s="4">
        <v>2</v>
      </c>
      <c r="AH122" s="4">
        <v>2</v>
      </c>
      <c r="AI122" s="4">
        <v>2</v>
      </c>
      <c r="AJ122" s="4">
        <v>3</v>
      </c>
      <c r="AK122" s="4">
        <v>4</v>
      </c>
      <c r="AL122" s="4">
        <v>0</v>
      </c>
      <c r="AM122" s="4">
        <v>0</v>
      </c>
      <c r="AN122" s="4">
        <v>0</v>
      </c>
      <c r="AO122" s="4">
        <v>0</v>
      </c>
      <c r="AP122" s="3" t="s">
        <v>58</v>
      </c>
      <c r="AQ122" s="3" t="s">
        <v>85</v>
      </c>
      <c r="AR122" s="6" t="str">
        <f>HYPERLINK("http://catalog.hathitrust.org/Record/000905438","HathiTrust Record")</f>
        <v>HathiTrust Record</v>
      </c>
      <c r="AS122" s="6" t="str">
        <f>HYPERLINK("https://creighton-primo.hosted.exlibrisgroup.com/primo-explore/search?tab=default_tab&amp;search_scope=EVERYTHING&amp;vid=01CRU&amp;lang=en_US&amp;offset=0&amp;query=any,contains,991001245669702656","Catalog Record")</f>
        <v>Catalog Record</v>
      </c>
      <c r="AT122" s="6" t="str">
        <f>HYPERLINK("http://www.worldcat.org/oclc/17105848","WorldCat Record")</f>
        <v>WorldCat Record</v>
      </c>
      <c r="AU122" s="3" t="s">
        <v>1649</v>
      </c>
      <c r="AV122" s="3" t="s">
        <v>1650</v>
      </c>
      <c r="AW122" s="3" t="s">
        <v>1651</v>
      </c>
      <c r="AX122" s="3" t="s">
        <v>1651</v>
      </c>
      <c r="AY122" s="3" t="s">
        <v>1652</v>
      </c>
      <c r="AZ122" s="3" t="s">
        <v>73</v>
      </c>
      <c r="BB122" s="3" t="s">
        <v>1653</v>
      </c>
      <c r="BC122" s="3" t="s">
        <v>1654</v>
      </c>
      <c r="BD122" s="3" t="s">
        <v>1655</v>
      </c>
    </row>
    <row r="123" spans="1:56" ht="40.5" customHeight="1" x14ac:dyDescent="0.25">
      <c r="A123" s="7" t="s">
        <v>58</v>
      </c>
      <c r="B123" s="2" t="s">
        <v>1656</v>
      </c>
      <c r="C123" s="2" t="s">
        <v>1657</v>
      </c>
      <c r="D123" s="2" t="s">
        <v>1658</v>
      </c>
      <c r="E123" s="3" t="s">
        <v>258</v>
      </c>
      <c r="F123" s="3" t="s">
        <v>85</v>
      </c>
      <c r="G123" s="3" t="s">
        <v>59</v>
      </c>
      <c r="H123" s="3" t="s">
        <v>58</v>
      </c>
      <c r="I123" s="3" t="s">
        <v>58</v>
      </c>
      <c r="J123" s="3" t="s">
        <v>60</v>
      </c>
      <c r="L123" s="2" t="s">
        <v>1659</v>
      </c>
      <c r="M123" s="3" t="s">
        <v>973</v>
      </c>
      <c r="O123" s="3" t="s">
        <v>64</v>
      </c>
      <c r="P123" s="3" t="s">
        <v>117</v>
      </c>
      <c r="Q123" s="2" t="s">
        <v>1660</v>
      </c>
      <c r="R123" s="3" t="s">
        <v>66</v>
      </c>
      <c r="S123" s="4">
        <v>5</v>
      </c>
      <c r="T123" s="4">
        <v>6</v>
      </c>
      <c r="U123" s="5" t="s">
        <v>1661</v>
      </c>
      <c r="V123" s="5" t="s">
        <v>1661</v>
      </c>
      <c r="W123" s="5" t="s">
        <v>290</v>
      </c>
      <c r="X123" s="5" t="s">
        <v>290</v>
      </c>
      <c r="Y123" s="4">
        <v>426</v>
      </c>
      <c r="Z123" s="4">
        <v>339</v>
      </c>
      <c r="AA123" s="4">
        <v>348</v>
      </c>
      <c r="AB123" s="4">
        <v>3</v>
      </c>
      <c r="AC123" s="4">
        <v>3</v>
      </c>
      <c r="AD123" s="4">
        <v>16</v>
      </c>
      <c r="AE123" s="4">
        <v>16</v>
      </c>
      <c r="AF123" s="4">
        <v>6</v>
      </c>
      <c r="AG123" s="4">
        <v>6</v>
      </c>
      <c r="AH123" s="4">
        <v>4</v>
      </c>
      <c r="AI123" s="4">
        <v>4</v>
      </c>
      <c r="AJ123" s="4">
        <v>10</v>
      </c>
      <c r="AK123" s="4">
        <v>10</v>
      </c>
      <c r="AL123" s="4">
        <v>2</v>
      </c>
      <c r="AM123" s="4">
        <v>2</v>
      </c>
      <c r="AN123" s="4">
        <v>0</v>
      </c>
      <c r="AO123" s="4">
        <v>0</v>
      </c>
      <c r="AP123" s="3" t="s">
        <v>58</v>
      </c>
      <c r="AQ123" s="3" t="s">
        <v>85</v>
      </c>
      <c r="AR123" s="6" t="str">
        <f>HYPERLINK("http://catalog.hathitrust.org/Record/000715514","HathiTrust Record")</f>
        <v>HathiTrust Record</v>
      </c>
      <c r="AS123" s="6" t="str">
        <f>HYPERLINK("https://creighton-primo.hosted.exlibrisgroup.com/primo-explore/search?tab=default_tab&amp;search_scope=EVERYTHING&amp;vid=01CRU&amp;lang=en_US&amp;offset=0&amp;query=any,contains,991000896469702656","Catalog Record")</f>
        <v>Catalog Record</v>
      </c>
      <c r="AT123" s="6" t="str">
        <f>HYPERLINK("http://www.worldcat.org/oclc/6760962","WorldCat Record")</f>
        <v>WorldCat Record</v>
      </c>
      <c r="AU123" s="3" t="s">
        <v>1662</v>
      </c>
      <c r="AV123" s="3" t="s">
        <v>1663</v>
      </c>
      <c r="AW123" s="3" t="s">
        <v>1664</v>
      </c>
      <c r="AX123" s="3" t="s">
        <v>1664</v>
      </c>
      <c r="AY123" s="3" t="s">
        <v>1665</v>
      </c>
      <c r="AZ123" s="3" t="s">
        <v>73</v>
      </c>
      <c r="BB123" s="3" t="s">
        <v>1666</v>
      </c>
      <c r="BC123" s="3" t="s">
        <v>1667</v>
      </c>
      <c r="BD123" s="3" t="s">
        <v>1668</v>
      </c>
    </row>
    <row r="124" spans="1:56" ht="40.5" customHeight="1" x14ac:dyDescent="0.25">
      <c r="A124" s="7" t="s">
        <v>58</v>
      </c>
      <c r="B124" s="2" t="s">
        <v>1669</v>
      </c>
      <c r="C124" s="2" t="s">
        <v>1670</v>
      </c>
      <c r="D124" s="2" t="s">
        <v>1658</v>
      </c>
      <c r="E124" s="3" t="s">
        <v>108</v>
      </c>
      <c r="F124" s="3" t="s">
        <v>85</v>
      </c>
      <c r="G124" s="3" t="s">
        <v>59</v>
      </c>
      <c r="H124" s="3" t="s">
        <v>58</v>
      </c>
      <c r="I124" s="3" t="s">
        <v>58</v>
      </c>
      <c r="J124" s="3" t="s">
        <v>60</v>
      </c>
      <c r="L124" s="2" t="s">
        <v>1659</v>
      </c>
      <c r="M124" s="3" t="s">
        <v>973</v>
      </c>
      <c r="O124" s="3" t="s">
        <v>64</v>
      </c>
      <c r="P124" s="3" t="s">
        <v>117</v>
      </c>
      <c r="Q124" s="2" t="s">
        <v>1660</v>
      </c>
      <c r="R124" s="3" t="s">
        <v>66</v>
      </c>
      <c r="S124" s="4">
        <v>1</v>
      </c>
      <c r="T124" s="4">
        <v>6</v>
      </c>
      <c r="U124" s="5" t="s">
        <v>1671</v>
      </c>
      <c r="V124" s="5" t="s">
        <v>1661</v>
      </c>
      <c r="W124" s="5" t="s">
        <v>290</v>
      </c>
      <c r="X124" s="5" t="s">
        <v>290</v>
      </c>
      <c r="Y124" s="4">
        <v>426</v>
      </c>
      <c r="Z124" s="4">
        <v>339</v>
      </c>
      <c r="AA124" s="4">
        <v>348</v>
      </c>
      <c r="AB124" s="4">
        <v>3</v>
      </c>
      <c r="AC124" s="4">
        <v>3</v>
      </c>
      <c r="AD124" s="4">
        <v>16</v>
      </c>
      <c r="AE124" s="4">
        <v>16</v>
      </c>
      <c r="AF124" s="4">
        <v>6</v>
      </c>
      <c r="AG124" s="4">
        <v>6</v>
      </c>
      <c r="AH124" s="4">
        <v>4</v>
      </c>
      <c r="AI124" s="4">
        <v>4</v>
      </c>
      <c r="AJ124" s="4">
        <v>10</v>
      </c>
      <c r="AK124" s="4">
        <v>10</v>
      </c>
      <c r="AL124" s="4">
        <v>2</v>
      </c>
      <c r="AM124" s="4">
        <v>2</v>
      </c>
      <c r="AN124" s="4">
        <v>0</v>
      </c>
      <c r="AO124" s="4">
        <v>0</v>
      </c>
      <c r="AP124" s="3" t="s">
        <v>58</v>
      </c>
      <c r="AQ124" s="3" t="s">
        <v>85</v>
      </c>
      <c r="AR124" s="6" t="str">
        <f>HYPERLINK("http://catalog.hathitrust.org/Record/000715514","HathiTrust Record")</f>
        <v>HathiTrust Record</v>
      </c>
      <c r="AS124" s="6" t="str">
        <f>HYPERLINK("https://creighton-primo.hosted.exlibrisgroup.com/primo-explore/search?tab=default_tab&amp;search_scope=EVERYTHING&amp;vid=01CRU&amp;lang=en_US&amp;offset=0&amp;query=any,contains,991000896469702656","Catalog Record")</f>
        <v>Catalog Record</v>
      </c>
      <c r="AT124" s="6" t="str">
        <f>HYPERLINK("http://www.worldcat.org/oclc/6760962","WorldCat Record")</f>
        <v>WorldCat Record</v>
      </c>
      <c r="AU124" s="3" t="s">
        <v>1662</v>
      </c>
      <c r="AV124" s="3" t="s">
        <v>1663</v>
      </c>
      <c r="AW124" s="3" t="s">
        <v>1664</v>
      </c>
      <c r="AX124" s="3" t="s">
        <v>1664</v>
      </c>
      <c r="AY124" s="3" t="s">
        <v>1665</v>
      </c>
      <c r="AZ124" s="3" t="s">
        <v>73</v>
      </c>
      <c r="BB124" s="3" t="s">
        <v>1666</v>
      </c>
      <c r="BC124" s="3" t="s">
        <v>1672</v>
      </c>
      <c r="BD124" s="3" t="s">
        <v>1673</v>
      </c>
    </row>
    <row r="125" spans="1:56" ht="40.5" customHeight="1" x14ac:dyDescent="0.25">
      <c r="A125" s="7" t="s">
        <v>58</v>
      </c>
      <c r="B125" s="2" t="s">
        <v>1674</v>
      </c>
      <c r="C125" s="2" t="s">
        <v>1675</v>
      </c>
      <c r="D125" s="2" t="s">
        <v>1676</v>
      </c>
      <c r="F125" s="3" t="s">
        <v>58</v>
      </c>
      <c r="G125" s="3" t="s">
        <v>59</v>
      </c>
      <c r="H125" s="3" t="s">
        <v>58</v>
      </c>
      <c r="I125" s="3" t="s">
        <v>58</v>
      </c>
      <c r="J125" s="3" t="s">
        <v>60</v>
      </c>
      <c r="L125" s="2" t="s">
        <v>1677</v>
      </c>
      <c r="M125" s="3" t="s">
        <v>197</v>
      </c>
      <c r="O125" s="3" t="s">
        <v>64</v>
      </c>
      <c r="P125" s="3" t="s">
        <v>230</v>
      </c>
      <c r="Q125" s="2" t="s">
        <v>1678</v>
      </c>
      <c r="R125" s="3" t="s">
        <v>66</v>
      </c>
      <c r="S125" s="4">
        <v>15</v>
      </c>
      <c r="T125" s="4">
        <v>15</v>
      </c>
      <c r="U125" s="5" t="s">
        <v>1679</v>
      </c>
      <c r="V125" s="5" t="s">
        <v>1679</v>
      </c>
      <c r="W125" s="5" t="s">
        <v>427</v>
      </c>
      <c r="X125" s="5" t="s">
        <v>427</v>
      </c>
      <c r="Y125" s="4">
        <v>189</v>
      </c>
      <c r="Z125" s="4">
        <v>112</v>
      </c>
      <c r="AA125" s="4">
        <v>114</v>
      </c>
      <c r="AB125" s="4">
        <v>2</v>
      </c>
      <c r="AC125" s="4">
        <v>2</v>
      </c>
      <c r="AD125" s="4">
        <v>5</v>
      </c>
      <c r="AE125" s="4">
        <v>5</v>
      </c>
      <c r="AF125" s="4">
        <v>0</v>
      </c>
      <c r="AG125" s="4">
        <v>0</v>
      </c>
      <c r="AH125" s="4">
        <v>2</v>
      </c>
      <c r="AI125" s="4">
        <v>2</v>
      </c>
      <c r="AJ125" s="4">
        <v>4</v>
      </c>
      <c r="AK125" s="4">
        <v>4</v>
      </c>
      <c r="AL125" s="4">
        <v>1</v>
      </c>
      <c r="AM125" s="4">
        <v>1</v>
      </c>
      <c r="AN125" s="4">
        <v>0</v>
      </c>
      <c r="AO125" s="4">
        <v>0</v>
      </c>
      <c r="AP125" s="3" t="s">
        <v>58</v>
      </c>
      <c r="AQ125" s="3" t="s">
        <v>85</v>
      </c>
      <c r="AR125" s="6" t="str">
        <f>HYPERLINK("http://catalog.hathitrust.org/Record/000921181","HathiTrust Record")</f>
        <v>HathiTrust Record</v>
      </c>
      <c r="AS125" s="6" t="str">
        <f>HYPERLINK("https://creighton-primo.hosted.exlibrisgroup.com/primo-explore/search?tab=default_tab&amp;search_scope=EVERYTHING&amp;vid=01CRU&amp;lang=en_US&amp;offset=0&amp;query=any,contains,991001240269702656","Catalog Record")</f>
        <v>Catalog Record</v>
      </c>
      <c r="AT125" s="6" t="str">
        <f>HYPERLINK("http://www.worldcat.org/oclc/17549574","WorldCat Record")</f>
        <v>WorldCat Record</v>
      </c>
      <c r="AU125" s="3" t="s">
        <v>1680</v>
      </c>
      <c r="AV125" s="3" t="s">
        <v>1681</v>
      </c>
      <c r="AW125" s="3" t="s">
        <v>1682</v>
      </c>
      <c r="AX125" s="3" t="s">
        <v>1682</v>
      </c>
      <c r="AY125" s="3" t="s">
        <v>1683</v>
      </c>
      <c r="AZ125" s="3" t="s">
        <v>73</v>
      </c>
      <c r="BB125" s="3" t="s">
        <v>1684</v>
      </c>
      <c r="BC125" s="3" t="s">
        <v>1685</v>
      </c>
      <c r="BD125" s="3" t="s">
        <v>1686</v>
      </c>
    </row>
    <row r="126" spans="1:56" ht="40.5" customHeight="1" x14ac:dyDescent="0.25">
      <c r="A126" s="7" t="s">
        <v>58</v>
      </c>
      <c r="B126" s="2" t="s">
        <v>1687</v>
      </c>
      <c r="C126" s="2" t="s">
        <v>1688</v>
      </c>
      <c r="D126" s="2" t="s">
        <v>1689</v>
      </c>
      <c r="E126" s="3" t="s">
        <v>96</v>
      </c>
      <c r="F126" s="3" t="s">
        <v>85</v>
      </c>
      <c r="G126" s="3" t="s">
        <v>59</v>
      </c>
      <c r="H126" s="3" t="s">
        <v>58</v>
      </c>
      <c r="I126" s="3" t="s">
        <v>58</v>
      </c>
      <c r="J126" s="3" t="s">
        <v>60</v>
      </c>
      <c r="L126" s="2" t="s">
        <v>1690</v>
      </c>
      <c r="M126" s="3" t="s">
        <v>197</v>
      </c>
      <c r="O126" s="3" t="s">
        <v>64</v>
      </c>
      <c r="P126" s="3" t="s">
        <v>65</v>
      </c>
      <c r="R126" s="3" t="s">
        <v>66</v>
      </c>
      <c r="S126" s="4">
        <v>6</v>
      </c>
      <c r="T126" s="4">
        <v>27</v>
      </c>
      <c r="U126" s="5" t="s">
        <v>1691</v>
      </c>
      <c r="V126" s="5" t="s">
        <v>1692</v>
      </c>
      <c r="W126" s="5" t="s">
        <v>1693</v>
      </c>
      <c r="X126" s="5" t="s">
        <v>1693</v>
      </c>
      <c r="Y126" s="4">
        <v>173</v>
      </c>
      <c r="Z126" s="4">
        <v>134</v>
      </c>
      <c r="AA126" s="4">
        <v>138</v>
      </c>
      <c r="AB126" s="4">
        <v>1</v>
      </c>
      <c r="AC126" s="4">
        <v>1</v>
      </c>
      <c r="AD126" s="4">
        <v>2</v>
      </c>
      <c r="AE126" s="4">
        <v>2</v>
      </c>
      <c r="AF126" s="4">
        <v>0</v>
      </c>
      <c r="AG126" s="4">
        <v>0</v>
      </c>
      <c r="AH126" s="4">
        <v>2</v>
      </c>
      <c r="AI126" s="4">
        <v>2</v>
      </c>
      <c r="AJ126" s="4">
        <v>1</v>
      </c>
      <c r="AK126" s="4">
        <v>1</v>
      </c>
      <c r="AL126" s="4">
        <v>0</v>
      </c>
      <c r="AM126" s="4">
        <v>0</v>
      </c>
      <c r="AN126" s="4">
        <v>0</v>
      </c>
      <c r="AO126" s="4">
        <v>0</v>
      </c>
      <c r="AP126" s="3" t="s">
        <v>58</v>
      </c>
      <c r="AQ126" s="3" t="s">
        <v>85</v>
      </c>
      <c r="AR126" s="6" t="str">
        <f>HYPERLINK("http://catalog.hathitrust.org/Record/008990297","HathiTrust Record")</f>
        <v>HathiTrust Record</v>
      </c>
      <c r="AS126" s="6" t="str">
        <f>HYPERLINK("https://creighton-primo.hosted.exlibrisgroup.com/primo-explore/search?tab=default_tab&amp;search_scope=EVERYTHING&amp;vid=01CRU&amp;lang=en_US&amp;offset=0&amp;query=any,contains,991001184219702656","Catalog Record")</f>
        <v>Catalog Record</v>
      </c>
      <c r="AT126" s="6" t="str">
        <f>HYPERLINK("http://www.worldcat.org/oclc/16524269","WorldCat Record")</f>
        <v>WorldCat Record</v>
      </c>
      <c r="AU126" s="3" t="s">
        <v>1694</v>
      </c>
      <c r="AV126" s="3" t="s">
        <v>1695</v>
      </c>
      <c r="AW126" s="3" t="s">
        <v>1696</v>
      </c>
      <c r="AX126" s="3" t="s">
        <v>1696</v>
      </c>
      <c r="AY126" s="3" t="s">
        <v>1697</v>
      </c>
      <c r="AZ126" s="3" t="s">
        <v>73</v>
      </c>
      <c r="BB126" s="3" t="s">
        <v>1698</v>
      </c>
      <c r="BC126" s="3" t="s">
        <v>1699</v>
      </c>
      <c r="BD126" s="3" t="s">
        <v>1700</v>
      </c>
    </row>
    <row r="127" spans="1:56" ht="40.5" customHeight="1" x14ac:dyDescent="0.25">
      <c r="A127" s="7" t="s">
        <v>58</v>
      </c>
      <c r="B127" s="2" t="s">
        <v>1687</v>
      </c>
      <c r="C127" s="2" t="s">
        <v>1688</v>
      </c>
      <c r="D127" s="2" t="s">
        <v>1689</v>
      </c>
      <c r="E127" s="3" t="s">
        <v>258</v>
      </c>
      <c r="F127" s="3" t="s">
        <v>85</v>
      </c>
      <c r="G127" s="3" t="s">
        <v>59</v>
      </c>
      <c r="H127" s="3" t="s">
        <v>58</v>
      </c>
      <c r="I127" s="3" t="s">
        <v>58</v>
      </c>
      <c r="J127" s="3" t="s">
        <v>60</v>
      </c>
      <c r="L127" s="2" t="s">
        <v>1690</v>
      </c>
      <c r="M127" s="3" t="s">
        <v>197</v>
      </c>
      <c r="O127" s="3" t="s">
        <v>64</v>
      </c>
      <c r="P127" s="3" t="s">
        <v>65</v>
      </c>
      <c r="R127" s="3" t="s">
        <v>66</v>
      </c>
      <c r="S127" s="4">
        <v>15</v>
      </c>
      <c r="T127" s="4">
        <v>27</v>
      </c>
      <c r="U127" s="5" t="s">
        <v>1692</v>
      </c>
      <c r="V127" s="5" t="s">
        <v>1692</v>
      </c>
      <c r="W127" s="5" t="s">
        <v>1693</v>
      </c>
      <c r="X127" s="5" t="s">
        <v>1693</v>
      </c>
      <c r="Y127" s="4">
        <v>173</v>
      </c>
      <c r="Z127" s="4">
        <v>134</v>
      </c>
      <c r="AA127" s="4">
        <v>138</v>
      </c>
      <c r="AB127" s="4">
        <v>1</v>
      </c>
      <c r="AC127" s="4">
        <v>1</v>
      </c>
      <c r="AD127" s="4">
        <v>2</v>
      </c>
      <c r="AE127" s="4">
        <v>2</v>
      </c>
      <c r="AF127" s="4">
        <v>0</v>
      </c>
      <c r="AG127" s="4">
        <v>0</v>
      </c>
      <c r="AH127" s="4">
        <v>2</v>
      </c>
      <c r="AI127" s="4">
        <v>2</v>
      </c>
      <c r="AJ127" s="4">
        <v>1</v>
      </c>
      <c r="AK127" s="4">
        <v>1</v>
      </c>
      <c r="AL127" s="4">
        <v>0</v>
      </c>
      <c r="AM127" s="4">
        <v>0</v>
      </c>
      <c r="AN127" s="4">
        <v>0</v>
      </c>
      <c r="AO127" s="4">
        <v>0</v>
      </c>
      <c r="AP127" s="3" t="s">
        <v>58</v>
      </c>
      <c r="AQ127" s="3" t="s">
        <v>85</v>
      </c>
      <c r="AR127" s="6" t="str">
        <f>HYPERLINK("http://catalog.hathitrust.org/Record/008990297","HathiTrust Record")</f>
        <v>HathiTrust Record</v>
      </c>
      <c r="AS127" s="6" t="str">
        <f>HYPERLINK("https://creighton-primo.hosted.exlibrisgroup.com/primo-explore/search?tab=default_tab&amp;search_scope=EVERYTHING&amp;vid=01CRU&amp;lang=en_US&amp;offset=0&amp;query=any,contains,991001184219702656","Catalog Record")</f>
        <v>Catalog Record</v>
      </c>
      <c r="AT127" s="6" t="str">
        <f>HYPERLINK("http://www.worldcat.org/oclc/16524269","WorldCat Record")</f>
        <v>WorldCat Record</v>
      </c>
      <c r="AU127" s="3" t="s">
        <v>1694</v>
      </c>
      <c r="AV127" s="3" t="s">
        <v>1695</v>
      </c>
      <c r="AW127" s="3" t="s">
        <v>1696</v>
      </c>
      <c r="AX127" s="3" t="s">
        <v>1696</v>
      </c>
      <c r="AY127" s="3" t="s">
        <v>1697</v>
      </c>
      <c r="AZ127" s="3" t="s">
        <v>73</v>
      </c>
      <c r="BB127" s="3" t="s">
        <v>1698</v>
      </c>
      <c r="BC127" s="3" t="s">
        <v>1701</v>
      </c>
      <c r="BD127" s="3" t="s">
        <v>1702</v>
      </c>
    </row>
    <row r="128" spans="1:56" ht="40.5" customHeight="1" x14ac:dyDescent="0.25">
      <c r="A128" s="7" t="s">
        <v>58</v>
      </c>
      <c r="B128" s="2" t="s">
        <v>1687</v>
      </c>
      <c r="C128" s="2" t="s">
        <v>1688</v>
      </c>
      <c r="D128" s="2" t="s">
        <v>1689</v>
      </c>
      <c r="E128" s="3" t="s">
        <v>108</v>
      </c>
      <c r="F128" s="3" t="s">
        <v>85</v>
      </c>
      <c r="G128" s="3" t="s">
        <v>59</v>
      </c>
      <c r="H128" s="3" t="s">
        <v>58</v>
      </c>
      <c r="I128" s="3" t="s">
        <v>58</v>
      </c>
      <c r="J128" s="3" t="s">
        <v>60</v>
      </c>
      <c r="L128" s="2" t="s">
        <v>1690</v>
      </c>
      <c r="M128" s="3" t="s">
        <v>197</v>
      </c>
      <c r="O128" s="3" t="s">
        <v>64</v>
      </c>
      <c r="P128" s="3" t="s">
        <v>65</v>
      </c>
      <c r="R128" s="3" t="s">
        <v>66</v>
      </c>
      <c r="S128" s="4">
        <v>6</v>
      </c>
      <c r="T128" s="4">
        <v>27</v>
      </c>
      <c r="U128" s="5" t="s">
        <v>1691</v>
      </c>
      <c r="V128" s="5" t="s">
        <v>1692</v>
      </c>
      <c r="W128" s="5" t="s">
        <v>1693</v>
      </c>
      <c r="X128" s="5" t="s">
        <v>1693</v>
      </c>
      <c r="Y128" s="4">
        <v>173</v>
      </c>
      <c r="Z128" s="4">
        <v>134</v>
      </c>
      <c r="AA128" s="4">
        <v>138</v>
      </c>
      <c r="AB128" s="4">
        <v>1</v>
      </c>
      <c r="AC128" s="4">
        <v>1</v>
      </c>
      <c r="AD128" s="4">
        <v>2</v>
      </c>
      <c r="AE128" s="4">
        <v>2</v>
      </c>
      <c r="AF128" s="4">
        <v>0</v>
      </c>
      <c r="AG128" s="4">
        <v>0</v>
      </c>
      <c r="AH128" s="4">
        <v>2</v>
      </c>
      <c r="AI128" s="4">
        <v>2</v>
      </c>
      <c r="AJ128" s="4">
        <v>1</v>
      </c>
      <c r="AK128" s="4">
        <v>1</v>
      </c>
      <c r="AL128" s="4">
        <v>0</v>
      </c>
      <c r="AM128" s="4">
        <v>0</v>
      </c>
      <c r="AN128" s="4">
        <v>0</v>
      </c>
      <c r="AO128" s="4">
        <v>0</v>
      </c>
      <c r="AP128" s="3" t="s">
        <v>58</v>
      </c>
      <c r="AQ128" s="3" t="s">
        <v>85</v>
      </c>
      <c r="AR128" s="6" t="str">
        <f>HYPERLINK("http://catalog.hathitrust.org/Record/008990297","HathiTrust Record")</f>
        <v>HathiTrust Record</v>
      </c>
      <c r="AS128" s="6" t="str">
        <f>HYPERLINK("https://creighton-primo.hosted.exlibrisgroup.com/primo-explore/search?tab=default_tab&amp;search_scope=EVERYTHING&amp;vid=01CRU&amp;lang=en_US&amp;offset=0&amp;query=any,contains,991001184219702656","Catalog Record")</f>
        <v>Catalog Record</v>
      </c>
      <c r="AT128" s="6" t="str">
        <f>HYPERLINK("http://www.worldcat.org/oclc/16524269","WorldCat Record")</f>
        <v>WorldCat Record</v>
      </c>
      <c r="AU128" s="3" t="s">
        <v>1694</v>
      </c>
      <c r="AV128" s="3" t="s">
        <v>1695</v>
      </c>
      <c r="AW128" s="3" t="s">
        <v>1696</v>
      </c>
      <c r="AX128" s="3" t="s">
        <v>1696</v>
      </c>
      <c r="AY128" s="3" t="s">
        <v>1697</v>
      </c>
      <c r="AZ128" s="3" t="s">
        <v>73</v>
      </c>
      <c r="BB128" s="3" t="s">
        <v>1698</v>
      </c>
      <c r="BC128" s="3" t="s">
        <v>1703</v>
      </c>
      <c r="BD128" s="3" t="s">
        <v>1704</v>
      </c>
    </row>
    <row r="129" spans="1:56" ht="40.5" customHeight="1" x14ac:dyDescent="0.25">
      <c r="A129" s="7" t="s">
        <v>58</v>
      </c>
      <c r="B129" s="2" t="s">
        <v>1705</v>
      </c>
      <c r="C129" s="2" t="s">
        <v>1706</v>
      </c>
      <c r="D129" s="2" t="s">
        <v>1689</v>
      </c>
      <c r="E129" s="3" t="s">
        <v>1707</v>
      </c>
      <c r="F129" s="3" t="s">
        <v>85</v>
      </c>
      <c r="G129" s="3" t="s">
        <v>59</v>
      </c>
      <c r="H129" s="3" t="s">
        <v>58</v>
      </c>
      <c r="I129" s="3" t="s">
        <v>58</v>
      </c>
      <c r="J129" s="3" t="s">
        <v>60</v>
      </c>
      <c r="L129" s="2" t="s">
        <v>1564</v>
      </c>
      <c r="M129" s="3" t="s">
        <v>614</v>
      </c>
      <c r="O129" s="3" t="s">
        <v>64</v>
      </c>
      <c r="P129" s="3" t="s">
        <v>886</v>
      </c>
      <c r="R129" s="3" t="s">
        <v>66</v>
      </c>
      <c r="S129" s="4">
        <v>14</v>
      </c>
      <c r="T129" s="4">
        <v>14</v>
      </c>
      <c r="U129" s="5" t="s">
        <v>1708</v>
      </c>
      <c r="V129" s="5" t="s">
        <v>1708</v>
      </c>
      <c r="W129" s="5" t="s">
        <v>1709</v>
      </c>
      <c r="X129" s="5" t="s">
        <v>1709</v>
      </c>
      <c r="Y129" s="4">
        <v>173</v>
      </c>
      <c r="Z129" s="4">
        <v>134</v>
      </c>
      <c r="AA129" s="4">
        <v>138</v>
      </c>
      <c r="AB129" s="4">
        <v>1</v>
      </c>
      <c r="AC129" s="4">
        <v>1</v>
      </c>
      <c r="AD129" s="4">
        <v>2</v>
      </c>
      <c r="AE129" s="4">
        <v>2</v>
      </c>
      <c r="AF129" s="4">
        <v>0</v>
      </c>
      <c r="AG129" s="4">
        <v>0</v>
      </c>
      <c r="AH129" s="4">
        <v>2</v>
      </c>
      <c r="AI129" s="4">
        <v>2</v>
      </c>
      <c r="AJ129" s="4">
        <v>1</v>
      </c>
      <c r="AK129" s="4">
        <v>1</v>
      </c>
      <c r="AL129" s="4">
        <v>0</v>
      </c>
      <c r="AM129" s="4">
        <v>0</v>
      </c>
      <c r="AN129" s="4">
        <v>0</v>
      </c>
      <c r="AO129" s="4">
        <v>0</v>
      </c>
      <c r="AP129" s="3" t="s">
        <v>58</v>
      </c>
      <c r="AQ129" s="3" t="s">
        <v>85</v>
      </c>
      <c r="AR129" s="6" t="str">
        <f>HYPERLINK("http://catalog.hathitrust.org/Record/008990297","HathiTrust Record")</f>
        <v>HathiTrust Record</v>
      </c>
      <c r="AS129" s="6" t="str">
        <f>HYPERLINK("https://creighton-primo.hosted.exlibrisgroup.com/primo-explore/search?tab=default_tab&amp;search_scope=EVERYTHING&amp;vid=01CRU&amp;lang=en_US&amp;offset=0&amp;query=any,contains,991001246289702656","Catalog Record")</f>
        <v>Catalog Record</v>
      </c>
      <c r="AT129" s="6" t="str">
        <f>HYPERLINK("http://www.worldcat.org/oclc/16524269","WorldCat Record")</f>
        <v>WorldCat Record</v>
      </c>
      <c r="AU129" s="3" t="s">
        <v>1694</v>
      </c>
      <c r="AV129" s="3" t="s">
        <v>1695</v>
      </c>
      <c r="AW129" s="3" t="s">
        <v>1710</v>
      </c>
      <c r="AX129" s="3" t="s">
        <v>1710</v>
      </c>
      <c r="AY129" s="3" t="s">
        <v>1711</v>
      </c>
      <c r="AZ129" s="3" t="s">
        <v>73</v>
      </c>
      <c r="BB129" s="3" t="s">
        <v>1698</v>
      </c>
      <c r="BC129" s="3" t="s">
        <v>1712</v>
      </c>
      <c r="BD129" s="3" t="s">
        <v>1713</v>
      </c>
    </row>
    <row r="130" spans="1:56" ht="40.5" customHeight="1" x14ac:dyDescent="0.25">
      <c r="A130" s="7" t="s">
        <v>58</v>
      </c>
      <c r="B130" s="2" t="s">
        <v>1714</v>
      </c>
      <c r="C130" s="2" t="s">
        <v>1715</v>
      </c>
      <c r="D130" s="2" t="s">
        <v>1716</v>
      </c>
      <c r="F130" s="3" t="s">
        <v>58</v>
      </c>
      <c r="G130" s="3" t="s">
        <v>59</v>
      </c>
      <c r="H130" s="3" t="s">
        <v>58</v>
      </c>
      <c r="I130" s="3" t="s">
        <v>58</v>
      </c>
      <c r="J130" s="3" t="s">
        <v>60</v>
      </c>
      <c r="L130" s="2" t="s">
        <v>1717</v>
      </c>
      <c r="M130" s="3" t="s">
        <v>116</v>
      </c>
      <c r="O130" s="3" t="s">
        <v>64</v>
      </c>
      <c r="P130" s="3" t="s">
        <v>886</v>
      </c>
      <c r="R130" s="3" t="s">
        <v>66</v>
      </c>
      <c r="S130" s="4">
        <v>3</v>
      </c>
      <c r="T130" s="4">
        <v>3</v>
      </c>
      <c r="U130" s="5" t="s">
        <v>1718</v>
      </c>
      <c r="V130" s="5" t="s">
        <v>1718</v>
      </c>
      <c r="W130" s="5" t="s">
        <v>1719</v>
      </c>
      <c r="X130" s="5" t="s">
        <v>1719</v>
      </c>
      <c r="Y130" s="4">
        <v>75</v>
      </c>
      <c r="Z130" s="4">
        <v>59</v>
      </c>
      <c r="AA130" s="4">
        <v>65</v>
      </c>
      <c r="AB130" s="4">
        <v>1</v>
      </c>
      <c r="AC130" s="4">
        <v>1</v>
      </c>
      <c r="AD130" s="4">
        <v>1</v>
      </c>
      <c r="AE130" s="4">
        <v>1</v>
      </c>
      <c r="AF130" s="4">
        <v>0</v>
      </c>
      <c r="AG130" s="4">
        <v>0</v>
      </c>
      <c r="AH130" s="4">
        <v>1</v>
      </c>
      <c r="AI130" s="4">
        <v>1</v>
      </c>
      <c r="AJ130" s="4">
        <v>0</v>
      </c>
      <c r="AK130" s="4">
        <v>0</v>
      </c>
      <c r="AL130" s="4">
        <v>0</v>
      </c>
      <c r="AM130" s="4">
        <v>0</v>
      </c>
      <c r="AN130" s="4">
        <v>0</v>
      </c>
      <c r="AO130" s="4">
        <v>0</v>
      </c>
      <c r="AP130" s="3" t="s">
        <v>58</v>
      </c>
      <c r="AQ130" s="3" t="s">
        <v>85</v>
      </c>
      <c r="AR130" s="6" t="str">
        <f>HYPERLINK("http://catalog.hathitrust.org/Record/002572038","HathiTrust Record")</f>
        <v>HathiTrust Record</v>
      </c>
      <c r="AS130" s="6" t="str">
        <f>HYPERLINK("https://creighton-primo.hosted.exlibrisgroup.com/primo-explore/search?tab=default_tab&amp;search_scope=EVERYTHING&amp;vid=01CRU&amp;lang=en_US&amp;offset=0&amp;query=any,contains,991001349489702656","Catalog Record")</f>
        <v>Catalog Record</v>
      </c>
      <c r="AT130" s="6" t="str">
        <f>HYPERLINK("http://www.worldcat.org/oclc/25025099","WorldCat Record")</f>
        <v>WorldCat Record</v>
      </c>
      <c r="AU130" s="3" t="s">
        <v>1720</v>
      </c>
      <c r="AV130" s="3" t="s">
        <v>1721</v>
      </c>
      <c r="AW130" s="3" t="s">
        <v>1722</v>
      </c>
      <c r="AX130" s="3" t="s">
        <v>1722</v>
      </c>
      <c r="AY130" s="3" t="s">
        <v>1723</v>
      </c>
      <c r="AZ130" s="3" t="s">
        <v>73</v>
      </c>
      <c r="BB130" s="3" t="s">
        <v>1724</v>
      </c>
      <c r="BC130" s="3" t="s">
        <v>1725</v>
      </c>
      <c r="BD130" s="3" t="s">
        <v>1726</v>
      </c>
    </row>
    <row r="131" spans="1:56" ht="40.5" customHeight="1" x14ac:dyDescent="0.25">
      <c r="A131" s="7" t="s">
        <v>58</v>
      </c>
      <c r="B131" s="2" t="s">
        <v>1727</v>
      </c>
      <c r="C131" s="2" t="s">
        <v>1728</v>
      </c>
      <c r="D131" s="2" t="s">
        <v>1729</v>
      </c>
      <c r="F131" s="3" t="s">
        <v>58</v>
      </c>
      <c r="G131" s="3" t="s">
        <v>59</v>
      </c>
      <c r="H131" s="3" t="s">
        <v>58</v>
      </c>
      <c r="I131" s="3" t="s">
        <v>58</v>
      </c>
      <c r="J131" s="3" t="s">
        <v>59</v>
      </c>
      <c r="K131" s="2" t="s">
        <v>1730</v>
      </c>
      <c r="L131" s="2" t="s">
        <v>1252</v>
      </c>
      <c r="M131" s="3" t="s">
        <v>365</v>
      </c>
      <c r="O131" s="3" t="s">
        <v>64</v>
      </c>
      <c r="P131" s="3" t="s">
        <v>117</v>
      </c>
      <c r="Q131" s="2" t="s">
        <v>1253</v>
      </c>
      <c r="R131" s="3" t="s">
        <v>66</v>
      </c>
      <c r="S131" s="4">
        <v>14</v>
      </c>
      <c r="T131" s="4">
        <v>14</v>
      </c>
      <c r="U131" s="5" t="s">
        <v>1731</v>
      </c>
      <c r="V131" s="5" t="s">
        <v>1731</v>
      </c>
      <c r="W131" s="5" t="s">
        <v>1732</v>
      </c>
      <c r="X131" s="5" t="s">
        <v>1732</v>
      </c>
      <c r="Y131" s="4">
        <v>283</v>
      </c>
      <c r="Z131" s="4">
        <v>193</v>
      </c>
      <c r="AA131" s="4">
        <v>505</v>
      </c>
      <c r="AB131" s="4">
        <v>2</v>
      </c>
      <c r="AC131" s="4">
        <v>4</v>
      </c>
      <c r="AD131" s="4">
        <v>5</v>
      </c>
      <c r="AE131" s="4">
        <v>17</v>
      </c>
      <c r="AF131" s="4">
        <v>0</v>
      </c>
      <c r="AG131" s="4">
        <v>4</v>
      </c>
      <c r="AH131" s="4">
        <v>2</v>
      </c>
      <c r="AI131" s="4">
        <v>4</v>
      </c>
      <c r="AJ131" s="4">
        <v>4</v>
      </c>
      <c r="AK131" s="4">
        <v>12</v>
      </c>
      <c r="AL131" s="4">
        <v>1</v>
      </c>
      <c r="AM131" s="4">
        <v>2</v>
      </c>
      <c r="AN131" s="4">
        <v>0</v>
      </c>
      <c r="AO131" s="4">
        <v>0</v>
      </c>
      <c r="AP131" s="3" t="s">
        <v>58</v>
      </c>
      <c r="AQ131" s="3" t="s">
        <v>85</v>
      </c>
      <c r="AR131" s="6" t="str">
        <f>HYPERLINK("http://catalog.hathitrust.org/Record/002810100","HathiTrust Record")</f>
        <v>HathiTrust Record</v>
      </c>
      <c r="AS131" s="6" t="str">
        <f>HYPERLINK("https://creighton-primo.hosted.exlibrisgroup.com/primo-explore/search?tab=default_tab&amp;search_scope=EVERYTHING&amp;vid=01CRU&amp;lang=en_US&amp;offset=0&amp;query=any,contains,991001195299702656","Catalog Record")</f>
        <v>Catalog Record</v>
      </c>
      <c r="AT131" s="6" t="str">
        <f>HYPERLINK("http://www.worldcat.org/oclc/28710276","WorldCat Record")</f>
        <v>WorldCat Record</v>
      </c>
      <c r="AU131" s="3" t="s">
        <v>1733</v>
      </c>
      <c r="AV131" s="3" t="s">
        <v>1734</v>
      </c>
      <c r="AW131" s="3" t="s">
        <v>1735</v>
      </c>
      <c r="AX131" s="3" t="s">
        <v>1735</v>
      </c>
      <c r="AY131" s="3" t="s">
        <v>1736</v>
      </c>
      <c r="AZ131" s="3" t="s">
        <v>73</v>
      </c>
      <c r="BB131" s="3" t="s">
        <v>1737</v>
      </c>
      <c r="BC131" s="3" t="s">
        <v>1738</v>
      </c>
      <c r="BD131" s="3" t="s">
        <v>1739</v>
      </c>
    </row>
    <row r="132" spans="1:56" ht="40.5" customHeight="1" x14ac:dyDescent="0.25">
      <c r="A132" s="7" t="s">
        <v>58</v>
      </c>
      <c r="B132" s="2" t="s">
        <v>1740</v>
      </c>
      <c r="C132" s="2" t="s">
        <v>1741</v>
      </c>
      <c r="D132" s="2" t="s">
        <v>1742</v>
      </c>
      <c r="F132" s="3" t="s">
        <v>58</v>
      </c>
      <c r="G132" s="3" t="s">
        <v>59</v>
      </c>
      <c r="H132" s="3" t="s">
        <v>58</v>
      </c>
      <c r="I132" s="3" t="s">
        <v>58</v>
      </c>
      <c r="J132" s="3" t="s">
        <v>60</v>
      </c>
      <c r="K132" s="2" t="s">
        <v>1743</v>
      </c>
      <c r="L132" s="2" t="s">
        <v>1744</v>
      </c>
      <c r="M132" s="3" t="s">
        <v>496</v>
      </c>
      <c r="O132" s="3" t="s">
        <v>64</v>
      </c>
      <c r="P132" s="3" t="s">
        <v>135</v>
      </c>
      <c r="R132" s="3" t="s">
        <v>66</v>
      </c>
      <c r="S132" s="4">
        <v>4</v>
      </c>
      <c r="T132" s="4">
        <v>4</v>
      </c>
      <c r="U132" s="5" t="s">
        <v>1745</v>
      </c>
      <c r="V132" s="5" t="s">
        <v>1745</v>
      </c>
      <c r="W132" s="5" t="s">
        <v>290</v>
      </c>
      <c r="X132" s="5" t="s">
        <v>290</v>
      </c>
      <c r="Y132" s="4">
        <v>315</v>
      </c>
      <c r="Z132" s="4">
        <v>248</v>
      </c>
      <c r="AA132" s="4">
        <v>249</v>
      </c>
      <c r="AB132" s="4">
        <v>3</v>
      </c>
      <c r="AC132" s="4">
        <v>3</v>
      </c>
      <c r="AD132" s="4">
        <v>12</v>
      </c>
      <c r="AE132" s="4">
        <v>12</v>
      </c>
      <c r="AF132" s="4">
        <v>1</v>
      </c>
      <c r="AG132" s="4">
        <v>1</v>
      </c>
      <c r="AH132" s="4">
        <v>6</v>
      </c>
      <c r="AI132" s="4">
        <v>6</v>
      </c>
      <c r="AJ132" s="4">
        <v>5</v>
      </c>
      <c r="AK132" s="4">
        <v>5</v>
      </c>
      <c r="AL132" s="4">
        <v>2</v>
      </c>
      <c r="AM132" s="4">
        <v>2</v>
      </c>
      <c r="AN132" s="4">
        <v>0</v>
      </c>
      <c r="AO132" s="4">
        <v>0</v>
      </c>
      <c r="AP132" s="3" t="s">
        <v>58</v>
      </c>
      <c r="AQ132" s="3" t="s">
        <v>85</v>
      </c>
      <c r="AR132" s="6" t="str">
        <f>HYPERLINK("http://catalog.hathitrust.org/Record/000327659","HathiTrust Record")</f>
        <v>HathiTrust Record</v>
      </c>
      <c r="AS132" s="6" t="str">
        <f>HYPERLINK("https://creighton-primo.hosted.exlibrisgroup.com/primo-explore/search?tab=default_tab&amp;search_scope=EVERYTHING&amp;vid=01CRU&amp;lang=en_US&amp;offset=0&amp;query=any,contains,991000896879702656","Catalog Record")</f>
        <v>Catalog Record</v>
      </c>
      <c r="AT132" s="6" t="str">
        <f>HYPERLINK("http://www.worldcat.org/oclc/9920222","WorldCat Record")</f>
        <v>WorldCat Record</v>
      </c>
      <c r="AU132" s="3" t="s">
        <v>1746</v>
      </c>
      <c r="AV132" s="3" t="s">
        <v>1747</v>
      </c>
      <c r="AW132" s="3" t="s">
        <v>1748</v>
      </c>
      <c r="AX132" s="3" t="s">
        <v>1748</v>
      </c>
      <c r="AY132" s="3" t="s">
        <v>1749</v>
      </c>
      <c r="AZ132" s="3" t="s">
        <v>73</v>
      </c>
      <c r="BB132" s="3" t="s">
        <v>1750</v>
      </c>
      <c r="BC132" s="3" t="s">
        <v>1751</v>
      </c>
      <c r="BD132" s="3" t="s">
        <v>1752</v>
      </c>
    </row>
    <row r="133" spans="1:56" ht="40.5" customHeight="1" x14ac:dyDescent="0.25">
      <c r="A133" s="7" t="s">
        <v>58</v>
      </c>
      <c r="B133" s="2" t="s">
        <v>1753</v>
      </c>
      <c r="C133" s="2" t="s">
        <v>1754</v>
      </c>
      <c r="D133" s="2" t="s">
        <v>1755</v>
      </c>
      <c r="F133" s="3" t="s">
        <v>58</v>
      </c>
      <c r="G133" s="3" t="s">
        <v>59</v>
      </c>
      <c r="H133" s="3" t="s">
        <v>58</v>
      </c>
      <c r="I133" s="3" t="s">
        <v>58</v>
      </c>
      <c r="J133" s="3" t="s">
        <v>60</v>
      </c>
      <c r="K133" s="2" t="s">
        <v>1756</v>
      </c>
      <c r="L133" s="2" t="s">
        <v>1757</v>
      </c>
      <c r="M133" s="3" t="s">
        <v>1267</v>
      </c>
      <c r="O133" s="3" t="s">
        <v>64</v>
      </c>
      <c r="P133" s="3" t="s">
        <v>117</v>
      </c>
      <c r="R133" s="3" t="s">
        <v>66</v>
      </c>
      <c r="S133" s="4">
        <v>11</v>
      </c>
      <c r="T133" s="4">
        <v>11</v>
      </c>
      <c r="U133" s="5" t="s">
        <v>1758</v>
      </c>
      <c r="V133" s="5" t="s">
        <v>1758</v>
      </c>
      <c r="W133" s="5" t="s">
        <v>1759</v>
      </c>
      <c r="X133" s="5" t="s">
        <v>1759</v>
      </c>
      <c r="Y133" s="4">
        <v>566</v>
      </c>
      <c r="Z133" s="4">
        <v>375</v>
      </c>
      <c r="AA133" s="4">
        <v>389</v>
      </c>
      <c r="AB133" s="4">
        <v>3</v>
      </c>
      <c r="AC133" s="4">
        <v>3</v>
      </c>
      <c r="AD133" s="4">
        <v>23</v>
      </c>
      <c r="AE133" s="4">
        <v>24</v>
      </c>
      <c r="AF133" s="4">
        <v>7</v>
      </c>
      <c r="AG133" s="4">
        <v>8</v>
      </c>
      <c r="AH133" s="4">
        <v>7</v>
      </c>
      <c r="AI133" s="4">
        <v>7</v>
      </c>
      <c r="AJ133" s="4">
        <v>12</v>
      </c>
      <c r="AK133" s="4">
        <v>12</v>
      </c>
      <c r="AL133" s="4">
        <v>2</v>
      </c>
      <c r="AM133" s="4">
        <v>2</v>
      </c>
      <c r="AN133" s="4">
        <v>0</v>
      </c>
      <c r="AO133" s="4">
        <v>0</v>
      </c>
      <c r="AP133" s="3" t="s">
        <v>58</v>
      </c>
      <c r="AQ133" s="3" t="s">
        <v>58</v>
      </c>
      <c r="AS133" s="6" t="str">
        <f>HYPERLINK("https://creighton-primo.hosted.exlibrisgroup.com/primo-explore/search?tab=default_tab&amp;search_scope=EVERYTHING&amp;vid=01CRU&amp;lang=en_US&amp;offset=0&amp;query=any,contains,991001445879702656","Catalog Record")</f>
        <v>Catalog Record</v>
      </c>
      <c r="AT133" s="6" t="str">
        <f>HYPERLINK("http://www.worldcat.org/oclc/39606488","WorldCat Record")</f>
        <v>WorldCat Record</v>
      </c>
      <c r="AU133" s="3" t="s">
        <v>1760</v>
      </c>
      <c r="AV133" s="3" t="s">
        <v>1761</v>
      </c>
      <c r="AW133" s="3" t="s">
        <v>1762</v>
      </c>
      <c r="AX133" s="3" t="s">
        <v>1762</v>
      </c>
      <c r="AY133" s="3" t="s">
        <v>1763</v>
      </c>
      <c r="AZ133" s="3" t="s">
        <v>73</v>
      </c>
      <c r="BB133" s="3" t="s">
        <v>1764</v>
      </c>
      <c r="BC133" s="3" t="s">
        <v>1765</v>
      </c>
      <c r="BD133" s="3" t="s">
        <v>1766</v>
      </c>
    </row>
    <row r="134" spans="1:56" ht="40.5" customHeight="1" x14ac:dyDescent="0.25">
      <c r="A134" s="7" t="s">
        <v>58</v>
      </c>
      <c r="B134" s="2" t="s">
        <v>1767</v>
      </c>
      <c r="C134" s="2" t="s">
        <v>1768</v>
      </c>
      <c r="D134" s="2" t="s">
        <v>1769</v>
      </c>
      <c r="F134" s="3" t="s">
        <v>58</v>
      </c>
      <c r="G134" s="3" t="s">
        <v>59</v>
      </c>
      <c r="H134" s="3" t="s">
        <v>58</v>
      </c>
      <c r="I134" s="3" t="s">
        <v>58</v>
      </c>
      <c r="J134" s="3" t="s">
        <v>60</v>
      </c>
      <c r="L134" s="2" t="s">
        <v>1770</v>
      </c>
      <c r="M134" s="3" t="s">
        <v>726</v>
      </c>
      <c r="O134" s="3" t="s">
        <v>64</v>
      </c>
      <c r="P134" s="3" t="s">
        <v>65</v>
      </c>
      <c r="Q134" s="2" t="s">
        <v>1771</v>
      </c>
      <c r="R134" s="3" t="s">
        <v>66</v>
      </c>
      <c r="S134" s="4">
        <v>7</v>
      </c>
      <c r="T134" s="4">
        <v>7</v>
      </c>
      <c r="U134" s="5" t="s">
        <v>1772</v>
      </c>
      <c r="V134" s="5" t="s">
        <v>1772</v>
      </c>
      <c r="W134" s="5" t="s">
        <v>1773</v>
      </c>
      <c r="X134" s="5" t="s">
        <v>1773</v>
      </c>
      <c r="Y134" s="4">
        <v>162</v>
      </c>
      <c r="Z134" s="4">
        <v>111</v>
      </c>
      <c r="AA134" s="4">
        <v>113</v>
      </c>
      <c r="AB134" s="4">
        <v>1</v>
      </c>
      <c r="AC134" s="4">
        <v>1</v>
      </c>
      <c r="AD134" s="4">
        <v>5</v>
      </c>
      <c r="AE134" s="4">
        <v>5</v>
      </c>
      <c r="AF134" s="4">
        <v>2</v>
      </c>
      <c r="AG134" s="4">
        <v>2</v>
      </c>
      <c r="AH134" s="4">
        <v>2</v>
      </c>
      <c r="AI134" s="4">
        <v>2</v>
      </c>
      <c r="AJ134" s="4">
        <v>2</v>
      </c>
      <c r="AK134" s="4">
        <v>2</v>
      </c>
      <c r="AL134" s="4">
        <v>0</v>
      </c>
      <c r="AM134" s="4">
        <v>0</v>
      </c>
      <c r="AN134" s="4">
        <v>0</v>
      </c>
      <c r="AO134" s="4">
        <v>0</v>
      </c>
      <c r="AP134" s="3" t="s">
        <v>58</v>
      </c>
      <c r="AQ134" s="3" t="s">
        <v>58</v>
      </c>
      <c r="AS134" s="6" t="str">
        <f>HYPERLINK("https://creighton-primo.hosted.exlibrisgroup.com/primo-explore/search?tab=default_tab&amp;search_scope=EVERYTHING&amp;vid=01CRU&amp;lang=en_US&amp;offset=0&amp;query=any,contains,991000819309702656","Catalog Record")</f>
        <v>Catalog Record</v>
      </c>
      <c r="AT134" s="6" t="str">
        <f>HYPERLINK("http://www.worldcat.org/oclc/21597598","WorldCat Record")</f>
        <v>WorldCat Record</v>
      </c>
      <c r="AU134" s="3" t="s">
        <v>1774</v>
      </c>
      <c r="AV134" s="3" t="s">
        <v>1775</v>
      </c>
      <c r="AW134" s="3" t="s">
        <v>1776</v>
      </c>
      <c r="AX134" s="3" t="s">
        <v>1776</v>
      </c>
      <c r="AY134" s="3" t="s">
        <v>1777</v>
      </c>
      <c r="AZ134" s="3" t="s">
        <v>73</v>
      </c>
      <c r="BB134" s="3" t="s">
        <v>1778</v>
      </c>
      <c r="BC134" s="3" t="s">
        <v>1779</v>
      </c>
      <c r="BD134" s="3" t="s">
        <v>1780</v>
      </c>
    </row>
    <row r="135" spans="1:56" ht="40.5" customHeight="1" x14ac:dyDescent="0.25">
      <c r="A135" s="7" t="s">
        <v>58</v>
      </c>
      <c r="B135" s="2" t="s">
        <v>1781</v>
      </c>
      <c r="C135" s="2" t="s">
        <v>1782</v>
      </c>
      <c r="D135" s="2" t="s">
        <v>1783</v>
      </c>
      <c r="F135" s="3" t="s">
        <v>58</v>
      </c>
      <c r="G135" s="3" t="s">
        <v>59</v>
      </c>
      <c r="H135" s="3" t="s">
        <v>58</v>
      </c>
      <c r="I135" s="3" t="s">
        <v>58</v>
      </c>
      <c r="J135" s="3" t="s">
        <v>60</v>
      </c>
      <c r="L135" s="2" t="s">
        <v>1784</v>
      </c>
      <c r="M135" s="3" t="s">
        <v>365</v>
      </c>
      <c r="O135" s="3" t="s">
        <v>64</v>
      </c>
      <c r="P135" s="3" t="s">
        <v>1785</v>
      </c>
      <c r="Q135" s="2" t="s">
        <v>1786</v>
      </c>
      <c r="R135" s="3" t="s">
        <v>66</v>
      </c>
      <c r="S135" s="4">
        <v>2</v>
      </c>
      <c r="T135" s="4">
        <v>2</v>
      </c>
      <c r="U135" s="5" t="s">
        <v>1787</v>
      </c>
      <c r="V135" s="5" t="s">
        <v>1787</v>
      </c>
      <c r="W135" s="5" t="s">
        <v>1788</v>
      </c>
      <c r="X135" s="5" t="s">
        <v>1788</v>
      </c>
      <c r="Y135" s="4">
        <v>140</v>
      </c>
      <c r="Z135" s="4">
        <v>106</v>
      </c>
      <c r="AA135" s="4">
        <v>108</v>
      </c>
      <c r="AB135" s="4">
        <v>1</v>
      </c>
      <c r="AC135" s="4">
        <v>1</v>
      </c>
      <c r="AD135" s="4">
        <v>1</v>
      </c>
      <c r="AE135" s="4">
        <v>1</v>
      </c>
      <c r="AF135" s="4">
        <v>0</v>
      </c>
      <c r="AG135" s="4">
        <v>0</v>
      </c>
      <c r="AH135" s="4">
        <v>1</v>
      </c>
      <c r="AI135" s="4">
        <v>1</v>
      </c>
      <c r="AJ135" s="4">
        <v>1</v>
      </c>
      <c r="AK135" s="4">
        <v>1</v>
      </c>
      <c r="AL135" s="4">
        <v>0</v>
      </c>
      <c r="AM135" s="4">
        <v>0</v>
      </c>
      <c r="AN135" s="4">
        <v>0</v>
      </c>
      <c r="AO135" s="4">
        <v>0</v>
      </c>
      <c r="AP135" s="3" t="s">
        <v>58</v>
      </c>
      <c r="AQ135" s="3" t="s">
        <v>85</v>
      </c>
      <c r="AR135" s="6" t="str">
        <f>HYPERLINK("http://catalog.hathitrust.org/Record/002889799","HathiTrust Record")</f>
        <v>HathiTrust Record</v>
      </c>
      <c r="AS135" s="6" t="str">
        <f>HYPERLINK("https://creighton-primo.hosted.exlibrisgroup.com/primo-explore/search?tab=default_tab&amp;search_scope=EVERYTHING&amp;vid=01CRU&amp;lang=en_US&amp;offset=0&amp;query=any,contains,991001393679702656","Catalog Record")</f>
        <v>Catalog Record</v>
      </c>
      <c r="AT135" s="6" t="str">
        <f>HYPERLINK("http://www.worldcat.org/oclc/30474067","WorldCat Record")</f>
        <v>WorldCat Record</v>
      </c>
      <c r="AU135" s="3" t="s">
        <v>1789</v>
      </c>
      <c r="AV135" s="3" t="s">
        <v>1790</v>
      </c>
      <c r="AW135" s="3" t="s">
        <v>1791</v>
      </c>
      <c r="AX135" s="3" t="s">
        <v>1791</v>
      </c>
      <c r="AY135" s="3" t="s">
        <v>1792</v>
      </c>
      <c r="AZ135" s="3" t="s">
        <v>73</v>
      </c>
      <c r="BB135" s="3" t="s">
        <v>1793</v>
      </c>
      <c r="BC135" s="3" t="s">
        <v>1794</v>
      </c>
      <c r="BD135" s="3" t="s">
        <v>1795</v>
      </c>
    </row>
    <row r="136" spans="1:56" ht="40.5" customHeight="1" x14ac:dyDescent="0.25">
      <c r="A136" s="7" t="s">
        <v>58</v>
      </c>
      <c r="B136" s="2" t="s">
        <v>1796</v>
      </c>
      <c r="C136" s="2" t="s">
        <v>1797</v>
      </c>
      <c r="D136" s="2" t="s">
        <v>1798</v>
      </c>
      <c r="F136" s="3" t="s">
        <v>58</v>
      </c>
      <c r="G136" s="3" t="s">
        <v>59</v>
      </c>
      <c r="H136" s="3" t="s">
        <v>58</v>
      </c>
      <c r="I136" s="3" t="s">
        <v>58</v>
      </c>
      <c r="J136" s="3" t="s">
        <v>60</v>
      </c>
      <c r="L136" s="2" t="s">
        <v>1799</v>
      </c>
      <c r="M136" s="3" t="s">
        <v>831</v>
      </c>
      <c r="O136" s="3" t="s">
        <v>64</v>
      </c>
      <c r="P136" s="3" t="s">
        <v>366</v>
      </c>
      <c r="Q136" s="2" t="s">
        <v>1800</v>
      </c>
      <c r="R136" s="3" t="s">
        <v>66</v>
      </c>
      <c r="S136" s="4">
        <v>5</v>
      </c>
      <c r="T136" s="4">
        <v>5</v>
      </c>
      <c r="U136" s="5" t="s">
        <v>1801</v>
      </c>
      <c r="V136" s="5" t="s">
        <v>1801</v>
      </c>
      <c r="W136" s="5" t="s">
        <v>1802</v>
      </c>
      <c r="X136" s="5" t="s">
        <v>1802</v>
      </c>
      <c r="Y136" s="4">
        <v>149</v>
      </c>
      <c r="Z136" s="4">
        <v>116</v>
      </c>
      <c r="AA136" s="4">
        <v>136</v>
      </c>
      <c r="AB136" s="4">
        <v>1</v>
      </c>
      <c r="AC136" s="4">
        <v>1</v>
      </c>
      <c r="AD136" s="4">
        <v>5</v>
      </c>
      <c r="AE136" s="4">
        <v>6</v>
      </c>
      <c r="AF136" s="4">
        <v>0</v>
      </c>
      <c r="AG136" s="4">
        <v>0</v>
      </c>
      <c r="AH136" s="4">
        <v>3</v>
      </c>
      <c r="AI136" s="4">
        <v>3</v>
      </c>
      <c r="AJ136" s="4">
        <v>3</v>
      </c>
      <c r="AK136" s="4">
        <v>4</v>
      </c>
      <c r="AL136" s="4">
        <v>0</v>
      </c>
      <c r="AM136" s="4">
        <v>0</v>
      </c>
      <c r="AN136" s="4">
        <v>0</v>
      </c>
      <c r="AO136" s="4">
        <v>0</v>
      </c>
      <c r="AP136" s="3" t="s">
        <v>58</v>
      </c>
      <c r="AQ136" s="3" t="s">
        <v>85</v>
      </c>
      <c r="AR136" s="6" t="str">
        <f>HYPERLINK("http://catalog.hathitrust.org/Record/004026862","HathiTrust Record")</f>
        <v>HathiTrust Record</v>
      </c>
      <c r="AS136" s="6" t="str">
        <f>HYPERLINK("https://creighton-primo.hosted.exlibrisgroup.com/primo-explore/search?tab=default_tab&amp;search_scope=EVERYTHING&amp;vid=01CRU&amp;lang=en_US&amp;offset=0&amp;query=any,contains,991001442059702656","Catalog Record")</f>
        <v>Catalog Record</v>
      </c>
      <c r="AT136" s="6" t="str">
        <f>HYPERLINK("http://www.worldcat.org/oclc/38121160","WorldCat Record")</f>
        <v>WorldCat Record</v>
      </c>
      <c r="AU136" s="3" t="s">
        <v>1803</v>
      </c>
      <c r="AV136" s="3" t="s">
        <v>1804</v>
      </c>
      <c r="AW136" s="3" t="s">
        <v>1805</v>
      </c>
      <c r="AX136" s="3" t="s">
        <v>1805</v>
      </c>
      <c r="AY136" s="3" t="s">
        <v>1806</v>
      </c>
      <c r="AZ136" s="3" t="s">
        <v>73</v>
      </c>
      <c r="BB136" s="3" t="s">
        <v>1807</v>
      </c>
      <c r="BC136" s="3" t="s">
        <v>1808</v>
      </c>
      <c r="BD136" s="3" t="s">
        <v>1809</v>
      </c>
    </row>
    <row r="137" spans="1:56" ht="40.5" customHeight="1" x14ac:dyDescent="0.25">
      <c r="A137" s="7" t="s">
        <v>58</v>
      </c>
      <c r="B137" s="2" t="s">
        <v>1810</v>
      </c>
      <c r="C137" s="2" t="s">
        <v>1811</v>
      </c>
      <c r="D137" s="2" t="s">
        <v>1812</v>
      </c>
      <c r="F137" s="3" t="s">
        <v>58</v>
      </c>
      <c r="G137" s="3" t="s">
        <v>59</v>
      </c>
      <c r="H137" s="3" t="s">
        <v>58</v>
      </c>
      <c r="I137" s="3" t="s">
        <v>85</v>
      </c>
      <c r="J137" s="3" t="s">
        <v>59</v>
      </c>
      <c r="L137" s="2" t="s">
        <v>1813</v>
      </c>
      <c r="M137" s="3" t="s">
        <v>726</v>
      </c>
      <c r="N137" s="2" t="s">
        <v>198</v>
      </c>
      <c r="O137" s="3" t="s">
        <v>64</v>
      </c>
      <c r="P137" s="3" t="s">
        <v>135</v>
      </c>
      <c r="Q137" s="2" t="s">
        <v>1814</v>
      </c>
      <c r="R137" s="3" t="s">
        <v>66</v>
      </c>
      <c r="S137" s="4">
        <v>48</v>
      </c>
      <c r="T137" s="4">
        <v>48</v>
      </c>
      <c r="U137" s="5" t="s">
        <v>1815</v>
      </c>
      <c r="V137" s="5" t="s">
        <v>1815</v>
      </c>
      <c r="W137" s="5" t="s">
        <v>1816</v>
      </c>
      <c r="X137" s="5" t="s">
        <v>1816</v>
      </c>
      <c r="Y137" s="4">
        <v>460</v>
      </c>
      <c r="Z137" s="4">
        <v>293</v>
      </c>
      <c r="AA137" s="4">
        <v>1241</v>
      </c>
      <c r="AB137" s="4">
        <v>2</v>
      </c>
      <c r="AC137" s="4">
        <v>17</v>
      </c>
      <c r="AD137" s="4">
        <v>7</v>
      </c>
      <c r="AE137" s="4">
        <v>47</v>
      </c>
      <c r="AF137" s="4">
        <v>1</v>
      </c>
      <c r="AG137" s="4">
        <v>16</v>
      </c>
      <c r="AH137" s="4">
        <v>3</v>
      </c>
      <c r="AI137" s="4">
        <v>12</v>
      </c>
      <c r="AJ137" s="4">
        <v>4</v>
      </c>
      <c r="AK137" s="4">
        <v>14</v>
      </c>
      <c r="AL137" s="4">
        <v>0</v>
      </c>
      <c r="AM137" s="4">
        <v>14</v>
      </c>
      <c r="AN137" s="4">
        <v>0</v>
      </c>
      <c r="AO137" s="4">
        <v>1</v>
      </c>
      <c r="AP137" s="3" t="s">
        <v>58</v>
      </c>
      <c r="AQ137" s="3" t="s">
        <v>85</v>
      </c>
      <c r="AR137" s="6" t="str">
        <f>HYPERLINK("http://catalog.hathitrust.org/Record/004567379","HathiTrust Record")</f>
        <v>HathiTrust Record</v>
      </c>
      <c r="AS137" s="6" t="str">
        <f>HYPERLINK("https://creighton-primo.hosted.exlibrisgroup.com/primo-explore/search?tab=default_tab&amp;search_scope=EVERYTHING&amp;vid=01CRU&amp;lang=en_US&amp;offset=0&amp;query=any,contains,991000818959702656","Catalog Record")</f>
        <v>Catalog Record</v>
      </c>
      <c r="AT137" s="6" t="str">
        <f>HYPERLINK("http://www.worldcat.org/oclc/21759842","WorldCat Record")</f>
        <v>WorldCat Record</v>
      </c>
      <c r="AU137" s="3" t="s">
        <v>1083</v>
      </c>
      <c r="AV137" s="3" t="s">
        <v>1817</v>
      </c>
      <c r="AW137" s="3" t="s">
        <v>1818</v>
      </c>
      <c r="AX137" s="3" t="s">
        <v>1818</v>
      </c>
      <c r="AY137" s="3" t="s">
        <v>1819</v>
      </c>
      <c r="AZ137" s="3" t="s">
        <v>73</v>
      </c>
      <c r="BB137" s="3" t="s">
        <v>1820</v>
      </c>
      <c r="BC137" s="3" t="s">
        <v>1821</v>
      </c>
      <c r="BD137" s="3" t="s">
        <v>1822</v>
      </c>
    </row>
    <row r="138" spans="1:56" ht="40.5" customHeight="1" x14ac:dyDescent="0.25">
      <c r="A138" s="7" t="s">
        <v>58</v>
      </c>
      <c r="B138" s="2" t="s">
        <v>1823</v>
      </c>
      <c r="C138" s="2" t="s">
        <v>1824</v>
      </c>
      <c r="D138" s="2" t="s">
        <v>1825</v>
      </c>
      <c r="F138" s="3" t="s">
        <v>58</v>
      </c>
      <c r="G138" s="3" t="s">
        <v>59</v>
      </c>
      <c r="H138" s="3" t="s">
        <v>58</v>
      </c>
      <c r="I138" s="3" t="s">
        <v>58</v>
      </c>
      <c r="J138" s="3" t="s">
        <v>60</v>
      </c>
      <c r="L138" s="2" t="s">
        <v>1826</v>
      </c>
      <c r="M138" s="3" t="s">
        <v>742</v>
      </c>
      <c r="O138" s="3" t="s">
        <v>64</v>
      </c>
      <c r="P138" s="3" t="s">
        <v>135</v>
      </c>
      <c r="Q138" s="2" t="s">
        <v>1827</v>
      </c>
      <c r="R138" s="3" t="s">
        <v>66</v>
      </c>
      <c r="S138" s="4">
        <v>14</v>
      </c>
      <c r="T138" s="4">
        <v>14</v>
      </c>
      <c r="U138" s="5" t="s">
        <v>1828</v>
      </c>
      <c r="V138" s="5" t="s">
        <v>1828</v>
      </c>
      <c r="W138" s="5" t="s">
        <v>1829</v>
      </c>
      <c r="X138" s="5" t="s">
        <v>1829</v>
      </c>
      <c r="Y138" s="4">
        <v>199</v>
      </c>
      <c r="Z138" s="4">
        <v>117</v>
      </c>
      <c r="AA138" s="4">
        <v>119</v>
      </c>
      <c r="AB138" s="4">
        <v>1</v>
      </c>
      <c r="AC138" s="4">
        <v>1</v>
      </c>
      <c r="AD138" s="4">
        <v>2</v>
      </c>
      <c r="AE138" s="4">
        <v>2</v>
      </c>
      <c r="AF138" s="4">
        <v>0</v>
      </c>
      <c r="AG138" s="4">
        <v>0</v>
      </c>
      <c r="AH138" s="4">
        <v>2</v>
      </c>
      <c r="AI138" s="4">
        <v>2</v>
      </c>
      <c r="AJ138" s="4">
        <v>2</v>
      </c>
      <c r="AK138" s="4">
        <v>2</v>
      </c>
      <c r="AL138" s="4">
        <v>0</v>
      </c>
      <c r="AM138" s="4">
        <v>0</v>
      </c>
      <c r="AN138" s="4">
        <v>0</v>
      </c>
      <c r="AO138" s="4">
        <v>0</v>
      </c>
      <c r="AP138" s="3" t="s">
        <v>58</v>
      </c>
      <c r="AQ138" s="3" t="s">
        <v>85</v>
      </c>
      <c r="AR138" s="6" t="str">
        <f>HYPERLINK("http://catalog.hathitrust.org/Record/002958003","HathiTrust Record")</f>
        <v>HathiTrust Record</v>
      </c>
      <c r="AS138" s="6" t="str">
        <f>HYPERLINK("https://creighton-primo.hosted.exlibrisgroup.com/primo-explore/search?tab=default_tab&amp;search_scope=EVERYTHING&amp;vid=01CRU&amp;lang=en_US&amp;offset=0&amp;query=any,contains,991001191399702656","Catalog Record")</f>
        <v>Catalog Record</v>
      </c>
      <c r="AT138" s="6" t="str">
        <f>HYPERLINK("http://www.worldcat.org/oclc/30029373","WorldCat Record")</f>
        <v>WorldCat Record</v>
      </c>
      <c r="AU138" s="3" t="s">
        <v>1830</v>
      </c>
      <c r="AV138" s="3" t="s">
        <v>1831</v>
      </c>
      <c r="AW138" s="3" t="s">
        <v>1832</v>
      </c>
      <c r="AX138" s="3" t="s">
        <v>1832</v>
      </c>
      <c r="AY138" s="3" t="s">
        <v>1833</v>
      </c>
      <c r="AZ138" s="3" t="s">
        <v>73</v>
      </c>
      <c r="BB138" s="3" t="s">
        <v>1834</v>
      </c>
      <c r="BC138" s="3" t="s">
        <v>1835</v>
      </c>
      <c r="BD138" s="3" t="s">
        <v>1836</v>
      </c>
    </row>
    <row r="139" spans="1:56" ht="40.5" customHeight="1" x14ac:dyDescent="0.25">
      <c r="A139" s="7" t="s">
        <v>58</v>
      </c>
      <c r="B139" s="2" t="s">
        <v>1837</v>
      </c>
      <c r="C139" s="2" t="s">
        <v>1838</v>
      </c>
      <c r="D139" s="2" t="s">
        <v>1839</v>
      </c>
      <c r="F139" s="3" t="s">
        <v>58</v>
      </c>
      <c r="G139" s="3" t="s">
        <v>59</v>
      </c>
      <c r="H139" s="3" t="s">
        <v>58</v>
      </c>
      <c r="I139" s="3" t="s">
        <v>58</v>
      </c>
      <c r="J139" s="3" t="s">
        <v>60</v>
      </c>
      <c r="K139" s="2" t="s">
        <v>1840</v>
      </c>
      <c r="L139" s="2" t="s">
        <v>1841</v>
      </c>
      <c r="M139" s="3" t="s">
        <v>365</v>
      </c>
      <c r="O139" s="3" t="s">
        <v>64</v>
      </c>
      <c r="P139" s="3" t="s">
        <v>117</v>
      </c>
      <c r="R139" s="3" t="s">
        <v>66</v>
      </c>
      <c r="S139" s="4">
        <v>10</v>
      </c>
      <c r="T139" s="4">
        <v>10</v>
      </c>
      <c r="U139" s="5" t="s">
        <v>1842</v>
      </c>
      <c r="V139" s="5" t="s">
        <v>1842</v>
      </c>
      <c r="W139" s="5" t="s">
        <v>1829</v>
      </c>
      <c r="X139" s="5" t="s">
        <v>1829</v>
      </c>
      <c r="Y139" s="4">
        <v>247</v>
      </c>
      <c r="Z139" s="4">
        <v>189</v>
      </c>
      <c r="AA139" s="4">
        <v>191</v>
      </c>
      <c r="AB139" s="4">
        <v>3</v>
      </c>
      <c r="AC139" s="4">
        <v>3</v>
      </c>
      <c r="AD139" s="4">
        <v>8</v>
      </c>
      <c r="AE139" s="4">
        <v>8</v>
      </c>
      <c r="AF139" s="4">
        <v>0</v>
      </c>
      <c r="AG139" s="4">
        <v>0</v>
      </c>
      <c r="AH139" s="4">
        <v>3</v>
      </c>
      <c r="AI139" s="4">
        <v>3</v>
      </c>
      <c r="AJ139" s="4">
        <v>4</v>
      </c>
      <c r="AK139" s="4">
        <v>4</v>
      </c>
      <c r="AL139" s="4">
        <v>2</v>
      </c>
      <c r="AM139" s="4">
        <v>2</v>
      </c>
      <c r="AN139" s="4">
        <v>0</v>
      </c>
      <c r="AO139" s="4">
        <v>0</v>
      </c>
      <c r="AP139" s="3" t="s">
        <v>58</v>
      </c>
      <c r="AQ139" s="3" t="s">
        <v>85</v>
      </c>
      <c r="AR139" s="6" t="str">
        <f>HYPERLINK("http://catalog.hathitrust.org/Record/002799494","HathiTrust Record")</f>
        <v>HathiTrust Record</v>
      </c>
      <c r="AS139" s="6" t="str">
        <f>HYPERLINK("https://creighton-primo.hosted.exlibrisgroup.com/primo-explore/search?tab=default_tab&amp;search_scope=EVERYTHING&amp;vid=01CRU&amp;lang=en_US&amp;offset=0&amp;query=any,contains,991001191309702656","Catalog Record")</f>
        <v>Catalog Record</v>
      </c>
      <c r="AT139" s="6" t="str">
        <f>HYPERLINK("http://www.worldcat.org/oclc/26263735","WorldCat Record")</f>
        <v>WorldCat Record</v>
      </c>
      <c r="AU139" s="3" t="s">
        <v>1843</v>
      </c>
      <c r="AV139" s="3" t="s">
        <v>1844</v>
      </c>
      <c r="AW139" s="3" t="s">
        <v>1845</v>
      </c>
      <c r="AX139" s="3" t="s">
        <v>1845</v>
      </c>
      <c r="AY139" s="3" t="s">
        <v>1846</v>
      </c>
      <c r="AZ139" s="3" t="s">
        <v>73</v>
      </c>
      <c r="BB139" s="3" t="s">
        <v>1847</v>
      </c>
      <c r="BC139" s="3" t="s">
        <v>1848</v>
      </c>
      <c r="BD139" s="3" t="s">
        <v>1849</v>
      </c>
    </row>
    <row r="140" spans="1:56" ht="40.5" customHeight="1" x14ac:dyDescent="0.25">
      <c r="A140" s="7" t="s">
        <v>58</v>
      </c>
      <c r="B140" s="2" t="s">
        <v>1850</v>
      </c>
      <c r="C140" s="2" t="s">
        <v>1851</v>
      </c>
      <c r="D140" s="2" t="s">
        <v>1852</v>
      </c>
      <c r="F140" s="3" t="s">
        <v>58</v>
      </c>
      <c r="G140" s="3" t="s">
        <v>59</v>
      </c>
      <c r="H140" s="3" t="s">
        <v>58</v>
      </c>
      <c r="I140" s="3" t="s">
        <v>58</v>
      </c>
      <c r="J140" s="3" t="s">
        <v>60</v>
      </c>
      <c r="L140" s="2" t="s">
        <v>1853</v>
      </c>
      <c r="M140" s="3" t="s">
        <v>742</v>
      </c>
      <c r="O140" s="3" t="s">
        <v>64</v>
      </c>
      <c r="P140" s="3" t="s">
        <v>135</v>
      </c>
      <c r="R140" s="3" t="s">
        <v>66</v>
      </c>
      <c r="S140" s="4">
        <v>11</v>
      </c>
      <c r="T140" s="4">
        <v>11</v>
      </c>
      <c r="U140" s="5" t="s">
        <v>1854</v>
      </c>
      <c r="V140" s="5" t="s">
        <v>1854</v>
      </c>
      <c r="W140" s="5" t="s">
        <v>1829</v>
      </c>
      <c r="X140" s="5" t="s">
        <v>1829</v>
      </c>
      <c r="Y140" s="4">
        <v>317</v>
      </c>
      <c r="Z140" s="4">
        <v>215</v>
      </c>
      <c r="AA140" s="4">
        <v>285</v>
      </c>
      <c r="AB140" s="4">
        <v>2</v>
      </c>
      <c r="AC140" s="4">
        <v>2</v>
      </c>
      <c r="AD140" s="4">
        <v>12</v>
      </c>
      <c r="AE140" s="4">
        <v>13</v>
      </c>
      <c r="AF140" s="4">
        <v>4</v>
      </c>
      <c r="AG140" s="4">
        <v>5</v>
      </c>
      <c r="AH140" s="4">
        <v>4</v>
      </c>
      <c r="AI140" s="4">
        <v>4</v>
      </c>
      <c r="AJ140" s="4">
        <v>8</v>
      </c>
      <c r="AK140" s="4">
        <v>9</v>
      </c>
      <c r="AL140" s="4">
        <v>1</v>
      </c>
      <c r="AM140" s="4">
        <v>1</v>
      </c>
      <c r="AN140" s="4">
        <v>0</v>
      </c>
      <c r="AO140" s="4">
        <v>0</v>
      </c>
      <c r="AP140" s="3" t="s">
        <v>58</v>
      </c>
      <c r="AQ140" s="3" t="s">
        <v>85</v>
      </c>
      <c r="AR140" s="6" t="str">
        <f>HYPERLINK("http://catalog.hathitrust.org/Record/002726413","HathiTrust Record")</f>
        <v>HathiTrust Record</v>
      </c>
      <c r="AS140" s="6" t="str">
        <f>HYPERLINK("https://creighton-primo.hosted.exlibrisgroup.com/primo-explore/search?tab=default_tab&amp;search_scope=EVERYTHING&amp;vid=01CRU&amp;lang=en_US&amp;offset=0&amp;query=any,contains,991001191059702656","Catalog Record")</f>
        <v>Catalog Record</v>
      </c>
      <c r="AT140" s="6" t="str">
        <f>HYPERLINK("http://www.worldcat.org/oclc/27726992","WorldCat Record")</f>
        <v>WorldCat Record</v>
      </c>
      <c r="AU140" s="3" t="s">
        <v>1855</v>
      </c>
      <c r="AV140" s="3" t="s">
        <v>1856</v>
      </c>
      <c r="AW140" s="3" t="s">
        <v>1857</v>
      </c>
      <c r="AX140" s="3" t="s">
        <v>1857</v>
      </c>
      <c r="AY140" s="3" t="s">
        <v>1858</v>
      </c>
      <c r="AZ140" s="3" t="s">
        <v>73</v>
      </c>
      <c r="BB140" s="3" t="s">
        <v>1859</v>
      </c>
      <c r="BC140" s="3" t="s">
        <v>1860</v>
      </c>
      <c r="BD140" s="3" t="s">
        <v>1861</v>
      </c>
    </row>
    <row r="141" spans="1:56" ht="40.5" customHeight="1" x14ac:dyDescent="0.25">
      <c r="A141" s="7" t="s">
        <v>58</v>
      </c>
      <c r="B141" s="2" t="s">
        <v>1862</v>
      </c>
      <c r="C141" s="2" t="s">
        <v>1863</v>
      </c>
      <c r="D141" s="2" t="s">
        <v>1864</v>
      </c>
      <c r="F141" s="3" t="s">
        <v>58</v>
      </c>
      <c r="G141" s="3" t="s">
        <v>59</v>
      </c>
      <c r="H141" s="3" t="s">
        <v>58</v>
      </c>
      <c r="I141" s="3" t="s">
        <v>58</v>
      </c>
      <c r="J141" s="3" t="s">
        <v>60</v>
      </c>
      <c r="L141" s="2" t="s">
        <v>1865</v>
      </c>
      <c r="M141" s="3" t="s">
        <v>98</v>
      </c>
      <c r="O141" s="3" t="s">
        <v>64</v>
      </c>
      <c r="P141" s="3" t="s">
        <v>65</v>
      </c>
      <c r="R141" s="3" t="s">
        <v>66</v>
      </c>
      <c r="S141" s="4">
        <v>4</v>
      </c>
      <c r="T141" s="4">
        <v>4</v>
      </c>
      <c r="U141" s="5" t="s">
        <v>1866</v>
      </c>
      <c r="V141" s="5" t="s">
        <v>1866</v>
      </c>
      <c r="W141" s="5" t="s">
        <v>290</v>
      </c>
      <c r="X141" s="5" t="s">
        <v>290</v>
      </c>
      <c r="Y141" s="4">
        <v>370</v>
      </c>
      <c r="Z141" s="4">
        <v>306</v>
      </c>
      <c r="AA141" s="4">
        <v>346</v>
      </c>
      <c r="AB141" s="4">
        <v>1</v>
      </c>
      <c r="AC141" s="4">
        <v>2</v>
      </c>
      <c r="AD141" s="4">
        <v>9</v>
      </c>
      <c r="AE141" s="4">
        <v>12</v>
      </c>
      <c r="AF141" s="4">
        <v>4</v>
      </c>
      <c r="AG141" s="4">
        <v>6</v>
      </c>
      <c r="AH141" s="4">
        <v>3</v>
      </c>
      <c r="AI141" s="4">
        <v>4</v>
      </c>
      <c r="AJ141" s="4">
        <v>6</v>
      </c>
      <c r="AK141" s="4">
        <v>6</v>
      </c>
      <c r="AL141" s="4">
        <v>0</v>
      </c>
      <c r="AM141" s="4">
        <v>1</v>
      </c>
      <c r="AN141" s="4">
        <v>0</v>
      </c>
      <c r="AO141" s="4">
        <v>0</v>
      </c>
      <c r="AP141" s="3" t="s">
        <v>58</v>
      </c>
      <c r="AQ141" s="3" t="s">
        <v>58</v>
      </c>
      <c r="AS141" s="6" t="str">
        <f>HYPERLINK("https://creighton-primo.hosted.exlibrisgroup.com/primo-explore/search?tab=default_tab&amp;search_scope=EVERYTHING&amp;vid=01CRU&amp;lang=en_US&amp;offset=0&amp;query=any,contains,991000896969702656","Catalog Record")</f>
        <v>Catalog Record</v>
      </c>
      <c r="AT141" s="6" t="str">
        <f>HYPERLINK("http://www.worldcat.org/oclc/9393051","WorldCat Record")</f>
        <v>WorldCat Record</v>
      </c>
      <c r="AU141" s="3" t="s">
        <v>1867</v>
      </c>
      <c r="AV141" s="3" t="s">
        <v>1868</v>
      </c>
      <c r="AW141" s="3" t="s">
        <v>1869</v>
      </c>
      <c r="AX141" s="3" t="s">
        <v>1869</v>
      </c>
      <c r="AY141" s="3" t="s">
        <v>1870</v>
      </c>
      <c r="AZ141" s="3" t="s">
        <v>73</v>
      </c>
      <c r="BB141" s="3" t="s">
        <v>1871</v>
      </c>
      <c r="BC141" s="3" t="s">
        <v>1872</v>
      </c>
      <c r="BD141" s="3" t="s">
        <v>1873</v>
      </c>
    </row>
    <row r="142" spans="1:56" ht="40.5" customHeight="1" x14ac:dyDescent="0.25">
      <c r="A142" s="7" t="s">
        <v>58</v>
      </c>
      <c r="B142" s="2" t="s">
        <v>1874</v>
      </c>
      <c r="C142" s="2" t="s">
        <v>1875</v>
      </c>
      <c r="D142" s="2" t="s">
        <v>1876</v>
      </c>
      <c r="F142" s="3" t="s">
        <v>58</v>
      </c>
      <c r="G142" s="3" t="s">
        <v>59</v>
      </c>
      <c r="H142" s="3" t="s">
        <v>58</v>
      </c>
      <c r="I142" s="3" t="s">
        <v>58</v>
      </c>
      <c r="J142" s="3" t="s">
        <v>60</v>
      </c>
      <c r="K142" s="2" t="s">
        <v>1877</v>
      </c>
      <c r="L142" s="2" t="s">
        <v>1878</v>
      </c>
      <c r="M142" s="3" t="s">
        <v>303</v>
      </c>
      <c r="O142" s="3" t="s">
        <v>64</v>
      </c>
      <c r="P142" s="3" t="s">
        <v>1785</v>
      </c>
      <c r="Q142" s="2" t="s">
        <v>1786</v>
      </c>
      <c r="R142" s="3" t="s">
        <v>66</v>
      </c>
      <c r="S142" s="4">
        <v>7</v>
      </c>
      <c r="T142" s="4">
        <v>7</v>
      </c>
      <c r="U142" s="5" t="s">
        <v>1879</v>
      </c>
      <c r="V142" s="5" t="s">
        <v>1879</v>
      </c>
      <c r="W142" s="5" t="s">
        <v>1880</v>
      </c>
      <c r="X142" s="5" t="s">
        <v>1880</v>
      </c>
      <c r="Y142" s="4">
        <v>123</v>
      </c>
      <c r="Z142" s="4">
        <v>100</v>
      </c>
      <c r="AA142" s="4">
        <v>102</v>
      </c>
      <c r="AB142" s="4">
        <v>2</v>
      </c>
      <c r="AC142" s="4">
        <v>2</v>
      </c>
      <c r="AD142" s="4">
        <v>3</v>
      </c>
      <c r="AE142" s="4">
        <v>3</v>
      </c>
      <c r="AF142" s="4">
        <v>0</v>
      </c>
      <c r="AG142" s="4">
        <v>0</v>
      </c>
      <c r="AH142" s="4">
        <v>1</v>
      </c>
      <c r="AI142" s="4">
        <v>1</v>
      </c>
      <c r="AJ142" s="4">
        <v>2</v>
      </c>
      <c r="AK142" s="4">
        <v>2</v>
      </c>
      <c r="AL142" s="4">
        <v>1</v>
      </c>
      <c r="AM142" s="4">
        <v>1</v>
      </c>
      <c r="AN142" s="4">
        <v>0</v>
      </c>
      <c r="AO142" s="4">
        <v>0</v>
      </c>
      <c r="AP142" s="3" t="s">
        <v>58</v>
      </c>
      <c r="AQ142" s="3" t="s">
        <v>85</v>
      </c>
      <c r="AR142" s="6" t="str">
        <f>HYPERLINK("http://catalog.hathitrust.org/Record/003941441","HathiTrust Record")</f>
        <v>HathiTrust Record</v>
      </c>
      <c r="AS142" s="6" t="str">
        <f>HYPERLINK("https://creighton-primo.hosted.exlibrisgroup.com/primo-explore/search?tab=default_tab&amp;search_scope=EVERYTHING&amp;vid=01CRU&amp;lang=en_US&amp;offset=0&amp;query=any,contains,991001256119702656","Catalog Record")</f>
        <v>Catalog Record</v>
      </c>
      <c r="AT142" s="6" t="str">
        <f>HYPERLINK("http://www.worldcat.org/oclc/34772054","WorldCat Record")</f>
        <v>WorldCat Record</v>
      </c>
      <c r="AU142" s="3" t="s">
        <v>1881</v>
      </c>
      <c r="AV142" s="3" t="s">
        <v>1882</v>
      </c>
      <c r="AW142" s="3" t="s">
        <v>1883</v>
      </c>
      <c r="AX142" s="3" t="s">
        <v>1883</v>
      </c>
      <c r="AY142" s="3" t="s">
        <v>1884</v>
      </c>
      <c r="AZ142" s="3" t="s">
        <v>73</v>
      </c>
      <c r="BB142" s="3" t="s">
        <v>1885</v>
      </c>
      <c r="BC142" s="3" t="s">
        <v>1886</v>
      </c>
      <c r="BD142" s="3" t="s">
        <v>1887</v>
      </c>
    </row>
    <row r="143" spans="1:56" ht="40.5" customHeight="1" x14ac:dyDescent="0.25">
      <c r="A143" s="7" t="s">
        <v>58</v>
      </c>
      <c r="B143" s="2" t="s">
        <v>1888</v>
      </c>
      <c r="C143" s="2" t="s">
        <v>1889</v>
      </c>
      <c r="D143" s="2" t="s">
        <v>1890</v>
      </c>
      <c r="E143" s="3" t="s">
        <v>96</v>
      </c>
      <c r="F143" s="3" t="s">
        <v>85</v>
      </c>
      <c r="G143" s="3" t="s">
        <v>59</v>
      </c>
      <c r="H143" s="3" t="s">
        <v>58</v>
      </c>
      <c r="I143" s="3" t="s">
        <v>58</v>
      </c>
      <c r="J143" s="3" t="s">
        <v>60</v>
      </c>
      <c r="L143" s="2" t="s">
        <v>1891</v>
      </c>
      <c r="M143" s="3" t="s">
        <v>63</v>
      </c>
      <c r="O143" s="3" t="s">
        <v>64</v>
      </c>
      <c r="P143" s="3" t="s">
        <v>65</v>
      </c>
      <c r="R143" s="3" t="s">
        <v>66</v>
      </c>
      <c r="S143" s="4">
        <v>7</v>
      </c>
      <c r="T143" s="4">
        <v>12</v>
      </c>
      <c r="U143" s="5" t="s">
        <v>1892</v>
      </c>
      <c r="V143" s="5" t="s">
        <v>1892</v>
      </c>
      <c r="W143" s="5" t="s">
        <v>1893</v>
      </c>
      <c r="X143" s="5" t="s">
        <v>290</v>
      </c>
      <c r="Y143" s="4">
        <v>163</v>
      </c>
      <c r="Z143" s="4">
        <v>122</v>
      </c>
      <c r="AA143" s="4">
        <v>157</v>
      </c>
      <c r="AB143" s="4">
        <v>2</v>
      </c>
      <c r="AC143" s="4">
        <v>2</v>
      </c>
      <c r="AD143" s="4">
        <v>2</v>
      </c>
      <c r="AE143" s="4">
        <v>2</v>
      </c>
      <c r="AF143" s="4">
        <v>0</v>
      </c>
      <c r="AG143" s="4">
        <v>0</v>
      </c>
      <c r="AH143" s="4">
        <v>0</v>
      </c>
      <c r="AI143" s="4">
        <v>0</v>
      </c>
      <c r="AJ143" s="4">
        <v>1</v>
      </c>
      <c r="AK143" s="4">
        <v>1</v>
      </c>
      <c r="AL143" s="4">
        <v>1</v>
      </c>
      <c r="AM143" s="4">
        <v>1</v>
      </c>
      <c r="AN143" s="4">
        <v>0</v>
      </c>
      <c r="AO143" s="4">
        <v>0</v>
      </c>
      <c r="AP143" s="3" t="s">
        <v>58</v>
      </c>
      <c r="AQ143" s="3" t="s">
        <v>85</v>
      </c>
      <c r="AR143" s="6" t="str">
        <f>HYPERLINK("http://catalog.hathitrust.org/Record/000769346","HathiTrust Record")</f>
        <v>HathiTrust Record</v>
      </c>
      <c r="AS143" s="6" t="str">
        <f>HYPERLINK("https://creighton-primo.hosted.exlibrisgroup.com/primo-explore/search?tab=default_tab&amp;search_scope=EVERYTHING&amp;vid=01CRU&amp;lang=en_US&amp;offset=0&amp;query=any,contains,991000897009702656","Catalog Record")</f>
        <v>Catalog Record</v>
      </c>
      <c r="AT143" s="6" t="str">
        <f>HYPERLINK("http://www.worldcat.org/oclc/7998320","WorldCat Record")</f>
        <v>WorldCat Record</v>
      </c>
      <c r="AU143" s="3" t="s">
        <v>1894</v>
      </c>
      <c r="AV143" s="3" t="s">
        <v>1895</v>
      </c>
      <c r="AW143" s="3" t="s">
        <v>1896</v>
      </c>
      <c r="AX143" s="3" t="s">
        <v>1896</v>
      </c>
      <c r="AY143" s="3" t="s">
        <v>1897</v>
      </c>
      <c r="AZ143" s="3" t="s">
        <v>73</v>
      </c>
      <c r="BC143" s="3" t="s">
        <v>1898</v>
      </c>
      <c r="BD143" s="3" t="s">
        <v>1899</v>
      </c>
    </row>
    <row r="144" spans="1:56" ht="40.5" customHeight="1" x14ac:dyDescent="0.25">
      <c r="A144" s="7" t="s">
        <v>58</v>
      </c>
      <c r="B144" s="2" t="s">
        <v>1888</v>
      </c>
      <c r="C144" s="2" t="s">
        <v>1889</v>
      </c>
      <c r="D144" s="2" t="s">
        <v>1890</v>
      </c>
      <c r="E144" s="3" t="s">
        <v>258</v>
      </c>
      <c r="F144" s="3" t="s">
        <v>85</v>
      </c>
      <c r="G144" s="3" t="s">
        <v>59</v>
      </c>
      <c r="H144" s="3" t="s">
        <v>58</v>
      </c>
      <c r="I144" s="3" t="s">
        <v>58</v>
      </c>
      <c r="J144" s="3" t="s">
        <v>60</v>
      </c>
      <c r="L144" s="2" t="s">
        <v>1891</v>
      </c>
      <c r="M144" s="3" t="s">
        <v>63</v>
      </c>
      <c r="O144" s="3" t="s">
        <v>64</v>
      </c>
      <c r="P144" s="3" t="s">
        <v>65</v>
      </c>
      <c r="R144" s="3" t="s">
        <v>66</v>
      </c>
      <c r="S144" s="4">
        <v>5</v>
      </c>
      <c r="T144" s="4">
        <v>12</v>
      </c>
      <c r="U144" s="5" t="s">
        <v>1900</v>
      </c>
      <c r="V144" s="5" t="s">
        <v>1892</v>
      </c>
      <c r="W144" s="5" t="s">
        <v>290</v>
      </c>
      <c r="X144" s="5" t="s">
        <v>290</v>
      </c>
      <c r="Y144" s="4">
        <v>163</v>
      </c>
      <c r="Z144" s="4">
        <v>122</v>
      </c>
      <c r="AA144" s="4">
        <v>157</v>
      </c>
      <c r="AB144" s="4">
        <v>2</v>
      </c>
      <c r="AC144" s="4">
        <v>2</v>
      </c>
      <c r="AD144" s="4">
        <v>2</v>
      </c>
      <c r="AE144" s="4">
        <v>2</v>
      </c>
      <c r="AF144" s="4">
        <v>0</v>
      </c>
      <c r="AG144" s="4">
        <v>0</v>
      </c>
      <c r="AH144" s="4">
        <v>0</v>
      </c>
      <c r="AI144" s="4">
        <v>0</v>
      </c>
      <c r="AJ144" s="4">
        <v>1</v>
      </c>
      <c r="AK144" s="4">
        <v>1</v>
      </c>
      <c r="AL144" s="4">
        <v>1</v>
      </c>
      <c r="AM144" s="4">
        <v>1</v>
      </c>
      <c r="AN144" s="4">
        <v>0</v>
      </c>
      <c r="AO144" s="4">
        <v>0</v>
      </c>
      <c r="AP144" s="3" t="s">
        <v>58</v>
      </c>
      <c r="AQ144" s="3" t="s">
        <v>85</v>
      </c>
      <c r="AR144" s="6" t="str">
        <f>HYPERLINK("http://catalog.hathitrust.org/Record/000769346","HathiTrust Record")</f>
        <v>HathiTrust Record</v>
      </c>
      <c r="AS144" s="6" t="str">
        <f>HYPERLINK("https://creighton-primo.hosted.exlibrisgroup.com/primo-explore/search?tab=default_tab&amp;search_scope=EVERYTHING&amp;vid=01CRU&amp;lang=en_US&amp;offset=0&amp;query=any,contains,991000897009702656","Catalog Record")</f>
        <v>Catalog Record</v>
      </c>
      <c r="AT144" s="6" t="str">
        <f>HYPERLINK("http://www.worldcat.org/oclc/7998320","WorldCat Record")</f>
        <v>WorldCat Record</v>
      </c>
      <c r="AU144" s="3" t="s">
        <v>1894</v>
      </c>
      <c r="AV144" s="3" t="s">
        <v>1895</v>
      </c>
      <c r="AW144" s="3" t="s">
        <v>1896</v>
      </c>
      <c r="AX144" s="3" t="s">
        <v>1896</v>
      </c>
      <c r="AY144" s="3" t="s">
        <v>1897</v>
      </c>
      <c r="AZ144" s="3" t="s">
        <v>73</v>
      </c>
      <c r="BC144" s="3" t="s">
        <v>1901</v>
      </c>
      <c r="BD144" s="3" t="s">
        <v>1902</v>
      </c>
    </row>
    <row r="145" spans="1:56" ht="40.5" customHeight="1" x14ac:dyDescent="0.25">
      <c r="A145" s="7" t="s">
        <v>58</v>
      </c>
      <c r="B145" s="2" t="s">
        <v>1903</v>
      </c>
      <c r="C145" s="2" t="s">
        <v>1904</v>
      </c>
      <c r="D145" s="2" t="s">
        <v>1905</v>
      </c>
      <c r="E145" s="3" t="s">
        <v>1906</v>
      </c>
      <c r="F145" s="3" t="s">
        <v>58</v>
      </c>
      <c r="G145" s="3" t="s">
        <v>59</v>
      </c>
      <c r="H145" s="3" t="s">
        <v>58</v>
      </c>
      <c r="I145" s="3" t="s">
        <v>58</v>
      </c>
      <c r="J145" s="3" t="s">
        <v>60</v>
      </c>
      <c r="K145" s="2" t="s">
        <v>1907</v>
      </c>
      <c r="L145" s="2" t="s">
        <v>1908</v>
      </c>
      <c r="M145" s="3" t="s">
        <v>116</v>
      </c>
      <c r="O145" s="3" t="s">
        <v>64</v>
      </c>
      <c r="P145" s="3" t="s">
        <v>135</v>
      </c>
      <c r="R145" s="3" t="s">
        <v>66</v>
      </c>
      <c r="S145" s="4">
        <v>34</v>
      </c>
      <c r="T145" s="4">
        <v>34</v>
      </c>
      <c r="U145" s="5" t="s">
        <v>1909</v>
      </c>
      <c r="V145" s="5" t="s">
        <v>1909</v>
      </c>
      <c r="W145" s="5" t="s">
        <v>1580</v>
      </c>
      <c r="X145" s="5" t="s">
        <v>1580</v>
      </c>
      <c r="Y145" s="4">
        <v>15</v>
      </c>
      <c r="Z145" s="4">
        <v>10</v>
      </c>
      <c r="AA145" s="4">
        <v>10</v>
      </c>
      <c r="AB145" s="4">
        <v>1</v>
      </c>
      <c r="AC145" s="4">
        <v>1</v>
      </c>
      <c r="AD145" s="4">
        <v>0</v>
      </c>
      <c r="AE145" s="4">
        <v>0</v>
      </c>
      <c r="AF145" s="4">
        <v>0</v>
      </c>
      <c r="AG145" s="4">
        <v>0</v>
      </c>
      <c r="AH145" s="4">
        <v>0</v>
      </c>
      <c r="AI145" s="4">
        <v>0</v>
      </c>
      <c r="AJ145" s="4">
        <v>0</v>
      </c>
      <c r="AK145" s="4">
        <v>0</v>
      </c>
      <c r="AL145" s="4">
        <v>0</v>
      </c>
      <c r="AM145" s="4">
        <v>0</v>
      </c>
      <c r="AN145" s="4">
        <v>0</v>
      </c>
      <c r="AO145" s="4">
        <v>0</v>
      </c>
      <c r="AP145" s="3" t="s">
        <v>58</v>
      </c>
      <c r="AQ145" s="3" t="s">
        <v>58</v>
      </c>
      <c r="AS145" s="6" t="str">
        <f>HYPERLINK("https://creighton-primo.hosted.exlibrisgroup.com/primo-explore/search?tab=default_tab&amp;search_scope=EVERYTHING&amp;vid=01CRU&amp;lang=en_US&amp;offset=0&amp;query=any,contains,991001429019702656","Catalog Record")</f>
        <v>Catalog Record</v>
      </c>
      <c r="AT145" s="6" t="str">
        <f>HYPERLINK("http://www.worldcat.org/oclc/27107143","WorldCat Record")</f>
        <v>WorldCat Record</v>
      </c>
      <c r="AU145" s="3" t="s">
        <v>1910</v>
      </c>
      <c r="AV145" s="3" t="s">
        <v>1911</v>
      </c>
      <c r="AW145" s="3" t="s">
        <v>1912</v>
      </c>
      <c r="AX145" s="3" t="s">
        <v>1912</v>
      </c>
      <c r="AY145" s="3" t="s">
        <v>1913</v>
      </c>
      <c r="AZ145" s="3" t="s">
        <v>73</v>
      </c>
      <c r="BB145" s="3" t="s">
        <v>1914</v>
      </c>
      <c r="BC145" s="3" t="s">
        <v>1915</v>
      </c>
      <c r="BD145" s="3" t="s">
        <v>1916</v>
      </c>
    </row>
    <row r="146" spans="1:56" ht="40.5" customHeight="1" x14ac:dyDescent="0.25">
      <c r="A146" s="7" t="s">
        <v>58</v>
      </c>
      <c r="B146" s="2" t="s">
        <v>1917</v>
      </c>
      <c r="C146" s="2" t="s">
        <v>1918</v>
      </c>
      <c r="D146" s="2" t="s">
        <v>1919</v>
      </c>
      <c r="E146" s="3" t="s">
        <v>1920</v>
      </c>
      <c r="F146" s="3" t="s">
        <v>58</v>
      </c>
      <c r="G146" s="3" t="s">
        <v>59</v>
      </c>
      <c r="H146" s="3" t="s">
        <v>58</v>
      </c>
      <c r="I146" s="3" t="s">
        <v>58</v>
      </c>
      <c r="J146" s="3" t="s">
        <v>60</v>
      </c>
      <c r="K146" s="2" t="s">
        <v>1907</v>
      </c>
      <c r="L146" s="2" t="s">
        <v>1921</v>
      </c>
      <c r="M146" s="3" t="s">
        <v>116</v>
      </c>
      <c r="O146" s="3" t="s">
        <v>64</v>
      </c>
      <c r="P146" s="3" t="s">
        <v>135</v>
      </c>
      <c r="R146" s="3" t="s">
        <v>66</v>
      </c>
      <c r="S146" s="4">
        <v>19</v>
      </c>
      <c r="T146" s="4">
        <v>19</v>
      </c>
      <c r="U146" s="5" t="s">
        <v>1922</v>
      </c>
      <c r="V146" s="5" t="s">
        <v>1922</v>
      </c>
      <c r="W146" s="5" t="s">
        <v>1580</v>
      </c>
      <c r="X146" s="5" t="s">
        <v>1580</v>
      </c>
      <c r="Y146" s="4">
        <v>66</v>
      </c>
      <c r="Z146" s="4">
        <v>44</v>
      </c>
      <c r="AA146" s="4">
        <v>49</v>
      </c>
      <c r="AB146" s="4">
        <v>1</v>
      </c>
      <c r="AC146" s="4">
        <v>1</v>
      </c>
      <c r="AD146" s="4">
        <v>1</v>
      </c>
      <c r="AE146" s="4">
        <v>1</v>
      </c>
      <c r="AF146" s="4">
        <v>0</v>
      </c>
      <c r="AG146" s="4">
        <v>0</v>
      </c>
      <c r="AH146" s="4">
        <v>1</v>
      </c>
      <c r="AI146" s="4">
        <v>1</v>
      </c>
      <c r="AJ146" s="4">
        <v>1</v>
      </c>
      <c r="AK146" s="4">
        <v>1</v>
      </c>
      <c r="AL146" s="4">
        <v>0</v>
      </c>
      <c r="AM146" s="4">
        <v>0</v>
      </c>
      <c r="AN146" s="4">
        <v>0</v>
      </c>
      <c r="AO146" s="4">
        <v>0</v>
      </c>
      <c r="AP146" s="3" t="s">
        <v>58</v>
      </c>
      <c r="AQ146" s="3" t="s">
        <v>85</v>
      </c>
      <c r="AR146" s="6" t="str">
        <f>HYPERLINK("http://catalog.hathitrust.org/Record/002932102","HathiTrust Record")</f>
        <v>HathiTrust Record</v>
      </c>
      <c r="AS146" s="6" t="str">
        <f>HYPERLINK("https://creighton-primo.hosted.exlibrisgroup.com/primo-explore/search?tab=default_tab&amp;search_scope=EVERYTHING&amp;vid=01CRU&amp;lang=en_US&amp;offset=0&amp;query=any,contains,991001429089702656","Catalog Record")</f>
        <v>Catalog Record</v>
      </c>
      <c r="AT146" s="6" t="str">
        <f>HYPERLINK("http://www.worldcat.org/oclc/29356699","WorldCat Record")</f>
        <v>WorldCat Record</v>
      </c>
      <c r="AU146" s="3" t="s">
        <v>1923</v>
      </c>
      <c r="AV146" s="3" t="s">
        <v>1924</v>
      </c>
      <c r="AW146" s="3" t="s">
        <v>1925</v>
      </c>
      <c r="AX146" s="3" t="s">
        <v>1925</v>
      </c>
      <c r="AY146" s="3" t="s">
        <v>1926</v>
      </c>
      <c r="AZ146" s="3" t="s">
        <v>73</v>
      </c>
      <c r="BB146" s="3" t="s">
        <v>1927</v>
      </c>
      <c r="BC146" s="3" t="s">
        <v>1928</v>
      </c>
      <c r="BD146" s="3" t="s">
        <v>1929</v>
      </c>
    </row>
    <row r="147" spans="1:56" ht="40.5" customHeight="1" x14ac:dyDescent="0.25">
      <c r="A147" s="7" t="s">
        <v>58</v>
      </c>
      <c r="B147" s="2" t="s">
        <v>1930</v>
      </c>
      <c r="C147" s="2" t="s">
        <v>1931</v>
      </c>
      <c r="D147" s="2" t="s">
        <v>1932</v>
      </c>
      <c r="F147" s="3" t="s">
        <v>58</v>
      </c>
      <c r="G147" s="3" t="s">
        <v>59</v>
      </c>
      <c r="H147" s="3" t="s">
        <v>58</v>
      </c>
      <c r="I147" s="3" t="s">
        <v>58</v>
      </c>
      <c r="J147" s="3" t="s">
        <v>60</v>
      </c>
      <c r="K147" s="2" t="s">
        <v>1933</v>
      </c>
      <c r="L147" s="2" t="s">
        <v>1934</v>
      </c>
      <c r="M147" s="3" t="s">
        <v>614</v>
      </c>
      <c r="O147" s="3" t="s">
        <v>64</v>
      </c>
      <c r="P147" s="3" t="s">
        <v>135</v>
      </c>
      <c r="R147" s="3" t="s">
        <v>66</v>
      </c>
      <c r="S147" s="4">
        <v>3</v>
      </c>
      <c r="T147" s="4">
        <v>3</v>
      </c>
      <c r="U147" s="5" t="s">
        <v>1935</v>
      </c>
      <c r="V147" s="5" t="s">
        <v>1935</v>
      </c>
      <c r="W147" s="5" t="s">
        <v>1936</v>
      </c>
      <c r="X147" s="5" t="s">
        <v>1936</v>
      </c>
      <c r="Y147" s="4">
        <v>88</v>
      </c>
      <c r="Z147" s="4">
        <v>59</v>
      </c>
      <c r="AA147" s="4">
        <v>84</v>
      </c>
      <c r="AB147" s="4">
        <v>1</v>
      </c>
      <c r="AC147" s="4">
        <v>1</v>
      </c>
      <c r="AD147" s="4">
        <v>1</v>
      </c>
      <c r="AE147" s="4">
        <v>2</v>
      </c>
      <c r="AF147" s="4">
        <v>0</v>
      </c>
      <c r="AG147" s="4">
        <v>1</v>
      </c>
      <c r="AH147" s="4">
        <v>1</v>
      </c>
      <c r="AI147" s="4">
        <v>1</v>
      </c>
      <c r="AJ147" s="4">
        <v>0</v>
      </c>
      <c r="AK147" s="4">
        <v>1</v>
      </c>
      <c r="AL147" s="4">
        <v>0</v>
      </c>
      <c r="AM147" s="4">
        <v>0</v>
      </c>
      <c r="AN147" s="4">
        <v>0</v>
      </c>
      <c r="AO147" s="4">
        <v>0</v>
      </c>
      <c r="AP147" s="3" t="s">
        <v>58</v>
      </c>
      <c r="AQ147" s="3" t="s">
        <v>85</v>
      </c>
      <c r="AR147" s="6" t="str">
        <f>HYPERLINK("http://catalog.hathitrust.org/Record/001541034","HathiTrust Record")</f>
        <v>HathiTrust Record</v>
      </c>
      <c r="AS147" s="6" t="str">
        <f>HYPERLINK("https://creighton-primo.hosted.exlibrisgroup.com/primo-explore/search?tab=default_tab&amp;search_scope=EVERYTHING&amp;vid=01CRU&amp;lang=en_US&amp;offset=0&amp;query=any,contains,991001355319702656","Catalog Record")</f>
        <v>Catalog Record</v>
      </c>
      <c r="AT147" s="6" t="str">
        <f>HYPERLINK("http://www.worldcat.org/oclc/19127535","WorldCat Record")</f>
        <v>WorldCat Record</v>
      </c>
      <c r="AU147" s="3" t="s">
        <v>1937</v>
      </c>
      <c r="AV147" s="3" t="s">
        <v>1938</v>
      </c>
      <c r="AW147" s="3" t="s">
        <v>1939</v>
      </c>
      <c r="AX147" s="3" t="s">
        <v>1939</v>
      </c>
      <c r="AY147" s="3" t="s">
        <v>1940</v>
      </c>
      <c r="AZ147" s="3" t="s">
        <v>73</v>
      </c>
      <c r="BC147" s="3" t="s">
        <v>1941</v>
      </c>
      <c r="BD147" s="3" t="s">
        <v>1942</v>
      </c>
    </row>
    <row r="148" spans="1:56" ht="40.5" customHeight="1" x14ac:dyDescent="0.25">
      <c r="A148" s="7" t="s">
        <v>58</v>
      </c>
      <c r="B148" s="2" t="s">
        <v>1943</v>
      </c>
      <c r="C148" s="2" t="s">
        <v>1944</v>
      </c>
      <c r="D148" s="2" t="s">
        <v>1945</v>
      </c>
      <c r="F148" s="3" t="s">
        <v>58</v>
      </c>
      <c r="G148" s="3" t="s">
        <v>59</v>
      </c>
      <c r="H148" s="3" t="s">
        <v>58</v>
      </c>
      <c r="I148" s="3" t="s">
        <v>58</v>
      </c>
      <c r="J148" s="3" t="s">
        <v>60</v>
      </c>
      <c r="K148" s="2" t="s">
        <v>1946</v>
      </c>
      <c r="L148" s="2" t="s">
        <v>1947</v>
      </c>
      <c r="M148" s="3" t="s">
        <v>182</v>
      </c>
      <c r="O148" s="3" t="s">
        <v>64</v>
      </c>
      <c r="P148" s="3" t="s">
        <v>65</v>
      </c>
      <c r="R148" s="3" t="s">
        <v>66</v>
      </c>
      <c r="S148" s="4">
        <v>1</v>
      </c>
      <c r="T148" s="4">
        <v>1</v>
      </c>
      <c r="U148" s="5" t="s">
        <v>1948</v>
      </c>
      <c r="V148" s="5" t="s">
        <v>1948</v>
      </c>
      <c r="W148" s="5" t="s">
        <v>290</v>
      </c>
      <c r="X148" s="5" t="s">
        <v>290</v>
      </c>
      <c r="Y148" s="4">
        <v>148</v>
      </c>
      <c r="Z148" s="4">
        <v>118</v>
      </c>
      <c r="AA148" s="4">
        <v>137</v>
      </c>
      <c r="AB148" s="4">
        <v>2</v>
      </c>
      <c r="AC148" s="4">
        <v>2</v>
      </c>
      <c r="AD148" s="4">
        <v>4</v>
      </c>
      <c r="AE148" s="4">
        <v>5</v>
      </c>
      <c r="AF148" s="4">
        <v>0</v>
      </c>
      <c r="AG148" s="4">
        <v>1</v>
      </c>
      <c r="AH148" s="4">
        <v>2</v>
      </c>
      <c r="AI148" s="4">
        <v>2</v>
      </c>
      <c r="AJ148" s="4">
        <v>2</v>
      </c>
      <c r="AK148" s="4">
        <v>3</v>
      </c>
      <c r="AL148" s="4">
        <v>1</v>
      </c>
      <c r="AM148" s="4">
        <v>1</v>
      </c>
      <c r="AN148" s="4">
        <v>0</v>
      </c>
      <c r="AO148" s="4">
        <v>0</v>
      </c>
      <c r="AP148" s="3" t="s">
        <v>58</v>
      </c>
      <c r="AQ148" s="3" t="s">
        <v>85</v>
      </c>
      <c r="AR148" s="6" t="str">
        <f>HYPERLINK("http://catalog.hathitrust.org/Record/000826237","HathiTrust Record")</f>
        <v>HathiTrust Record</v>
      </c>
      <c r="AS148" s="6" t="str">
        <f>HYPERLINK("https://creighton-primo.hosted.exlibrisgroup.com/primo-explore/search?tab=default_tab&amp;search_scope=EVERYTHING&amp;vid=01CRU&amp;lang=en_US&amp;offset=0&amp;query=any,contains,991001265649702656","Catalog Record")</f>
        <v>Catalog Record</v>
      </c>
      <c r="AT148" s="6" t="str">
        <f>HYPERLINK("http://www.worldcat.org/oclc/15281536","WorldCat Record")</f>
        <v>WorldCat Record</v>
      </c>
      <c r="AU148" s="3" t="s">
        <v>1949</v>
      </c>
      <c r="AV148" s="3" t="s">
        <v>1950</v>
      </c>
      <c r="AW148" s="3" t="s">
        <v>1951</v>
      </c>
      <c r="AX148" s="3" t="s">
        <v>1951</v>
      </c>
      <c r="AY148" s="3" t="s">
        <v>1952</v>
      </c>
      <c r="AZ148" s="3" t="s">
        <v>73</v>
      </c>
      <c r="BB148" s="3" t="s">
        <v>1953</v>
      </c>
      <c r="BC148" s="3" t="s">
        <v>1954</v>
      </c>
      <c r="BD148" s="3" t="s">
        <v>1955</v>
      </c>
    </row>
    <row r="149" spans="1:56" ht="40.5" customHeight="1" x14ac:dyDescent="0.25">
      <c r="A149" s="7" t="s">
        <v>58</v>
      </c>
      <c r="B149" s="2" t="s">
        <v>1956</v>
      </c>
      <c r="C149" s="2" t="s">
        <v>1957</v>
      </c>
      <c r="D149" s="2" t="s">
        <v>1958</v>
      </c>
      <c r="F149" s="3" t="s">
        <v>58</v>
      </c>
      <c r="G149" s="3" t="s">
        <v>59</v>
      </c>
      <c r="H149" s="3" t="s">
        <v>58</v>
      </c>
      <c r="I149" s="3" t="s">
        <v>58</v>
      </c>
      <c r="J149" s="3" t="s">
        <v>60</v>
      </c>
      <c r="K149" s="2" t="s">
        <v>1959</v>
      </c>
      <c r="L149" s="2" t="s">
        <v>1960</v>
      </c>
      <c r="M149" s="3" t="s">
        <v>213</v>
      </c>
      <c r="O149" s="3" t="s">
        <v>64</v>
      </c>
      <c r="P149" s="3" t="s">
        <v>230</v>
      </c>
      <c r="R149" s="3" t="s">
        <v>66</v>
      </c>
      <c r="S149" s="4">
        <v>2</v>
      </c>
      <c r="T149" s="4">
        <v>2</v>
      </c>
      <c r="U149" s="5" t="s">
        <v>1269</v>
      </c>
      <c r="V149" s="5" t="s">
        <v>1269</v>
      </c>
      <c r="W149" s="5" t="s">
        <v>290</v>
      </c>
      <c r="X149" s="5" t="s">
        <v>290</v>
      </c>
      <c r="Y149" s="4">
        <v>174</v>
      </c>
      <c r="Z149" s="4">
        <v>110</v>
      </c>
      <c r="AA149" s="4">
        <v>112</v>
      </c>
      <c r="AB149" s="4">
        <v>3</v>
      </c>
      <c r="AC149" s="4">
        <v>3</v>
      </c>
      <c r="AD149" s="4">
        <v>2</v>
      </c>
      <c r="AE149" s="4">
        <v>2</v>
      </c>
      <c r="AF149" s="4">
        <v>0</v>
      </c>
      <c r="AG149" s="4">
        <v>0</v>
      </c>
      <c r="AH149" s="4">
        <v>0</v>
      </c>
      <c r="AI149" s="4">
        <v>0</v>
      </c>
      <c r="AJ149" s="4">
        <v>0</v>
      </c>
      <c r="AK149" s="4">
        <v>0</v>
      </c>
      <c r="AL149" s="4">
        <v>2</v>
      </c>
      <c r="AM149" s="4">
        <v>2</v>
      </c>
      <c r="AN149" s="4">
        <v>0</v>
      </c>
      <c r="AO149" s="4">
        <v>0</v>
      </c>
      <c r="AP149" s="3" t="s">
        <v>58</v>
      </c>
      <c r="AQ149" s="3" t="s">
        <v>85</v>
      </c>
      <c r="AR149" s="6" t="str">
        <f>HYPERLINK("http://catalog.hathitrust.org/Record/007972719","HathiTrust Record")</f>
        <v>HathiTrust Record</v>
      </c>
      <c r="AS149" s="6" t="str">
        <f>HYPERLINK("https://creighton-primo.hosted.exlibrisgroup.com/primo-explore/search?tab=default_tab&amp;search_scope=EVERYTHING&amp;vid=01CRU&amp;lang=en_US&amp;offset=0&amp;query=any,contains,991000897219702656","Catalog Record")</f>
        <v>Catalog Record</v>
      </c>
      <c r="AT149" s="6" t="str">
        <f>HYPERLINK("http://www.worldcat.org/oclc/3362475","WorldCat Record")</f>
        <v>WorldCat Record</v>
      </c>
      <c r="AU149" s="3" t="s">
        <v>1961</v>
      </c>
      <c r="AV149" s="3" t="s">
        <v>1962</v>
      </c>
      <c r="AW149" s="3" t="s">
        <v>1963</v>
      </c>
      <c r="AX149" s="3" t="s">
        <v>1963</v>
      </c>
      <c r="AY149" s="3" t="s">
        <v>1964</v>
      </c>
      <c r="AZ149" s="3" t="s">
        <v>73</v>
      </c>
      <c r="BB149" s="3" t="s">
        <v>1965</v>
      </c>
      <c r="BC149" s="3" t="s">
        <v>1966</v>
      </c>
      <c r="BD149" s="3" t="s">
        <v>1967</v>
      </c>
    </row>
    <row r="150" spans="1:56" ht="40.5" customHeight="1" x14ac:dyDescent="0.25">
      <c r="A150" s="7" t="s">
        <v>58</v>
      </c>
      <c r="B150" s="2" t="s">
        <v>1968</v>
      </c>
      <c r="C150" s="2" t="s">
        <v>1969</v>
      </c>
      <c r="D150" s="2" t="s">
        <v>1970</v>
      </c>
      <c r="F150" s="3" t="s">
        <v>58</v>
      </c>
      <c r="G150" s="3" t="s">
        <v>59</v>
      </c>
      <c r="H150" s="3" t="s">
        <v>58</v>
      </c>
      <c r="I150" s="3" t="s">
        <v>58</v>
      </c>
      <c r="J150" s="3" t="s">
        <v>60</v>
      </c>
      <c r="K150" s="2" t="s">
        <v>1971</v>
      </c>
      <c r="L150" s="2" t="s">
        <v>1972</v>
      </c>
      <c r="M150" s="3" t="s">
        <v>614</v>
      </c>
      <c r="O150" s="3" t="s">
        <v>64</v>
      </c>
      <c r="P150" s="3" t="s">
        <v>135</v>
      </c>
      <c r="Q150" s="2" t="s">
        <v>1973</v>
      </c>
      <c r="R150" s="3" t="s">
        <v>66</v>
      </c>
      <c r="S150" s="4">
        <v>3</v>
      </c>
      <c r="T150" s="4">
        <v>3</v>
      </c>
      <c r="U150" s="5" t="s">
        <v>1269</v>
      </c>
      <c r="V150" s="5" t="s">
        <v>1269</v>
      </c>
      <c r="W150" s="5" t="s">
        <v>1974</v>
      </c>
      <c r="X150" s="5" t="s">
        <v>1974</v>
      </c>
      <c r="Y150" s="4">
        <v>451</v>
      </c>
      <c r="Z150" s="4">
        <v>332</v>
      </c>
      <c r="AA150" s="4">
        <v>340</v>
      </c>
      <c r="AB150" s="4">
        <v>2</v>
      </c>
      <c r="AC150" s="4">
        <v>2</v>
      </c>
      <c r="AD150" s="4">
        <v>13</v>
      </c>
      <c r="AE150" s="4">
        <v>13</v>
      </c>
      <c r="AF150" s="4">
        <v>5</v>
      </c>
      <c r="AG150" s="4">
        <v>5</v>
      </c>
      <c r="AH150" s="4">
        <v>3</v>
      </c>
      <c r="AI150" s="4">
        <v>3</v>
      </c>
      <c r="AJ150" s="4">
        <v>7</v>
      </c>
      <c r="AK150" s="4">
        <v>7</v>
      </c>
      <c r="AL150" s="4">
        <v>1</v>
      </c>
      <c r="AM150" s="4">
        <v>1</v>
      </c>
      <c r="AN150" s="4">
        <v>0</v>
      </c>
      <c r="AO150" s="4">
        <v>0</v>
      </c>
      <c r="AP150" s="3" t="s">
        <v>58</v>
      </c>
      <c r="AQ150" s="3" t="s">
        <v>85</v>
      </c>
      <c r="AR150" s="6" t="str">
        <f>HYPERLINK("http://catalog.hathitrust.org/Record/001546220","HathiTrust Record")</f>
        <v>HathiTrust Record</v>
      </c>
      <c r="AS150" s="6" t="str">
        <f>HYPERLINK("https://creighton-primo.hosted.exlibrisgroup.com/primo-explore/search?tab=default_tab&amp;search_scope=EVERYTHING&amp;vid=01CRU&amp;lang=en_US&amp;offset=0&amp;query=any,contains,991001353459702656","Catalog Record")</f>
        <v>Catalog Record</v>
      </c>
      <c r="AT150" s="6" t="str">
        <f>HYPERLINK("http://www.worldcat.org/oclc/22547829","WorldCat Record")</f>
        <v>WorldCat Record</v>
      </c>
      <c r="AU150" s="3" t="s">
        <v>1975</v>
      </c>
      <c r="AV150" s="3" t="s">
        <v>1976</v>
      </c>
      <c r="AW150" s="3" t="s">
        <v>1977</v>
      </c>
      <c r="AX150" s="3" t="s">
        <v>1977</v>
      </c>
      <c r="AY150" s="3" t="s">
        <v>1978</v>
      </c>
      <c r="AZ150" s="3" t="s">
        <v>73</v>
      </c>
      <c r="BB150" s="3" t="s">
        <v>1979</v>
      </c>
      <c r="BC150" s="3" t="s">
        <v>1980</v>
      </c>
      <c r="BD150" s="3" t="s">
        <v>1981</v>
      </c>
    </row>
    <row r="151" spans="1:56" ht="40.5" customHeight="1" x14ac:dyDescent="0.25">
      <c r="A151" s="7" t="s">
        <v>58</v>
      </c>
      <c r="B151" s="2" t="s">
        <v>1982</v>
      </c>
      <c r="C151" s="2" t="s">
        <v>1983</v>
      </c>
      <c r="D151" s="2" t="s">
        <v>1984</v>
      </c>
      <c r="F151" s="3" t="s">
        <v>58</v>
      </c>
      <c r="G151" s="3" t="s">
        <v>59</v>
      </c>
      <c r="H151" s="3" t="s">
        <v>58</v>
      </c>
      <c r="I151" s="3" t="s">
        <v>58</v>
      </c>
      <c r="J151" s="3" t="s">
        <v>60</v>
      </c>
      <c r="K151" s="2" t="s">
        <v>1985</v>
      </c>
      <c r="L151" s="2" t="s">
        <v>1986</v>
      </c>
      <c r="M151" s="3" t="s">
        <v>759</v>
      </c>
      <c r="O151" s="3" t="s">
        <v>64</v>
      </c>
      <c r="P151" s="3" t="s">
        <v>117</v>
      </c>
      <c r="R151" s="3" t="s">
        <v>66</v>
      </c>
      <c r="S151" s="4">
        <v>6</v>
      </c>
      <c r="T151" s="4">
        <v>6</v>
      </c>
      <c r="U151" s="5" t="s">
        <v>1987</v>
      </c>
      <c r="V151" s="5" t="s">
        <v>1987</v>
      </c>
      <c r="W151" s="5" t="s">
        <v>1988</v>
      </c>
      <c r="X151" s="5" t="s">
        <v>1988</v>
      </c>
      <c r="Y151" s="4">
        <v>393</v>
      </c>
      <c r="Z151" s="4">
        <v>286</v>
      </c>
      <c r="AA151" s="4">
        <v>286</v>
      </c>
      <c r="AB151" s="4">
        <v>4</v>
      </c>
      <c r="AC151" s="4">
        <v>4</v>
      </c>
      <c r="AD151" s="4">
        <v>13</v>
      </c>
      <c r="AE151" s="4">
        <v>13</v>
      </c>
      <c r="AF151" s="4">
        <v>3</v>
      </c>
      <c r="AG151" s="4">
        <v>3</v>
      </c>
      <c r="AH151" s="4">
        <v>3</v>
      </c>
      <c r="AI151" s="4">
        <v>3</v>
      </c>
      <c r="AJ151" s="4">
        <v>6</v>
      </c>
      <c r="AK151" s="4">
        <v>6</v>
      </c>
      <c r="AL151" s="4">
        <v>3</v>
      </c>
      <c r="AM151" s="4">
        <v>3</v>
      </c>
      <c r="AN151" s="4">
        <v>0</v>
      </c>
      <c r="AO151" s="4">
        <v>0</v>
      </c>
      <c r="AP151" s="3" t="s">
        <v>58</v>
      </c>
      <c r="AQ151" s="3" t="s">
        <v>58</v>
      </c>
      <c r="AS151" s="6" t="str">
        <f>HYPERLINK("https://creighton-primo.hosted.exlibrisgroup.com/primo-explore/search?tab=default_tab&amp;search_scope=EVERYTHING&amp;vid=01CRU&amp;lang=en_US&amp;offset=0&amp;query=any,contains,991001494499702656","Catalog Record")</f>
        <v>Catalog Record</v>
      </c>
      <c r="AT151" s="6" t="str">
        <f>HYPERLINK("http://www.worldcat.org/oclc/32666458","WorldCat Record")</f>
        <v>WorldCat Record</v>
      </c>
      <c r="AU151" s="3" t="s">
        <v>1989</v>
      </c>
      <c r="AV151" s="3" t="s">
        <v>1990</v>
      </c>
      <c r="AW151" s="3" t="s">
        <v>1991</v>
      </c>
      <c r="AX151" s="3" t="s">
        <v>1991</v>
      </c>
      <c r="AY151" s="3" t="s">
        <v>1992</v>
      </c>
      <c r="AZ151" s="3" t="s">
        <v>73</v>
      </c>
      <c r="BB151" s="3" t="s">
        <v>1993</v>
      </c>
      <c r="BC151" s="3" t="s">
        <v>1994</v>
      </c>
      <c r="BD151" s="3" t="s">
        <v>1995</v>
      </c>
    </row>
    <row r="152" spans="1:56" ht="40.5" customHeight="1" x14ac:dyDescent="0.25">
      <c r="A152" s="7" t="s">
        <v>58</v>
      </c>
      <c r="B152" s="2" t="s">
        <v>1996</v>
      </c>
      <c r="C152" s="2" t="s">
        <v>1997</v>
      </c>
      <c r="D152" s="2" t="s">
        <v>1998</v>
      </c>
      <c r="F152" s="3" t="s">
        <v>58</v>
      </c>
      <c r="G152" s="3" t="s">
        <v>59</v>
      </c>
      <c r="H152" s="3" t="s">
        <v>58</v>
      </c>
      <c r="I152" s="3" t="s">
        <v>58</v>
      </c>
      <c r="J152" s="3" t="s">
        <v>60</v>
      </c>
      <c r="K152" s="2" t="s">
        <v>1999</v>
      </c>
      <c r="L152" s="2" t="s">
        <v>2000</v>
      </c>
      <c r="M152" s="3" t="s">
        <v>759</v>
      </c>
      <c r="O152" s="3" t="s">
        <v>64</v>
      </c>
      <c r="P152" s="3" t="s">
        <v>886</v>
      </c>
      <c r="R152" s="3" t="s">
        <v>66</v>
      </c>
      <c r="S152" s="4">
        <v>10</v>
      </c>
      <c r="T152" s="4">
        <v>10</v>
      </c>
      <c r="U152" s="5" t="s">
        <v>2001</v>
      </c>
      <c r="V152" s="5" t="s">
        <v>2001</v>
      </c>
      <c r="W152" s="5" t="s">
        <v>2002</v>
      </c>
      <c r="X152" s="5" t="s">
        <v>2002</v>
      </c>
      <c r="Y152" s="4">
        <v>312</v>
      </c>
      <c r="Z152" s="4">
        <v>245</v>
      </c>
      <c r="AA152" s="4">
        <v>245</v>
      </c>
      <c r="AB152" s="4">
        <v>2</v>
      </c>
      <c r="AC152" s="4">
        <v>2</v>
      </c>
      <c r="AD152" s="4">
        <v>9</v>
      </c>
      <c r="AE152" s="4">
        <v>9</v>
      </c>
      <c r="AF152" s="4">
        <v>4</v>
      </c>
      <c r="AG152" s="4">
        <v>4</v>
      </c>
      <c r="AH152" s="4">
        <v>4</v>
      </c>
      <c r="AI152" s="4">
        <v>4</v>
      </c>
      <c r="AJ152" s="4">
        <v>3</v>
      </c>
      <c r="AK152" s="4">
        <v>3</v>
      </c>
      <c r="AL152" s="4">
        <v>1</v>
      </c>
      <c r="AM152" s="4">
        <v>1</v>
      </c>
      <c r="AN152" s="4">
        <v>0</v>
      </c>
      <c r="AO152" s="4">
        <v>0</v>
      </c>
      <c r="AP152" s="3" t="s">
        <v>58</v>
      </c>
      <c r="AQ152" s="3" t="s">
        <v>58</v>
      </c>
      <c r="AS152" s="6" t="str">
        <f>HYPERLINK("https://creighton-primo.hosted.exlibrisgroup.com/primo-explore/search?tab=default_tab&amp;search_scope=EVERYTHING&amp;vid=01CRU&amp;lang=en_US&amp;offset=0&amp;query=any,contains,991000682519702656","Catalog Record")</f>
        <v>Catalog Record</v>
      </c>
      <c r="AT152" s="6" t="str">
        <f>HYPERLINK("http://www.worldcat.org/oclc/30074448","WorldCat Record")</f>
        <v>WorldCat Record</v>
      </c>
      <c r="AU152" s="3" t="s">
        <v>2003</v>
      </c>
      <c r="AV152" s="3" t="s">
        <v>2004</v>
      </c>
      <c r="AW152" s="3" t="s">
        <v>2005</v>
      </c>
      <c r="AX152" s="3" t="s">
        <v>2005</v>
      </c>
      <c r="AY152" s="3" t="s">
        <v>2006</v>
      </c>
      <c r="AZ152" s="3" t="s">
        <v>73</v>
      </c>
      <c r="BB152" s="3" t="s">
        <v>2007</v>
      </c>
      <c r="BC152" s="3" t="s">
        <v>2008</v>
      </c>
      <c r="BD152" s="3" t="s">
        <v>2009</v>
      </c>
    </row>
    <row r="153" spans="1:56" ht="40.5" customHeight="1" x14ac:dyDescent="0.25">
      <c r="A153" s="7" t="s">
        <v>58</v>
      </c>
      <c r="B153" s="2" t="s">
        <v>2010</v>
      </c>
      <c r="C153" s="2" t="s">
        <v>2011</v>
      </c>
      <c r="D153" s="2" t="s">
        <v>2012</v>
      </c>
      <c r="F153" s="3" t="s">
        <v>58</v>
      </c>
      <c r="G153" s="3" t="s">
        <v>59</v>
      </c>
      <c r="H153" s="3" t="s">
        <v>58</v>
      </c>
      <c r="I153" s="3" t="s">
        <v>58</v>
      </c>
      <c r="J153" s="3" t="s">
        <v>60</v>
      </c>
      <c r="L153" s="2" t="s">
        <v>2013</v>
      </c>
      <c r="M153" s="3" t="s">
        <v>482</v>
      </c>
      <c r="O153" s="3" t="s">
        <v>64</v>
      </c>
      <c r="P153" s="3" t="s">
        <v>117</v>
      </c>
      <c r="Q153" s="2" t="s">
        <v>2014</v>
      </c>
      <c r="R153" s="3" t="s">
        <v>66</v>
      </c>
      <c r="S153" s="4">
        <v>6</v>
      </c>
      <c r="T153" s="4">
        <v>6</v>
      </c>
      <c r="U153" s="5" t="s">
        <v>1606</v>
      </c>
      <c r="V153" s="5" t="s">
        <v>1606</v>
      </c>
      <c r="W153" s="5" t="s">
        <v>290</v>
      </c>
      <c r="X153" s="5" t="s">
        <v>290</v>
      </c>
      <c r="Y153" s="4">
        <v>127</v>
      </c>
      <c r="Z153" s="4">
        <v>102</v>
      </c>
      <c r="AA153" s="4">
        <v>149</v>
      </c>
      <c r="AB153" s="4">
        <v>1</v>
      </c>
      <c r="AC153" s="4">
        <v>2</v>
      </c>
      <c r="AD153" s="4">
        <v>3</v>
      </c>
      <c r="AE153" s="4">
        <v>8</v>
      </c>
      <c r="AF153" s="4">
        <v>1</v>
      </c>
      <c r="AG153" s="4">
        <v>4</v>
      </c>
      <c r="AH153" s="4">
        <v>2</v>
      </c>
      <c r="AI153" s="4">
        <v>4</v>
      </c>
      <c r="AJ153" s="4">
        <v>2</v>
      </c>
      <c r="AK153" s="4">
        <v>3</v>
      </c>
      <c r="AL153" s="4">
        <v>0</v>
      </c>
      <c r="AM153" s="4">
        <v>1</v>
      </c>
      <c r="AN153" s="4">
        <v>0</v>
      </c>
      <c r="AO153" s="4">
        <v>0</v>
      </c>
      <c r="AP153" s="3" t="s">
        <v>58</v>
      </c>
      <c r="AQ153" s="3" t="s">
        <v>85</v>
      </c>
      <c r="AR153" s="6" t="str">
        <f>HYPERLINK("http://catalog.hathitrust.org/Record/008990292","HathiTrust Record")</f>
        <v>HathiTrust Record</v>
      </c>
      <c r="AS153" s="6" t="str">
        <f>HYPERLINK("https://creighton-primo.hosted.exlibrisgroup.com/primo-explore/search?tab=default_tab&amp;search_scope=EVERYTHING&amp;vid=01CRU&amp;lang=en_US&amp;offset=0&amp;query=any,contains,991000897339702656","Catalog Record")</f>
        <v>Catalog Record</v>
      </c>
      <c r="AT153" s="6" t="str">
        <f>HYPERLINK("http://www.worldcat.org/oclc/3637139","WorldCat Record")</f>
        <v>WorldCat Record</v>
      </c>
      <c r="AU153" s="3" t="s">
        <v>2015</v>
      </c>
      <c r="AV153" s="3" t="s">
        <v>2016</v>
      </c>
      <c r="AW153" s="3" t="s">
        <v>2017</v>
      </c>
      <c r="AX153" s="3" t="s">
        <v>2017</v>
      </c>
      <c r="AY153" s="3" t="s">
        <v>2018</v>
      </c>
      <c r="AZ153" s="3" t="s">
        <v>73</v>
      </c>
      <c r="BC153" s="3" t="s">
        <v>2019</v>
      </c>
      <c r="BD153" s="3" t="s">
        <v>2020</v>
      </c>
    </row>
    <row r="154" spans="1:56" ht="40.5" customHeight="1" x14ac:dyDescent="0.25">
      <c r="A154" s="7" t="s">
        <v>58</v>
      </c>
      <c r="B154" s="2" t="s">
        <v>2021</v>
      </c>
      <c r="C154" s="2" t="s">
        <v>2022</v>
      </c>
      <c r="D154" s="2" t="s">
        <v>2023</v>
      </c>
      <c r="F154" s="3" t="s">
        <v>58</v>
      </c>
      <c r="G154" s="3" t="s">
        <v>59</v>
      </c>
      <c r="H154" s="3" t="s">
        <v>58</v>
      </c>
      <c r="I154" s="3" t="s">
        <v>58</v>
      </c>
      <c r="J154" s="3" t="s">
        <v>60</v>
      </c>
      <c r="K154" s="2" t="s">
        <v>2024</v>
      </c>
      <c r="L154" s="2" t="s">
        <v>2025</v>
      </c>
      <c r="M154" s="3" t="s">
        <v>1067</v>
      </c>
      <c r="O154" s="3" t="s">
        <v>64</v>
      </c>
      <c r="P154" s="3" t="s">
        <v>117</v>
      </c>
      <c r="R154" s="3" t="s">
        <v>66</v>
      </c>
      <c r="S154" s="4">
        <v>5</v>
      </c>
      <c r="T154" s="4">
        <v>5</v>
      </c>
      <c r="U154" s="5" t="s">
        <v>2026</v>
      </c>
      <c r="V154" s="5" t="s">
        <v>2026</v>
      </c>
      <c r="W154" s="5" t="s">
        <v>2027</v>
      </c>
      <c r="X154" s="5" t="s">
        <v>2027</v>
      </c>
      <c r="Y154" s="4">
        <v>137</v>
      </c>
      <c r="Z154" s="4">
        <v>97</v>
      </c>
      <c r="AA154" s="4">
        <v>99</v>
      </c>
      <c r="AB154" s="4">
        <v>1</v>
      </c>
      <c r="AC154" s="4">
        <v>1</v>
      </c>
      <c r="AD154" s="4">
        <v>0</v>
      </c>
      <c r="AE154" s="4">
        <v>0</v>
      </c>
      <c r="AF154" s="4">
        <v>0</v>
      </c>
      <c r="AG154" s="4">
        <v>0</v>
      </c>
      <c r="AH154" s="4">
        <v>0</v>
      </c>
      <c r="AI154" s="4">
        <v>0</v>
      </c>
      <c r="AJ154" s="4">
        <v>0</v>
      </c>
      <c r="AK154" s="4">
        <v>0</v>
      </c>
      <c r="AL154" s="4">
        <v>0</v>
      </c>
      <c r="AM154" s="4">
        <v>0</v>
      </c>
      <c r="AN154" s="4">
        <v>0</v>
      </c>
      <c r="AO154" s="4">
        <v>0</v>
      </c>
      <c r="AP154" s="3" t="s">
        <v>58</v>
      </c>
      <c r="AQ154" s="3" t="s">
        <v>85</v>
      </c>
      <c r="AR154" s="6" t="str">
        <f>HYPERLINK("http://catalog.hathitrust.org/Record/002458089","HathiTrust Record")</f>
        <v>HathiTrust Record</v>
      </c>
      <c r="AS154" s="6" t="str">
        <f>HYPERLINK("https://creighton-primo.hosted.exlibrisgroup.com/primo-explore/search?tab=default_tab&amp;search_scope=EVERYTHING&amp;vid=01CRU&amp;lang=en_US&amp;offset=0&amp;query=any,contains,991001014419702656","Catalog Record")</f>
        <v>Catalog Record</v>
      </c>
      <c r="AT154" s="6" t="str">
        <f>HYPERLINK("http://www.worldcat.org/oclc/21871695","WorldCat Record")</f>
        <v>WorldCat Record</v>
      </c>
      <c r="AU154" s="3" t="s">
        <v>2028</v>
      </c>
      <c r="AV154" s="3" t="s">
        <v>2029</v>
      </c>
      <c r="AW154" s="3" t="s">
        <v>2030</v>
      </c>
      <c r="AX154" s="3" t="s">
        <v>2030</v>
      </c>
      <c r="AY154" s="3" t="s">
        <v>2031</v>
      </c>
      <c r="AZ154" s="3" t="s">
        <v>73</v>
      </c>
      <c r="BB154" s="3" t="s">
        <v>2032</v>
      </c>
      <c r="BC154" s="3" t="s">
        <v>2033</v>
      </c>
      <c r="BD154" s="3" t="s">
        <v>2034</v>
      </c>
    </row>
    <row r="155" spans="1:56" ht="40.5" customHeight="1" x14ac:dyDescent="0.25">
      <c r="A155" s="7" t="s">
        <v>58</v>
      </c>
      <c r="B155" s="2" t="s">
        <v>2035</v>
      </c>
      <c r="C155" s="2" t="s">
        <v>2036</v>
      </c>
      <c r="D155" s="2" t="s">
        <v>2037</v>
      </c>
      <c r="F155" s="3" t="s">
        <v>58</v>
      </c>
      <c r="G155" s="3" t="s">
        <v>59</v>
      </c>
      <c r="H155" s="3" t="s">
        <v>58</v>
      </c>
      <c r="I155" s="3" t="s">
        <v>58</v>
      </c>
      <c r="J155" s="3" t="s">
        <v>60</v>
      </c>
      <c r="L155" s="2" t="s">
        <v>2038</v>
      </c>
      <c r="M155" s="3" t="s">
        <v>365</v>
      </c>
      <c r="O155" s="3" t="s">
        <v>64</v>
      </c>
      <c r="P155" s="3" t="s">
        <v>135</v>
      </c>
      <c r="Q155" s="2" t="s">
        <v>2039</v>
      </c>
      <c r="R155" s="3" t="s">
        <v>66</v>
      </c>
      <c r="S155" s="4">
        <v>14</v>
      </c>
      <c r="T155" s="4">
        <v>14</v>
      </c>
      <c r="U155" s="5" t="s">
        <v>2040</v>
      </c>
      <c r="V155" s="5" t="s">
        <v>2040</v>
      </c>
      <c r="W155" s="5" t="s">
        <v>1829</v>
      </c>
      <c r="X155" s="5" t="s">
        <v>1829</v>
      </c>
      <c r="Y155" s="4">
        <v>407</v>
      </c>
      <c r="Z155" s="4">
        <v>304</v>
      </c>
      <c r="AA155" s="4">
        <v>402</v>
      </c>
      <c r="AB155" s="4">
        <v>2</v>
      </c>
      <c r="AC155" s="4">
        <v>2</v>
      </c>
      <c r="AD155" s="4">
        <v>17</v>
      </c>
      <c r="AE155" s="4">
        <v>21</v>
      </c>
      <c r="AF155" s="4">
        <v>6</v>
      </c>
      <c r="AG155" s="4">
        <v>7</v>
      </c>
      <c r="AH155" s="4">
        <v>7</v>
      </c>
      <c r="AI155" s="4">
        <v>8</v>
      </c>
      <c r="AJ155" s="4">
        <v>9</v>
      </c>
      <c r="AK155" s="4">
        <v>11</v>
      </c>
      <c r="AL155" s="4">
        <v>1</v>
      </c>
      <c r="AM155" s="4">
        <v>1</v>
      </c>
      <c r="AN155" s="4">
        <v>0</v>
      </c>
      <c r="AO155" s="4">
        <v>0</v>
      </c>
      <c r="AP155" s="3" t="s">
        <v>58</v>
      </c>
      <c r="AQ155" s="3" t="s">
        <v>85</v>
      </c>
      <c r="AR155" s="6" t="str">
        <f>HYPERLINK("http://catalog.hathitrust.org/Record/002865478","HathiTrust Record")</f>
        <v>HathiTrust Record</v>
      </c>
      <c r="AS155" s="6" t="str">
        <f>HYPERLINK("https://creighton-primo.hosted.exlibrisgroup.com/primo-explore/search?tab=default_tab&amp;search_scope=EVERYTHING&amp;vid=01CRU&amp;lang=en_US&amp;offset=0&amp;query=any,contains,991001191279702656","Catalog Record")</f>
        <v>Catalog Record</v>
      </c>
      <c r="AT155" s="6" t="str">
        <f>HYPERLINK("http://www.worldcat.org/oclc/29595367","WorldCat Record")</f>
        <v>WorldCat Record</v>
      </c>
      <c r="AU155" s="3" t="s">
        <v>2041</v>
      </c>
      <c r="AV155" s="3" t="s">
        <v>2042</v>
      </c>
      <c r="AW155" s="3" t="s">
        <v>2043</v>
      </c>
      <c r="AX155" s="3" t="s">
        <v>2043</v>
      </c>
      <c r="AY155" s="3" t="s">
        <v>2044</v>
      </c>
      <c r="AZ155" s="3" t="s">
        <v>73</v>
      </c>
      <c r="BC155" s="3" t="s">
        <v>2045</v>
      </c>
      <c r="BD155" s="3" t="s">
        <v>2046</v>
      </c>
    </row>
    <row r="156" spans="1:56" ht="40.5" customHeight="1" x14ac:dyDescent="0.25">
      <c r="A156" s="7" t="s">
        <v>58</v>
      </c>
      <c r="B156" s="2" t="s">
        <v>2047</v>
      </c>
      <c r="C156" s="2" t="s">
        <v>2048</v>
      </c>
      <c r="D156" s="2" t="s">
        <v>2049</v>
      </c>
      <c r="F156" s="3" t="s">
        <v>58</v>
      </c>
      <c r="G156" s="3" t="s">
        <v>59</v>
      </c>
      <c r="H156" s="3" t="s">
        <v>58</v>
      </c>
      <c r="I156" s="3" t="s">
        <v>58</v>
      </c>
      <c r="J156" s="3" t="s">
        <v>60</v>
      </c>
      <c r="L156" s="2" t="s">
        <v>1841</v>
      </c>
      <c r="M156" s="3" t="s">
        <v>365</v>
      </c>
      <c r="O156" s="3" t="s">
        <v>64</v>
      </c>
      <c r="P156" s="3" t="s">
        <v>117</v>
      </c>
      <c r="Q156" s="2" t="s">
        <v>2050</v>
      </c>
      <c r="R156" s="3" t="s">
        <v>66</v>
      </c>
      <c r="S156" s="4">
        <v>3</v>
      </c>
      <c r="T156" s="4">
        <v>3</v>
      </c>
      <c r="U156" s="5" t="s">
        <v>2051</v>
      </c>
      <c r="V156" s="5" t="s">
        <v>2051</v>
      </c>
      <c r="W156" s="5" t="s">
        <v>2052</v>
      </c>
      <c r="X156" s="5" t="s">
        <v>2052</v>
      </c>
      <c r="Y156" s="4">
        <v>294</v>
      </c>
      <c r="Z156" s="4">
        <v>210</v>
      </c>
      <c r="AA156" s="4">
        <v>226</v>
      </c>
      <c r="AB156" s="4">
        <v>4</v>
      </c>
      <c r="AC156" s="4">
        <v>4</v>
      </c>
      <c r="AD156" s="4">
        <v>9</v>
      </c>
      <c r="AE156" s="4">
        <v>10</v>
      </c>
      <c r="AF156" s="4">
        <v>0</v>
      </c>
      <c r="AG156" s="4">
        <v>1</v>
      </c>
      <c r="AH156" s="4">
        <v>4</v>
      </c>
      <c r="AI156" s="4">
        <v>4</v>
      </c>
      <c r="AJ156" s="4">
        <v>4</v>
      </c>
      <c r="AK156" s="4">
        <v>5</v>
      </c>
      <c r="AL156" s="4">
        <v>3</v>
      </c>
      <c r="AM156" s="4">
        <v>3</v>
      </c>
      <c r="AN156" s="4">
        <v>0</v>
      </c>
      <c r="AO156" s="4">
        <v>0</v>
      </c>
      <c r="AP156" s="3" t="s">
        <v>58</v>
      </c>
      <c r="AQ156" s="3" t="s">
        <v>85</v>
      </c>
      <c r="AR156" s="6" t="str">
        <f>HYPERLINK("http://catalog.hathitrust.org/Record/002959735","HathiTrust Record")</f>
        <v>HathiTrust Record</v>
      </c>
      <c r="AS156" s="6" t="str">
        <f>HYPERLINK("https://creighton-primo.hosted.exlibrisgroup.com/primo-explore/search?tab=default_tab&amp;search_scope=EVERYTHING&amp;vid=01CRU&amp;lang=en_US&amp;offset=0&amp;query=any,contains,991001396939702656","Catalog Record")</f>
        <v>Catalog Record</v>
      </c>
      <c r="AT156" s="6" t="str">
        <f>HYPERLINK("http://www.worldcat.org/oclc/28510499","WorldCat Record")</f>
        <v>WorldCat Record</v>
      </c>
      <c r="AU156" s="3" t="s">
        <v>2053</v>
      </c>
      <c r="AV156" s="3" t="s">
        <v>2054</v>
      </c>
      <c r="AW156" s="3" t="s">
        <v>2055</v>
      </c>
      <c r="AX156" s="3" t="s">
        <v>2055</v>
      </c>
      <c r="AY156" s="3" t="s">
        <v>2056</v>
      </c>
      <c r="AZ156" s="3" t="s">
        <v>73</v>
      </c>
      <c r="BC156" s="3" t="s">
        <v>2057</v>
      </c>
      <c r="BD156" s="3" t="s">
        <v>2058</v>
      </c>
    </row>
    <row r="157" spans="1:56" ht="40.5" customHeight="1" x14ac:dyDescent="0.25">
      <c r="A157" s="7" t="s">
        <v>58</v>
      </c>
      <c r="B157" s="2" t="s">
        <v>2059</v>
      </c>
      <c r="C157" s="2" t="s">
        <v>2060</v>
      </c>
      <c r="D157" s="2" t="s">
        <v>2061</v>
      </c>
      <c r="F157" s="3" t="s">
        <v>58</v>
      </c>
      <c r="G157" s="3" t="s">
        <v>59</v>
      </c>
      <c r="H157" s="3" t="s">
        <v>58</v>
      </c>
      <c r="I157" s="3" t="s">
        <v>58</v>
      </c>
      <c r="J157" s="3" t="s">
        <v>60</v>
      </c>
      <c r="L157" s="2" t="s">
        <v>2062</v>
      </c>
      <c r="M157" s="3" t="s">
        <v>116</v>
      </c>
      <c r="O157" s="3" t="s">
        <v>64</v>
      </c>
      <c r="P157" s="3" t="s">
        <v>230</v>
      </c>
      <c r="Q157" s="2" t="s">
        <v>2063</v>
      </c>
      <c r="R157" s="3" t="s">
        <v>66</v>
      </c>
      <c r="S157" s="4">
        <v>6</v>
      </c>
      <c r="T157" s="4">
        <v>6</v>
      </c>
      <c r="U157" s="5" t="s">
        <v>2064</v>
      </c>
      <c r="V157" s="5" t="s">
        <v>2064</v>
      </c>
      <c r="W157" s="5" t="s">
        <v>2065</v>
      </c>
      <c r="X157" s="5" t="s">
        <v>2065</v>
      </c>
      <c r="Y157" s="4">
        <v>292</v>
      </c>
      <c r="Z157" s="4">
        <v>198</v>
      </c>
      <c r="AA157" s="4">
        <v>247</v>
      </c>
      <c r="AB157" s="4">
        <v>1</v>
      </c>
      <c r="AC157" s="4">
        <v>2</v>
      </c>
      <c r="AD157" s="4">
        <v>9</v>
      </c>
      <c r="AE157" s="4">
        <v>11</v>
      </c>
      <c r="AF157" s="4">
        <v>4</v>
      </c>
      <c r="AG157" s="4">
        <v>5</v>
      </c>
      <c r="AH157" s="4">
        <v>3</v>
      </c>
      <c r="AI157" s="4">
        <v>4</v>
      </c>
      <c r="AJ157" s="4">
        <v>6</v>
      </c>
      <c r="AK157" s="4">
        <v>6</v>
      </c>
      <c r="AL157" s="4">
        <v>0</v>
      </c>
      <c r="AM157" s="4">
        <v>1</v>
      </c>
      <c r="AN157" s="4">
        <v>0</v>
      </c>
      <c r="AO157" s="4">
        <v>0</v>
      </c>
      <c r="AP157" s="3" t="s">
        <v>58</v>
      </c>
      <c r="AQ157" s="3" t="s">
        <v>85</v>
      </c>
      <c r="AR157" s="6" t="str">
        <f>HYPERLINK("http://catalog.hathitrust.org/Record/002597391","HathiTrust Record")</f>
        <v>HathiTrust Record</v>
      </c>
      <c r="AS157" s="6" t="str">
        <f>HYPERLINK("https://creighton-primo.hosted.exlibrisgroup.com/primo-explore/search?tab=default_tab&amp;search_scope=EVERYTHING&amp;vid=01CRU&amp;lang=en_US&amp;offset=0&amp;query=any,contains,991001481639702656","Catalog Record")</f>
        <v>Catalog Record</v>
      </c>
      <c r="AT157" s="6" t="str">
        <f>HYPERLINK("http://www.worldcat.org/oclc/26218211","WorldCat Record")</f>
        <v>WorldCat Record</v>
      </c>
      <c r="AU157" s="3" t="s">
        <v>2066</v>
      </c>
      <c r="AV157" s="3" t="s">
        <v>2067</v>
      </c>
      <c r="AW157" s="3" t="s">
        <v>2068</v>
      </c>
      <c r="AX157" s="3" t="s">
        <v>2068</v>
      </c>
      <c r="AY157" s="3" t="s">
        <v>2069</v>
      </c>
      <c r="AZ157" s="3" t="s">
        <v>73</v>
      </c>
      <c r="BB157" s="3" t="s">
        <v>445</v>
      </c>
      <c r="BC157" s="3" t="s">
        <v>2070</v>
      </c>
      <c r="BD157" s="3" t="s">
        <v>2071</v>
      </c>
    </row>
    <row r="158" spans="1:56" ht="40.5" customHeight="1" x14ac:dyDescent="0.25">
      <c r="A158" s="7" t="s">
        <v>58</v>
      </c>
      <c r="B158" s="2" t="s">
        <v>2072</v>
      </c>
      <c r="C158" s="2" t="s">
        <v>2073</v>
      </c>
      <c r="D158" s="2" t="s">
        <v>2074</v>
      </c>
      <c r="F158" s="3" t="s">
        <v>58</v>
      </c>
      <c r="G158" s="3" t="s">
        <v>59</v>
      </c>
      <c r="H158" s="3" t="s">
        <v>58</v>
      </c>
      <c r="I158" s="3" t="s">
        <v>58</v>
      </c>
      <c r="J158" s="3" t="s">
        <v>60</v>
      </c>
      <c r="L158" s="2" t="s">
        <v>2075</v>
      </c>
      <c r="M158" s="3" t="s">
        <v>1365</v>
      </c>
      <c r="O158" s="3" t="s">
        <v>64</v>
      </c>
      <c r="P158" s="3" t="s">
        <v>117</v>
      </c>
      <c r="R158" s="3" t="s">
        <v>66</v>
      </c>
      <c r="S158" s="4">
        <v>0</v>
      </c>
      <c r="T158" s="4">
        <v>0</v>
      </c>
      <c r="U158" s="5" t="s">
        <v>1367</v>
      </c>
      <c r="V158" s="5" t="s">
        <v>1367</v>
      </c>
      <c r="W158" s="5" t="s">
        <v>2076</v>
      </c>
      <c r="X158" s="5" t="s">
        <v>2076</v>
      </c>
      <c r="Y158" s="4">
        <v>65</v>
      </c>
      <c r="Z158" s="4">
        <v>41</v>
      </c>
      <c r="AA158" s="4">
        <v>73</v>
      </c>
      <c r="AB158" s="4">
        <v>1</v>
      </c>
      <c r="AC158" s="4">
        <v>1</v>
      </c>
      <c r="AD158" s="4">
        <v>2</v>
      </c>
      <c r="AE158" s="4">
        <v>4</v>
      </c>
      <c r="AF158" s="4">
        <v>0</v>
      </c>
      <c r="AG158" s="4">
        <v>1</v>
      </c>
      <c r="AH158" s="4">
        <v>2</v>
      </c>
      <c r="AI158" s="4">
        <v>3</v>
      </c>
      <c r="AJ158" s="4">
        <v>1</v>
      </c>
      <c r="AK158" s="4">
        <v>2</v>
      </c>
      <c r="AL158" s="4">
        <v>0</v>
      </c>
      <c r="AM158" s="4">
        <v>0</v>
      </c>
      <c r="AN158" s="4">
        <v>0</v>
      </c>
      <c r="AO158" s="4">
        <v>0</v>
      </c>
      <c r="AP158" s="3" t="s">
        <v>58</v>
      </c>
      <c r="AQ158" s="3" t="s">
        <v>58</v>
      </c>
      <c r="AS158" s="6" t="str">
        <f>HYPERLINK("https://creighton-primo.hosted.exlibrisgroup.com/primo-explore/search?tab=default_tab&amp;search_scope=EVERYTHING&amp;vid=01CRU&amp;lang=en_US&amp;offset=0&amp;query=any,contains,991000394419702656","Catalog Record")</f>
        <v>Catalog Record</v>
      </c>
      <c r="AT158" s="6" t="str">
        <f>HYPERLINK("http://www.worldcat.org/oclc/52623534","WorldCat Record")</f>
        <v>WorldCat Record</v>
      </c>
      <c r="AU158" s="3" t="s">
        <v>2077</v>
      </c>
      <c r="AV158" s="3" t="s">
        <v>2078</v>
      </c>
      <c r="AW158" s="3" t="s">
        <v>2079</v>
      </c>
      <c r="AX158" s="3" t="s">
        <v>2079</v>
      </c>
      <c r="AY158" s="3" t="s">
        <v>2080</v>
      </c>
      <c r="AZ158" s="3" t="s">
        <v>73</v>
      </c>
      <c r="BB158" s="3" t="s">
        <v>2081</v>
      </c>
      <c r="BC158" s="3" t="s">
        <v>2082</v>
      </c>
      <c r="BD158" s="3" t="s">
        <v>2083</v>
      </c>
    </row>
    <row r="159" spans="1:56" ht="40.5" customHeight="1" x14ac:dyDescent="0.25">
      <c r="A159" s="7" t="s">
        <v>58</v>
      </c>
      <c r="B159" s="2" t="s">
        <v>2084</v>
      </c>
      <c r="C159" s="2" t="s">
        <v>2085</v>
      </c>
      <c r="D159" s="2" t="s">
        <v>2086</v>
      </c>
      <c r="F159" s="3" t="s">
        <v>58</v>
      </c>
      <c r="G159" s="3" t="s">
        <v>59</v>
      </c>
      <c r="H159" s="3" t="s">
        <v>58</v>
      </c>
      <c r="I159" s="3" t="s">
        <v>58</v>
      </c>
      <c r="J159" s="3" t="s">
        <v>60</v>
      </c>
      <c r="L159" s="2" t="s">
        <v>2087</v>
      </c>
      <c r="M159" s="3" t="s">
        <v>167</v>
      </c>
      <c r="O159" s="3" t="s">
        <v>64</v>
      </c>
      <c r="P159" s="3" t="s">
        <v>117</v>
      </c>
      <c r="Q159" s="2" t="s">
        <v>2088</v>
      </c>
      <c r="R159" s="3" t="s">
        <v>66</v>
      </c>
      <c r="S159" s="4">
        <v>4</v>
      </c>
      <c r="T159" s="4">
        <v>4</v>
      </c>
      <c r="U159" s="5" t="s">
        <v>2089</v>
      </c>
      <c r="V159" s="5" t="s">
        <v>2089</v>
      </c>
      <c r="W159" s="5" t="s">
        <v>2090</v>
      </c>
      <c r="X159" s="5" t="s">
        <v>2090</v>
      </c>
      <c r="Y159" s="4">
        <v>360</v>
      </c>
      <c r="Z159" s="4">
        <v>281</v>
      </c>
      <c r="AA159" s="4">
        <v>297</v>
      </c>
      <c r="AB159" s="4">
        <v>3</v>
      </c>
      <c r="AC159" s="4">
        <v>3</v>
      </c>
      <c r="AD159" s="4">
        <v>7</v>
      </c>
      <c r="AE159" s="4">
        <v>8</v>
      </c>
      <c r="AF159" s="4">
        <v>1</v>
      </c>
      <c r="AG159" s="4">
        <v>2</v>
      </c>
      <c r="AH159" s="4">
        <v>3</v>
      </c>
      <c r="AI159" s="4">
        <v>3</v>
      </c>
      <c r="AJ159" s="4">
        <v>3</v>
      </c>
      <c r="AK159" s="4">
        <v>4</v>
      </c>
      <c r="AL159" s="4">
        <v>2</v>
      </c>
      <c r="AM159" s="4">
        <v>2</v>
      </c>
      <c r="AN159" s="4">
        <v>0</v>
      </c>
      <c r="AO159" s="4">
        <v>0</v>
      </c>
      <c r="AP159" s="3" t="s">
        <v>58</v>
      </c>
      <c r="AQ159" s="3" t="s">
        <v>85</v>
      </c>
      <c r="AR159" s="6" t="str">
        <f>HYPERLINK("http://catalog.hathitrust.org/Record/000273252","HathiTrust Record")</f>
        <v>HathiTrust Record</v>
      </c>
      <c r="AS159" s="6" t="str">
        <f>HYPERLINK("https://creighton-primo.hosted.exlibrisgroup.com/primo-explore/search?tab=default_tab&amp;search_scope=EVERYTHING&amp;vid=01CRU&amp;lang=en_US&amp;offset=0&amp;query=any,contains,991000897379702656","Catalog Record")</f>
        <v>Catalog Record</v>
      </c>
      <c r="AT159" s="6" t="str">
        <f>HYPERLINK("http://www.worldcat.org/oclc/1502368","WorldCat Record")</f>
        <v>WorldCat Record</v>
      </c>
      <c r="AU159" s="3" t="s">
        <v>2091</v>
      </c>
      <c r="AV159" s="3" t="s">
        <v>2092</v>
      </c>
      <c r="AW159" s="3" t="s">
        <v>2093</v>
      </c>
      <c r="AX159" s="3" t="s">
        <v>2093</v>
      </c>
      <c r="AY159" s="3" t="s">
        <v>2094</v>
      </c>
      <c r="AZ159" s="3" t="s">
        <v>73</v>
      </c>
      <c r="BC159" s="3" t="s">
        <v>2095</v>
      </c>
      <c r="BD159" s="3" t="s">
        <v>2096</v>
      </c>
    </row>
    <row r="160" spans="1:56" ht="40.5" customHeight="1" x14ac:dyDescent="0.25">
      <c r="A160" s="7" t="s">
        <v>58</v>
      </c>
      <c r="B160" s="2" t="s">
        <v>2097</v>
      </c>
      <c r="C160" s="2" t="s">
        <v>2098</v>
      </c>
      <c r="D160" s="2" t="s">
        <v>2099</v>
      </c>
      <c r="F160" s="3" t="s">
        <v>58</v>
      </c>
      <c r="G160" s="3" t="s">
        <v>59</v>
      </c>
      <c r="H160" s="3" t="s">
        <v>58</v>
      </c>
      <c r="I160" s="3" t="s">
        <v>58</v>
      </c>
      <c r="J160" s="3" t="s">
        <v>60</v>
      </c>
      <c r="L160" s="2" t="s">
        <v>2062</v>
      </c>
      <c r="M160" s="3" t="s">
        <v>116</v>
      </c>
      <c r="O160" s="3" t="s">
        <v>64</v>
      </c>
      <c r="P160" s="3" t="s">
        <v>230</v>
      </c>
      <c r="Q160" s="2" t="s">
        <v>2100</v>
      </c>
      <c r="R160" s="3" t="s">
        <v>66</v>
      </c>
      <c r="S160" s="4">
        <v>8</v>
      </c>
      <c r="T160" s="4">
        <v>8</v>
      </c>
      <c r="U160" s="5" t="s">
        <v>2101</v>
      </c>
      <c r="V160" s="5" t="s">
        <v>2101</v>
      </c>
      <c r="W160" s="5" t="s">
        <v>2102</v>
      </c>
      <c r="X160" s="5" t="s">
        <v>2102</v>
      </c>
      <c r="Y160" s="4">
        <v>280</v>
      </c>
      <c r="Z160" s="4">
        <v>202</v>
      </c>
      <c r="AA160" s="4">
        <v>248</v>
      </c>
      <c r="AB160" s="4">
        <v>2</v>
      </c>
      <c r="AC160" s="4">
        <v>2</v>
      </c>
      <c r="AD160" s="4">
        <v>10</v>
      </c>
      <c r="AE160" s="4">
        <v>11</v>
      </c>
      <c r="AF160" s="4">
        <v>4</v>
      </c>
      <c r="AG160" s="4">
        <v>5</v>
      </c>
      <c r="AH160" s="4">
        <v>3</v>
      </c>
      <c r="AI160" s="4">
        <v>4</v>
      </c>
      <c r="AJ160" s="4">
        <v>6</v>
      </c>
      <c r="AK160" s="4">
        <v>6</v>
      </c>
      <c r="AL160" s="4">
        <v>1</v>
      </c>
      <c r="AM160" s="4">
        <v>1</v>
      </c>
      <c r="AN160" s="4">
        <v>0</v>
      </c>
      <c r="AO160" s="4">
        <v>0</v>
      </c>
      <c r="AP160" s="3" t="s">
        <v>58</v>
      </c>
      <c r="AQ160" s="3" t="s">
        <v>85</v>
      </c>
      <c r="AR160" s="6" t="str">
        <f>HYPERLINK("http://catalog.hathitrust.org/Record/002610069","HathiTrust Record")</f>
        <v>HathiTrust Record</v>
      </c>
      <c r="AS160" s="6" t="str">
        <f>HYPERLINK("https://creighton-primo.hosted.exlibrisgroup.com/primo-explore/search?tab=default_tab&amp;search_scope=EVERYTHING&amp;vid=01CRU&amp;lang=en_US&amp;offset=0&amp;query=any,contains,991001510579702656","Catalog Record")</f>
        <v>Catalog Record</v>
      </c>
      <c r="AT160" s="6" t="str">
        <f>HYPERLINK("http://www.worldcat.org/oclc/25867238","WorldCat Record")</f>
        <v>WorldCat Record</v>
      </c>
      <c r="AU160" s="3" t="s">
        <v>2103</v>
      </c>
      <c r="AV160" s="3" t="s">
        <v>2104</v>
      </c>
      <c r="AW160" s="3" t="s">
        <v>2105</v>
      </c>
      <c r="AX160" s="3" t="s">
        <v>2105</v>
      </c>
      <c r="AY160" s="3" t="s">
        <v>2106</v>
      </c>
      <c r="AZ160" s="3" t="s">
        <v>73</v>
      </c>
      <c r="BB160" s="3" t="s">
        <v>445</v>
      </c>
      <c r="BC160" s="3" t="s">
        <v>2107</v>
      </c>
      <c r="BD160" s="3" t="s">
        <v>2108</v>
      </c>
    </row>
    <row r="161" spans="1:56" ht="40.5" customHeight="1" x14ac:dyDescent="0.25">
      <c r="A161" s="7" t="s">
        <v>58</v>
      </c>
      <c r="B161" s="2" t="s">
        <v>2109</v>
      </c>
      <c r="C161" s="2" t="s">
        <v>2110</v>
      </c>
      <c r="D161" s="2" t="s">
        <v>2111</v>
      </c>
      <c r="F161" s="3" t="s">
        <v>58</v>
      </c>
      <c r="G161" s="3" t="s">
        <v>59</v>
      </c>
      <c r="H161" s="3" t="s">
        <v>58</v>
      </c>
      <c r="I161" s="3" t="s">
        <v>58</v>
      </c>
      <c r="J161" s="3" t="s">
        <v>60</v>
      </c>
      <c r="L161" s="2" t="s">
        <v>2112</v>
      </c>
      <c r="M161" s="3" t="s">
        <v>742</v>
      </c>
      <c r="O161" s="3" t="s">
        <v>64</v>
      </c>
      <c r="P161" s="3" t="s">
        <v>1394</v>
      </c>
      <c r="Q161" s="2" t="s">
        <v>2113</v>
      </c>
      <c r="R161" s="3" t="s">
        <v>66</v>
      </c>
      <c r="S161" s="4">
        <v>7</v>
      </c>
      <c r="T161" s="4">
        <v>7</v>
      </c>
      <c r="U161" s="5" t="s">
        <v>2114</v>
      </c>
      <c r="V161" s="5" t="s">
        <v>2114</v>
      </c>
      <c r="W161" s="5" t="s">
        <v>1255</v>
      </c>
      <c r="X161" s="5" t="s">
        <v>1255</v>
      </c>
      <c r="Y161" s="4">
        <v>14</v>
      </c>
      <c r="Z161" s="4">
        <v>6</v>
      </c>
      <c r="AA161" s="4">
        <v>6</v>
      </c>
      <c r="AB161" s="4">
        <v>0</v>
      </c>
      <c r="AC161" s="4">
        <v>0</v>
      </c>
      <c r="AD161" s="4">
        <v>0</v>
      </c>
      <c r="AE161" s="4">
        <v>0</v>
      </c>
      <c r="AF161" s="4">
        <v>0</v>
      </c>
      <c r="AG161" s="4">
        <v>0</v>
      </c>
      <c r="AH161" s="4">
        <v>0</v>
      </c>
      <c r="AI161" s="4">
        <v>0</v>
      </c>
      <c r="AJ161" s="4">
        <v>0</v>
      </c>
      <c r="AK161" s="4">
        <v>0</v>
      </c>
      <c r="AL161" s="4">
        <v>0</v>
      </c>
      <c r="AM161" s="4">
        <v>0</v>
      </c>
      <c r="AN161" s="4">
        <v>0</v>
      </c>
      <c r="AO161" s="4">
        <v>0</v>
      </c>
      <c r="AP161" s="3" t="s">
        <v>58</v>
      </c>
      <c r="AQ161" s="3" t="s">
        <v>58</v>
      </c>
      <c r="AS161" s="6" t="str">
        <f>HYPERLINK("https://creighton-primo.hosted.exlibrisgroup.com/primo-explore/search?tab=default_tab&amp;search_scope=EVERYTHING&amp;vid=01CRU&amp;lang=en_US&amp;offset=0&amp;query=any,contains,991001515919702656","Catalog Record")</f>
        <v>Catalog Record</v>
      </c>
      <c r="AT161" s="6" t="str">
        <f>HYPERLINK("http://www.worldcat.org/oclc/31091239","WorldCat Record")</f>
        <v>WorldCat Record</v>
      </c>
      <c r="AU161" s="3" t="s">
        <v>2115</v>
      </c>
      <c r="AV161" s="3" t="s">
        <v>2116</v>
      </c>
      <c r="AW161" s="3" t="s">
        <v>2117</v>
      </c>
      <c r="AX161" s="3" t="s">
        <v>2117</v>
      </c>
      <c r="AY161" s="3" t="s">
        <v>2118</v>
      </c>
      <c r="AZ161" s="3" t="s">
        <v>73</v>
      </c>
      <c r="BB161" s="3" t="s">
        <v>2119</v>
      </c>
      <c r="BC161" s="3" t="s">
        <v>2120</v>
      </c>
      <c r="BD161" s="3" t="s">
        <v>2121</v>
      </c>
    </row>
    <row r="162" spans="1:56" ht="40.5" customHeight="1" x14ac:dyDescent="0.25">
      <c r="A162" s="7" t="s">
        <v>58</v>
      </c>
      <c r="B162" s="2" t="s">
        <v>2122</v>
      </c>
      <c r="C162" s="2" t="s">
        <v>2123</v>
      </c>
      <c r="D162" s="2" t="s">
        <v>2124</v>
      </c>
      <c r="F162" s="3" t="s">
        <v>58</v>
      </c>
      <c r="G162" s="3" t="s">
        <v>59</v>
      </c>
      <c r="H162" s="3" t="s">
        <v>58</v>
      </c>
      <c r="I162" s="3" t="s">
        <v>58</v>
      </c>
      <c r="J162" s="3" t="s">
        <v>60</v>
      </c>
      <c r="L162" s="2" t="s">
        <v>2125</v>
      </c>
      <c r="M162" s="3" t="s">
        <v>2126</v>
      </c>
      <c r="O162" s="3" t="s">
        <v>64</v>
      </c>
      <c r="P162" s="3" t="s">
        <v>117</v>
      </c>
      <c r="R162" s="3" t="s">
        <v>66</v>
      </c>
      <c r="S162" s="4">
        <v>0</v>
      </c>
      <c r="T162" s="4">
        <v>0</v>
      </c>
      <c r="U162" s="5" t="s">
        <v>2127</v>
      </c>
      <c r="V162" s="5" t="s">
        <v>2127</v>
      </c>
      <c r="W162" s="5" t="s">
        <v>2128</v>
      </c>
      <c r="X162" s="5" t="s">
        <v>2128</v>
      </c>
      <c r="Y162" s="4">
        <v>34</v>
      </c>
      <c r="Z162" s="4">
        <v>28</v>
      </c>
      <c r="AA162" s="4">
        <v>28</v>
      </c>
      <c r="AB162" s="4">
        <v>1</v>
      </c>
      <c r="AC162" s="4">
        <v>1</v>
      </c>
      <c r="AD162" s="4">
        <v>1</v>
      </c>
      <c r="AE162" s="4">
        <v>1</v>
      </c>
      <c r="AF162" s="4">
        <v>0</v>
      </c>
      <c r="AG162" s="4">
        <v>0</v>
      </c>
      <c r="AH162" s="4">
        <v>1</v>
      </c>
      <c r="AI162" s="4">
        <v>1</v>
      </c>
      <c r="AJ162" s="4">
        <v>0</v>
      </c>
      <c r="AK162" s="4">
        <v>0</v>
      </c>
      <c r="AL162" s="4">
        <v>0</v>
      </c>
      <c r="AM162" s="4">
        <v>0</v>
      </c>
      <c r="AN162" s="4">
        <v>0</v>
      </c>
      <c r="AO162" s="4">
        <v>0</v>
      </c>
      <c r="AP162" s="3" t="s">
        <v>58</v>
      </c>
      <c r="AQ162" s="3" t="s">
        <v>58</v>
      </c>
      <c r="AS162" s="6" t="str">
        <f>HYPERLINK("https://creighton-primo.hosted.exlibrisgroup.com/primo-explore/search?tab=default_tab&amp;search_scope=EVERYTHING&amp;vid=01CRU&amp;lang=en_US&amp;offset=0&amp;query=any,contains,991000661869702656","Catalog Record")</f>
        <v>Catalog Record</v>
      </c>
      <c r="AT162" s="6" t="str">
        <f>HYPERLINK("http://www.worldcat.org/oclc/70119707","WorldCat Record")</f>
        <v>WorldCat Record</v>
      </c>
      <c r="AU162" s="3" t="s">
        <v>2129</v>
      </c>
      <c r="AV162" s="3" t="s">
        <v>2130</v>
      </c>
      <c r="AW162" s="3" t="s">
        <v>2131</v>
      </c>
      <c r="AX162" s="3" t="s">
        <v>2131</v>
      </c>
      <c r="AY162" s="3" t="s">
        <v>2132</v>
      </c>
      <c r="AZ162" s="3" t="s">
        <v>73</v>
      </c>
      <c r="BB162" s="3" t="s">
        <v>2133</v>
      </c>
      <c r="BC162" s="3" t="s">
        <v>2134</v>
      </c>
      <c r="BD162" s="3" t="s">
        <v>2135</v>
      </c>
    </row>
    <row r="163" spans="1:56" ht="40.5" customHeight="1" x14ac:dyDescent="0.25">
      <c r="A163" s="7" t="s">
        <v>58</v>
      </c>
      <c r="B163" s="2" t="s">
        <v>2136</v>
      </c>
      <c r="C163" s="2" t="s">
        <v>2137</v>
      </c>
      <c r="D163" s="2" t="s">
        <v>2138</v>
      </c>
      <c r="E163" s="3" t="s">
        <v>2139</v>
      </c>
      <c r="F163" s="3" t="s">
        <v>85</v>
      </c>
      <c r="G163" s="3" t="s">
        <v>59</v>
      </c>
      <c r="H163" s="3" t="s">
        <v>58</v>
      </c>
      <c r="I163" s="3" t="s">
        <v>58</v>
      </c>
      <c r="J163" s="3" t="s">
        <v>60</v>
      </c>
      <c r="L163" s="2" t="s">
        <v>2140</v>
      </c>
      <c r="M163" s="3" t="s">
        <v>424</v>
      </c>
      <c r="O163" s="3" t="s">
        <v>64</v>
      </c>
      <c r="P163" s="3" t="s">
        <v>396</v>
      </c>
      <c r="Q163" s="2" t="s">
        <v>2141</v>
      </c>
      <c r="R163" s="3" t="s">
        <v>66</v>
      </c>
      <c r="S163" s="4">
        <v>1</v>
      </c>
      <c r="T163" s="4">
        <v>3</v>
      </c>
      <c r="V163" s="5" t="s">
        <v>2142</v>
      </c>
      <c r="W163" s="5" t="s">
        <v>290</v>
      </c>
      <c r="X163" s="5" t="s">
        <v>290</v>
      </c>
      <c r="Y163" s="4">
        <v>193</v>
      </c>
      <c r="Z163" s="4">
        <v>175</v>
      </c>
      <c r="AA163" s="4">
        <v>232</v>
      </c>
      <c r="AB163" s="4">
        <v>1</v>
      </c>
      <c r="AC163" s="4">
        <v>1</v>
      </c>
      <c r="AD163" s="4">
        <v>8</v>
      </c>
      <c r="AE163" s="4">
        <v>10</v>
      </c>
      <c r="AF163" s="4">
        <v>0</v>
      </c>
      <c r="AG163" s="4">
        <v>1</v>
      </c>
      <c r="AH163" s="4">
        <v>5</v>
      </c>
      <c r="AI163" s="4">
        <v>5</v>
      </c>
      <c r="AJ163" s="4">
        <v>6</v>
      </c>
      <c r="AK163" s="4">
        <v>7</v>
      </c>
      <c r="AL163" s="4">
        <v>0</v>
      </c>
      <c r="AM163" s="4">
        <v>0</v>
      </c>
      <c r="AN163" s="4">
        <v>0</v>
      </c>
      <c r="AO163" s="4">
        <v>0</v>
      </c>
      <c r="AP163" s="3" t="s">
        <v>58</v>
      </c>
      <c r="AQ163" s="3" t="s">
        <v>85</v>
      </c>
      <c r="AR163" s="6" t="str">
        <f>HYPERLINK("http://catalog.hathitrust.org/Record/000375221","HathiTrust Record")</f>
        <v>HathiTrust Record</v>
      </c>
      <c r="AS163" s="6" t="str">
        <f>HYPERLINK("https://creighton-primo.hosted.exlibrisgroup.com/primo-explore/search?tab=default_tab&amp;search_scope=EVERYTHING&amp;vid=01CRU&amp;lang=en_US&amp;offset=0&amp;query=any,contains,991000897419702656","Catalog Record")</f>
        <v>Catalog Record</v>
      </c>
      <c r="AT163" s="6" t="str">
        <f>HYPERLINK("http://www.worldcat.org/oclc/12219670","WorldCat Record")</f>
        <v>WorldCat Record</v>
      </c>
      <c r="AU163" s="3" t="s">
        <v>2143</v>
      </c>
      <c r="AV163" s="3" t="s">
        <v>2144</v>
      </c>
      <c r="AW163" s="3" t="s">
        <v>2145</v>
      </c>
      <c r="AX163" s="3" t="s">
        <v>2145</v>
      </c>
      <c r="AY163" s="3" t="s">
        <v>2146</v>
      </c>
      <c r="AZ163" s="3" t="s">
        <v>73</v>
      </c>
      <c r="BB163" s="3" t="s">
        <v>2147</v>
      </c>
      <c r="BC163" s="3" t="s">
        <v>2148</v>
      </c>
      <c r="BD163" s="3" t="s">
        <v>2149</v>
      </c>
    </row>
    <row r="164" spans="1:56" ht="40.5" customHeight="1" x14ac:dyDescent="0.25">
      <c r="A164" s="7" t="s">
        <v>58</v>
      </c>
      <c r="B164" s="2" t="s">
        <v>2136</v>
      </c>
      <c r="C164" s="2" t="s">
        <v>2137</v>
      </c>
      <c r="D164" s="2" t="s">
        <v>2138</v>
      </c>
      <c r="E164" s="3" t="s">
        <v>2150</v>
      </c>
      <c r="F164" s="3" t="s">
        <v>85</v>
      </c>
      <c r="G164" s="3" t="s">
        <v>59</v>
      </c>
      <c r="H164" s="3" t="s">
        <v>58</v>
      </c>
      <c r="I164" s="3" t="s">
        <v>58</v>
      </c>
      <c r="J164" s="3" t="s">
        <v>60</v>
      </c>
      <c r="L164" s="2" t="s">
        <v>2140</v>
      </c>
      <c r="M164" s="3" t="s">
        <v>424</v>
      </c>
      <c r="O164" s="3" t="s">
        <v>64</v>
      </c>
      <c r="P164" s="3" t="s">
        <v>396</v>
      </c>
      <c r="Q164" s="2" t="s">
        <v>2141</v>
      </c>
      <c r="R164" s="3" t="s">
        <v>66</v>
      </c>
      <c r="S164" s="4">
        <v>2</v>
      </c>
      <c r="T164" s="4">
        <v>3</v>
      </c>
      <c r="U164" s="5" t="s">
        <v>2142</v>
      </c>
      <c r="V164" s="5" t="s">
        <v>2142</v>
      </c>
      <c r="W164" s="5" t="s">
        <v>290</v>
      </c>
      <c r="X164" s="5" t="s">
        <v>290</v>
      </c>
      <c r="Y164" s="4">
        <v>193</v>
      </c>
      <c r="Z164" s="4">
        <v>175</v>
      </c>
      <c r="AA164" s="4">
        <v>232</v>
      </c>
      <c r="AB164" s="4">
        <v>1</v>
      </c>
      <c r="AC164" s="4">
        <v>1</v>
      </c>
      <c r="AD164" s="4">
        <v>8</v>
      </c>
      <c r="AE164" s="4">
        <v>10</v>
      </c>
      <c r="AF164" s="4">
        <v>0</v>
      </c>
      <c r="AG164" s="4">
        <v>1</v>
      </c>
      <c r="AH164" s="4">
        <v>5</v>
      </c>
      <c r="AI164" s="4">
        <v>5</v>
      </c>
      <c r="AJ164" s="4">
        <v>6</v>
      </c>
      <c r="AK164" s="4">
        <v>7</v>
      </c>
      <c r="AL164" s="4">
        <v>0</v>
      </c>
      <c r="AM164" s="4">
        <v>0</v>
      </c>
      <c r="AN164" s="4">
        <v>0</v>
      </c>
      <c r="AO164" s="4">
        <v>0</v>
      </c>
      <c r="AP164" s="3" t="s">
        <v>58</v>
      </c>
      <c r="AQ164" s="3" t="s">
        <v>85</v>
      </c>
      <c r="AR164" s="6" t="str">
        <f>HYPERLINK("http://catalog.hathitrust.org/Record/000375221","HathiTrust Record")</f>
        <v>HathiTrust Record</v>
      </c>
      <c r="AS164" s="6" t="str">
        <f>HYPERLINK("https://creighton-primo.hosted.exlibrisgroup.com/primo-explore/search?tab=default_tab&amp;search_scope=EVERYTHING&amp;vid=01CRU&amp;lang=en_US&amp;offset=0&amp;query=any,contains,991000897419702656","Catalog Record")</f>
        <v>Catalog Record</v>
      </c>
      <c r="AT164" s="6" t="str">
        <f>HYPERLINK("http://www.worldcat.org/oclc/12219670","WorldCat Record")</f>
        <v>WorldCat Record</v>
      </c>
      <c r="AU164" s="3" t="s">
        <v>2143</v>
      </c>
      <c r="AV164" s="3" t="s">
        <v>2144</v>
      </c>
      <c r="AW164" s="3" t="s">
        <v>2145</v>
      </c>
      <c r="AX164" s="3" t="s">
        <v>2145</v>
      </c>
      <c r="AY164" s="3" t="s">
        <v>2146</v>
      </c>
      <c r="AZ164" s="3" t="s">
        <v>73</v>
      </c>
      <c r="BB164" s="3" t="s">
        <v>2147</v>
      </c>
      <c r="BC164" s="3" t="s">
        <v>2151</v>
      </c>
      <c r="BD164" s="3" t="s">
        <v>2152</v>
      </c>
    </row>
    <row r="165" spans="1:56" ht="40.5" customHeight="1" x14ac:dyDescent="0.25">
      <c r="A165" s="7" t="s">
        <v>58</v>
      </c>
      <c r="B165" s="2" t="s">
        <v>2153</v>
      </c>
      <c r="C165" s="2" t="s">
        <v>2154</v>
      </c>
      <c r="D165" s="2" t="s">
        <v>2155</v>
      </c>
      <c r="F165" s="3" t="s">
        <v>58</v>
      </c>
      <c r="G165" s="3" t="s">
        <v>59</v>
      </c>
      <c r="H165" s="3" t="s">
        <v>58</v>
      </c>
      <c r="I165" s="3" t="s">
        <v>58</v>
      </c>
      <c r="J165" s="3" t="s">
        <v>60</v>
      </c>
      <c r="K165" s="2" t="s">
        <v>2156</v>
      </c>
      <c r="L165" s="2" t="s">
        <v>1947</v>
      </c>
      <c r="M165" s="3" t="s">
        <v>182</v>
      </c>
      <c r="O165" s="3" t="s">
        <v>64</v>
      </c>
      <c r="P165" s="3" t="s">
        <v>65</v>
      </c>
      <c r="Q165" s="2" t="s">
        <v>2157</v>
      </c>
      <c r="R165" s="3" t="s">
        <v>66</v>
      </c>
      <c r="S165" s="4">
        <v>16</v>
      </c>
      <c r="T165" s="4">
        <v>16</v>
      </c>
      <c r="U165" s="5" t="s">
        <v>2101</v>
      </c>
      <c r="V165" s="5" t="s">
        <v>2101</v>
      </c>
      <c r="W165" s="5" t="s">
        <v>1648</v>
      </c>
      <c r="X165" s="5" t="s">
        <v>1648</v>
      </c>
      <c r="Y165" s="4">
        <v>161</v>
      </c>
      <c r="Z165" s="4">
        <v>120</v>
      </c>
      <c r="AA165" s="4">
        <v>136</v>
      </c>
      <c r="AB165" s="4">
        <v>1</v>
      </c>
      <c r="AC165" s="4">
        <v>1</v>
      </c>
      <c r="AD165" s="4">
        <v>4</v>
      </c>
      <c r="AE165" s="4">
        <v>4</v>
      </c>
      <c r="AF165" s="4">
        <v>1</v>
      </c>
      <c r="AG165" s="4">
        <v>1</v>
      </c>
      <c r="AH165" s="4">
        <v>2</v>
      </c>
      <c r="AI165" s="4">
        <v>2</v>
      </c>
      <c r="AJ165" s="4">
        <v>3</v>
      </c>
      <c r="AK165" s="4">
        <v>3</v>
      </c>
      <c r="AL165" s="4">
        <v>0</v>
      </c>
      <c r="AM165" s="4">
        <v>0</v>
      </c>
      <c r="AN165" s="4">
        <v>0</v>
      </c>
      <c r="AO165" s="4">
        <v>0</v>
      </c>
      <c r="AP165" s="3" t="s">
        <v>58</v>
      </c>
      <c r="AQ165" s="3" t="s">
        <v>85</v>
      </c>
      <c r="AR165" s="6" t="str">
        <f>HYPERLINK("http://catalog.hathitrust.org/Record/000875909","HathiTrust Record")</f>
        <v>HathiTrust Record</v>
      </c>
      <c r="AS165" s="6" t="str">
        <f>HYPERLINK("https://creighton-primo.hosted.exlibrisgroup.com/primo-explore/search?tab=default_tab&amp;search_scope=EVERYTHING&amp;vid=01CRU&amp;lang=en_US&amp;offset=0&amp;query=any,contains,991001245589702656","Catalog Record")</f>
        <v>Catalog Record</v>
      </c>
      <c r="AT165" s="6" t="str">
        <f>HYPERLINK("http://www.worldcat.org/oclc/16091707","WorldCat Record")</f>
        <v>WorldCat Record</v>
      </c>
      <c r="AU165" s="3" t="s">
        <v>2158</v>
      </c>
      <c r="AV165" s="3" t="s">
        <v>2159</v>
      </c>
      <c r="AW165" s="3" t="s">
        <v>2160</v>
      </c>
      <c r="AX165" s="3" t="s">
        <v>2160</v>
      </c>
      <c r="AY165" s="3" t="s">
        <v>2161</v>
      </c>
      <c r="AZ165" s="3" t="s">
        <v>73</v>
      </c>
      <c r="BB165" s="3" t="s">
        <v>2162</v>
      </c>
      <c r="BC165" s="3" t="s">
        <v>2163</v>
      </c>
      <c r="BD165" s="3" t="s">
        <v>2164</v>
      </c>
    </row>
    <row r="166" spans="1:56" ht="40.5" customHeight="1" x14ac:dyDescent="0.25">
      <c r="A166" s="7" t="s">
        <v>58</v>
      </c>
      <c r="B166" s="2" t="s">
        <v>2165</v>
      </c>
      <c r="C166" s="2" t="s">
        <v>2166</v>
      </c>
      <c r="D166" s="2" t="s">
        <v>2167</v>
      </c>
      <c r="F166" s="3" t="s">
        <v>58</v>
      </c>
      <c r="G166" s="3" t="s">
        <v>59</v>
      </c>
      <c r="H166" s="3" t="s">
        <v>58</v>
      </c>
      <c r="I166" s="3" t="s">
        <v>58</v>
      </c>
      <c r="J166" s="3" t="s">
        <v>60</v>
      </c>
      <c r="K166" s="2" t="s">
        <v>2168</v>
      </c>
      <c r="L166" s="2" t="s">
        <v>2169</v>
      </c>
      <c r="M166" s="3" t="s">
        <v>496</v>
      </c>
      <c r="O166" s="3" t="s">
        <v>64</v>
      </c>
      <c r="P166" s="3" t="s">
        <v>65</v>
      </c>
      <c r="Q166" s="2" t="s">
        <v>2170</v>
      </c>
      <c r="R166" s="3" t="s">
        <v>66</v>
      </c>
      <c r="S166" s="4">
        <v>2</v>
      </c>
      <c r="T166" s="4">
        <v>2</v>
      </c>
      <c r="U166" s="5" t="s">
        <v>2171</v>
      </c>
      <c r="V166" s="5" t="s">
        <v>2171</v>
      </c>
      <c r="W166" s="5" t="s">
        <v>290</v>
      </c>
      <c r="X166" s="5" t="s">
        <v>290</v>
      </c>
      <c r="Y166" s="4">
        <v>236</v>
      </c>
      <c r="Z166" s="4">
        <v>181</v>
      </c>
      <c r="AA166" s="4">
        <v>188</v>
      </c>
      <c r="AB166" s="4">
        <v>1</v>
      </c>
      <c r="AC166" s="4">
        <v>1</v>
      </c>
      <c r="AD166" s="4">
        <v>8</v>
      </c>
      <c r="AE166" s="4">
        <v>8</v>
      </c>
      <c r="AF166" s="4">
        <v>2</v>
      </c>
      <c r="AG166" s="4">
        <v>2</v>
      </c>
      <c r="AH166" s="4">
        <v>4</v>
      </c>
      <c r="AI166" s="4">
        <v>4</v>
      </c>
      <c r="AJ166" s="4">
        <v>5</v>
      </c>
      <c r="AK166" s="4">
        <v>5</v>
      </c>
      <c r="AL166" s="4">
        <v>0</v>
      </c>
      <c r="AM166" s="4">
        <v>0</v>
      </c>
      <c r="AN166" s="4">
        <v>0</v>
      </c>
      <c r="AO166" s="4">
        <v>0</v>
      </c>
      <c r="AP166" s="3" t="s">
        <v>58</v>
      </c>
      <c r="AQ166" s="3" t="s">
        <v>85</v>
      </c>
      <c r="AR166" s="6" t="str">
        <f>HYPERLINK("http://catalog.hathitrust.org/Record/000122098","HathiTrust Record")</f>
        <v>HathiTrust Record</v>
      </c>
      <c r="AS166" s="6" t="str">
        <f>HYPERLINK("https://creighton-primo.hosted.exlibrisgroup.com/primo-explore/search?tab=default_tab&amp;search_scope=EVERYTHING&amp;vid=01CRU&amp;lang=en_US&amp;offset=0&amp;query=any,contains,991000897459702656","Catalog Record")</f>
        <v>Catalog Record</v>
      </c>
      <c r="AT166" s="6" t="str">
        <f>HYPERLINK("http://www.worldcat.org/oclc/10375770","WorldCat Record")</f>
        <v>WorldCat Record</v>
      </c>
      <c r="AU166" s="3" t="s">
        <v>2172</v>
      </c>
      <c r="AV166" s="3" t="s">
        <v>2173</v>
      </c>
      <c r="AW166" s="3" t="s">
        <v>2174</v>
      </c>
      <c r="AX166" s="3" t="s">
        <v>2174</v>
      </c>
      <c r="AY166" s="3" t="s">
        <v>2175</v>
      </c>
      <c r="AZ166" s="3" t="s">
        <v>73</v>
      </c>
      <c r="BB166" s="3" t="s">
        <v>2176</v>
      </c>
      <c r="BC166" s="3" t="s">
        <v>2177</v>
      </c>
      <c r="BD166" s="3" t="s">
        <v>2178</v>
      </c>
    </row>
    <row r="167" spans="1:56" ht="40.5" customHeight="1" x14ac:dyDescent="0.25">
      <c r="A167" s="7" t="s">
        <v>58</v>
      </c>
      <c r="B167" s="2" t="s">
        <v>2179</v>
      </c>
      <c r="C167" s="2" t="s">
        <v>2180</v>
      </c>
      <c r="D167" s="2" t="s">
        <v>2181</v>
      </c>
      <c r="F167" s="3" t="s">
        <v>58</v>
      </c>
      <c r="G167" s="3" t="s">
        <v>59</v>
      </c>
      <c r="H167" s="3" t="s">
        <v>58</v>
      </c>
      <c r="I167" s="3" t="s">
        <v>58</v>
      </c>
      <c r="J167" s="3" t="s">
        <v>60</v>
      </c>
      <c r="L167" s="2" t="s">
        <v>2182</v>
      </c>
      <c r="M167" s="3" t="s">
        <v>1067</v>
      </c>
      <c r="O167" s="3" t="s">
        <v>64</v>
      </c>
      <c r="P167" s="3" t="s">
        <v>396</v>
      </c>
      <c r="R167" s="3" t="s">
        <v>66</v>
      </c>
      <c r="S167" s="4">
        <v>8</v>
      </c>
      <c r="T167" s="4">
        <v>8</v>
      </c>
      <c r="U167" s="5" t="s">
        <v>2183</v>
      </c>
      <c r="V167" s="5" t="s">
        <v>2183</v>
      </c>
      <c r="W167" s="5" t="s">
        <v>2184</v>
      </c>
      <c r="X167" s="5" t="s">
        <v>2184</v>
      </c>
      <c r="Y167" s="4">
        <v>116</v>
      </c>
      <c r="Z167" s="4">
        <v>65</v>
      </c>
      <c r="AA167" s="4">
        <v>94</v>
      </c>
      <c r="AB167" s="4">
        <v>1</v>
      </c>
      <c r="AC167" s="4">
        <v>1</v>
      </c>
      <c r="AD167" s="4">
        <v>1</v>
      </c>
      <c r="AE167" s="4">
        <v>2</v>
      </c>
      <c r="AF167" s="4">
        <v>0</v>
      </c>
      <c r="AG167" s="4">
        <v>1</v>
      </c>
      <c r="AH167" s="4">
        <v>1</v>
      </c>
      <c r="AI167" s="4">
        <v>1</v>
      </c>
      <c r="AJ167" s="4">
        <v>1</v>
      </c>
      <c r="AK167" s="4">
        <v>2</v>
      </c>
      <c r="AL167" s="4">
        <v>0</v>
      </c>
      <c r="AM167" s="4">
        <v>0</v>
      </c>
      <c r="AN167" s="4">
        <v>0</v>
      </c>
      <c r="AO167" s="4">
        <v>0</v>
      </c>
      <c r="AP167" s="3" t="s">
        <v>58</v>
      </c>
      <c r="AQ167" s="3" t="s">
        <v>85</v>
      </c>
      <c r="AR167" s="6" t="str">
        <f>HYPERLINK("http://catalog.hathitrust.org/Record/002478639","HathiTrust Record")</f>
        <v>HathiTrust Record</v>
      </c>
      <c r="AS167" s="6" t="str">
        <f>HYPERLINK("https://creighton-primo.hosted.exlibrisgroup.com/primo-explore/search?tab=default_tab&amp;search_scope=EVERYTHING&amp;vid=01CRU&amp;lang=en_US&amp;offset=0&amp;query=any,contains,991001016719702656","Catalog Record")</f>
        <v>Catalog Record</v>
      </c>
      <c r="AT167" s="6" t="str">
        <f>HYPERLINK("http://www.worldcat.org/oclc/23016364","WorldCat Record")</f>
        <v>WorldCat Record</v>
      </c>
      <c r="AU167" s="3" t="s">
        <v>2185</v>
      </c>
      <c r="AV167" s="3" t="s">
        <v>2186</v>
      </c>
      <c r="AW167" s="3" t="s">
        <v>2187</v>
      </c>
      <c r="AX167" s="3" t="s">
        <v>2187</v>
      </c>
      <c r="AY167" s="3" t="s">
        <v>2188</v>
      </c>
      <c r="AZ167" s="3" t="s">
        <v>73</v>
      </c>
      <c r="BB167" s="3" t="s">
        <v>2189</v>
      </c>
      <c r="BC167" s="3" t="s">
        <v>2190</v>
      </c>
      <c r="BD167" s="3" t="s">
        <v>2191</v>
      </c>
    </row>
    <row r="168" spans="1:56" ht="40.5" customHeight="1" x14ac:dyDescent="0.25">
      <c r="A168" s="7" t="s">
        <v>58</v>
      </c>
      <c r="B168" s="2" t="s">
        <v>2192</v>
      </c>
      <c r="C168" s="2" t="s">
        <v>2193</v>
      </c>
      <c r="D168" s="2" t="s">
        <v>2194</v>
      </c>
      <c r="F168" s="3" t="s">
        <v>58</v>
      </c>
      <c r="G168" s="3" t="s">
        <v>59</v>
      </c>
      <c r="H168" s="3" t="s">
        <v>58</v>
      </c>
      <c r="I168" s="3" t="s">
        <v>58</v>
      </c>
      <c r="J168" s="3" t="s">
        <v>60</v>
      </c>
      <c r="L168" s="2" t="s">
        <v>2195</v>
      </c>
      <c r="M168" s="3" t="s">
        <v>726</v>
      </c>
      <c r="O168" s="3" t="s">
        <v>64</v>
      </c>
      <c r="P168" s="3" t="s">
        <v>65</v>
      </c>
      <c r="R168" s="3" t="s">
        <v>66</v>
      </c>
      <c r="S168" s="4">
        <v>3</v>
      </c>
      <c r="T168" s="4">
        <v>3</v>
      </c>
      <c r="U168" s="5" t="s">
        <v>2196</v>
      </c>
      <c r="V168" s="5" t="s">
        <v>2196</v>
      </c>
      <c r="W168" s="5" t="s">
        <v>2197</v>
      </c>
      <c r="X168" s="5" t="s">
        <v>2197</v>
      </c>
      <c r="Y168" s="4">
        <v>149</v>
      </c>
      <c r="Z168" s="4">
        <v>112</v>
      </c>
      <c r="AA168" s="4">
        <v>154</v>
      </c>
      <c r="AB168" s="4">
        <v>2</v>
      </c>
      <c r="AC168" s="4">
        <v>2</v>
      </c>
      <c r="AD168" s="4">
        <v>7</v>
      </c>
      <c r="AE168" s="4">
        <v>7</v>
      </c>
      <c r="AF168" s="4">
        <v>2</v>
      </c>
      <c r="AG168" s="4">
        <v>2</v>
      </c>
      <c r="AH168" s="4">
        <v>3</v>
      </c>
      <c r="AI168" s="4">
        <v>3</v>
      </c>
      <c r="AJ168" s="4">
        <v>4</v>
      </c>
      <c r="AK168" s="4">
        <v>4</v>
      </c>
      <c r="AL168" s="4">
        <v>1</v>
      </c>
      <c r="AM168" s="4">
        <v>1</v>
      </c>
      <c r="AN168" s="4">
        <v>0</v>
      </c>
      <c r="AO168" s="4">
        <v>0</v>
      </c>
      <c r="AP168" s="3" t="s">
        <v>58</v>
      </c>
      <c r="AQ168" s="3" t="s">
        <v>58</v>
      </c>
      <c r="AS168" s="6" t="str">
        <f>HYPERLINK("https://creighton-primo.hosted.exlibrisgroup.com/primo-explore/search?tab=default_tab&amp;search_scope=EVERYTHING&amp;vid=01CRU&amp;lang=en_US&amp;offset=0&amp;query=any,contains,991001449019702656","Catalog Record")</f>
        <v>Catalog Record</v>
      </c>
      <c r="AT168" s="6" t="str">
        <f>HYPERLINK("http://www.worldcat.org/oclc/20489626","WorldCat Record")</f>
        <v>WorldCat Record</v>
      </c>
      <c r="AU168" s="3" t="s">
        <v>2198</v>
      </c>
      <c r="AV168" s="3" t="s">
        <v>2199</v>
      </c>
      <c r="AW168" s="3" t="s">
        <v>2200</v>
      </c>
      <c r="AX168" s="3" t="s">
        <v>2200</v>
      </c>
      <c r="AY168" s="3" t="s">
        <v>2201</v>
      </c>
      <c r="AZ168" s="3" t="s">
        <v>73</v>
      </c>
      <c r="BB168" s="3" t="s">
        <v>2202</v>
      </c>
      <c r="BC168" s="3" t="s">
        <v>2203</v>
      </c>
      <c r="BD168" s="3" t="s">
        <v>2204</v>
      </c>
    </row>
    <row r="169" spans="1:56" ht="40.5" customHeight="1" x14ac:dyDescent="0.25">
      <c r="A169" s="7" t="s">
        <v>58</v>
      </c>
      <c r="B169" s="2" t="s">
        <v>2205</v>
      </c>
      <c r="C169" s="2" t="s">
        <v>2206</v>
      </c>
      <c r="D169" s="2" t="s">
        <v>2207</v>
      </c>
      <c r="F169" s="3" t="s">
        <v>58</v>
      </c>
      <c r="G169" s="3" t="s">
        <v>59</v>
      </c>
      <c r="H169" s="3" t="s">
        <v>58</v>
      </c>
      <c r="I169" s="3" t="s">
        <v>58</v>
      </c>
      <c r="J169" s="3" t="s">
        <v>60</v>
      </c>
      <c r="K169" s="2" t="s">
        <v>2208</v>
      </c>
      <c r="L169" s="2" t="s">
        <v>2209</v>
      </c>
      <c r="M169" s="3" t="s">
        <v>742</v>
      </c>
      <c r="O169" s="3" t="s">
        <v>64</v>
      </c>
      <c r="P169" s="3" t="s">
        <v>886</v>
      </c>
      <c r="R169" s="3" t="s">
        <v>66</v>
      </c>
      <c r="S169" s="4">
        <v>3</v>
      </c>
      <c r="T169" s="4">
        <v>3</v>
      </c>
      <c r="U169" s="5" t="s">
        <v>2210</v>
      </c>
      <c r="V169" s="5" t="s">
        <v>2210</v>
      </c>
      <c r="W169" s="5" t="s">
        <v>2211</v>
      </c>
      <c r="X169" s="5" t="s">
        <v>2211</v>
      </c>
      <c r="Y169" s="4">
        <v>172</v>
      </c>
      <c r="Z169" s="4">
        <v>135</v>
      </c>
      <c r="AA169" s="4">
        <v>175</v>
      </c>
      <c r="AB169" s="4">
        <v>1</v>
      </c>
      <c r="AC169" s="4">
        <v>1</v>
      </c>
      <c r="AD169" s="4">
        <v>4</v>
      </c>
      <c r="AE169" s="4">
        <v>4</v>
      </c>
      <c r="AF169" s="4">
        <v>1</v>
      </c>
      <c r="AG169" s="4">
        <v>1</v>
      </c>
      <c r="AH169" s="4">
        <v>2</v>
      </c>
      <c r="AI169" s="4">
        <v>2</v>
      </c>
      <c r="AJ169" s="4">
        <v>2</v>
      </c>
      <c r="AK169" s="4">
        <v>2</v>
      </c>
      <c r="AL169" s="4">
        <v>0</v>
      </c>
      <c r="AM169" s="4">
        <v>0</v>
      </c>
      <c r="AN169" s="4">
        <v>0</v>
      </c>
      <c r="AO169" s="4">
        <v>0</v>
      </c>
      <c r="AP169" s="3" t="s">
        <v>58</v>
      </c>
      <c r="AQ169" s="3" t="s">
        <v>58</v>
      </c>
      <c r="AS169" s="6" t="str">
        <f>HYPERLINK("https://creighton-primo.hosted.exlibrisgroup.com/primo-explore/search?tab=default_tab&amp;search_scope=EVERYTHING&amp;vid=01CRU&amp;lang=en_US&amp;offset=0&amp;query=any,contains,991001349619702656","Catalog Record")</f>
        <v>Catalog Record</v>
      </c>
      <c r="AT169" s="6" t="str">
        <f>HYPERLINK("http://www.worldcat.org/oclc/25916331","WorldCat Record")</f>
        <v>WorldCat Record</v>
      </c>
      <c r="AU169" s="3" t="s">
        <v>2212</v>
      </c>
      <c r="AV169" s="3" t="s">
        <v>2213</v>
      </c>
      <c r="AW169" s="3" t="s">
        <v>2214</v>
      </c>
      <c r="AX169" s="3" t="s">
        <v>2214</v>
      </c>
      <c r="AY169" s="3" t="s">
        <v>2215</v>
      </c>
      <c r="AZ169" s="3" t="s">
        <v>73</v>
      </c>
      <c r="BB169" s="3" t="s">
        <v>2216</v>
      </c>
      <c r="BC169" s="3" t="s">
        <v>2217</v>
      </c>
      <c r="BD169" s="3" t="s">
        <v>2218</v>
      </c>
    </row>
    <row r="170" spans="1:56" ht="40.5" customHeight="1" x14ac:dyDescent="0.25">
      <c r="A170" s="7" t="s">
        <v>58</v>
      </c>
      <c r="B170" s="2" t="s">
        <v>2219</v>
      </c>
      <c r="C170" s="2" t="s">
        <v>2220</v>
      </c>
      <c r="D170" s="2" t="s">
        <v>2221</v>
      </c>
      <c r="F170" s="3" t="s">
        <v>58</v>
      </c>
      <c r="G170" s="3" t="s">
        <v>59</v>
      </c>
      <c r="H170" s="3" t="s">
        <v>58</v>
      </c>
      <c r="I170" s="3" t="s">
        <v>58</v>
      </c>
      <c r="J170" s="3" t="s">
        <v>60</v>
      </c>
      <c r="K170" s="2" t="s">
        <v>2222</v>
      </c>
      <c r="L170" s="2" t="s">
        <v>2223</v>
      </c>
      <c r="M170" s="3" t="s">
        <v>726</v>
      </c>
      <c r="O170" s="3" t="s">
        <v>64</v>
      </c>
      <c r="P170" s="3" t="s">
        <v>135</v>
      </c>
      <c r="R170" s="3" t="s">
        <v>66</v>
      </c>
      <c r="S170" s="4">
        <v>6</v>
      </c>
      <c r="T170" s="4">
        <v>6</v>
      </c>
      <c r="U170" s="5" t="s">
        <v>2224</v>
      </c>
      <c r="V170" s="5" t="s">
        <v>2224</v>
      </c>
      <c r="W170" s="5" t="s">
        <v>2225</v>
      </c>
      <c r="X170" s="5" t="s">
        <v>2225</v>
      </c>
      <c r="Y170" s="4">
        <v>288</v>
      </c>
      <c r="Z170" s="4">
        <v>185</v>
      </c>
      <c r="AA170" s="4">
        <v>190</v>
      </c>
      <c r="AB170" s="4">
        <v>2</v>
      </c>
      <c r="AC170" s="4">
        <v>2</v>
      </c>
      <c r="AD170" s="4">
        <v>7</v>
      </c>
      <c r="AE170" s="4">
        <v>7</v>
      </c>
      <c r="AF170" s="4">
        <v>2</v>
      </c>
      <c r="AG170" s="4">
        <v>2</v>
      </c>
      <c r="AH170" s="4">
        <v>2</v>
      </c>
      <c r="AI170" s="4">
        <v>2</v>
      </c>
      <c r="AJ170" s="4">
        <v>5</v>
      </c>
      <c r="AK170" s="4">
        <v>5</v>
      </c>
      <c r="AL170" s="4">
        <v>1</v>
      </c>
      <c r="AM170" s="4">
        <v>1</v>
      </c>
      <c r="AN170" s="4">
        <v>0</v>
      </c>
      <c r="AO170" s="4">
        <v>0</v>
      </c>
      <c r="AP170" s="3" t="s">
        <v>58</v>
      </c>
      <c r="AQ170" s="3" t="s">
        <v>58</v>
      </c>
      <c r="AS170" s="6" t="str">
        <f>HYPERLINK("https://creighton-primo.hosted.exlibrisgroup.com/primo-explore/search?tab=default_tab&amp;search_scope=EVERYTHING&amp;vid=01CRU&amp;lang=en_US&amp;offset=0&amp;query=any,contains,991000827159702656","Catalog Record")</f>
        <v>Catalog Record</v>
      </c>
      <c r="AT170" s="6" t="str">
        <f>HYPERLINK("http://www.worldcat.org/oclc/20722094","WorldCat Record")</f>
        <v>WorldCat Record</v>
      </c>
      <c r="AU170" s="3" t="s">
        <v>2226</v>
      </c>
      <c r="AV170" s="3" t="s">
        <v>2227</v>
      </c>
      <c r="AW170" s="3" t="s">
        <v>2228</v>
      </c>
      <c r="AX170" s="3" t="s">
        <v>2228</v>
      </c>
      <c r="AY170" s="3" t="s">
        <v>2229</v>
      </c>
      <c r="AZ170" s="3" t="s">
        <v>73</v>
      </c>
      <c r="BB170" s="3" t="s">
        <v>2230</v>
      </c>
      <c r="BC170" s="3" t="s">
        <v>2231</v>
      </c>
      <c r="BD170" s="3" t="s">
        <v>2232</v>
      </c>
    </row>
    <row r="171" spans="1:56" ht="40.5" customHeight="1" x14ac:dyDescent="0.25">
      <c r="A171" s="7" t="s">
        <v>58</v>
      </c>
      <c r="B171" s="2" t="s">
        <v>2233</v>
      </c>
      <c r="C171" s="2" t="s">
        <v>2234</v>
      </c>
      <c r="D171" s="2" t="s">
        <v>2235</v>
      </c>
      <c r="F171" s="3" t="s">
        <v>58</v>
      </c>
      <c r="G171" s="3" t="s">
        <v>59</v>
      </c>
      <c r="H171" s="3" t="s">
        <v>58</v>
      </c>
      <c r="I171" s="3" t="s">
        <v>58</v>
      </c>
      <c r="J171" s="3" t="s">
        <v>60</v>
      </c>
      <c r="K171" s="2" t="s">
        <v>2222</v>
      </c>
      <c r="L171" s="2" t="s">
        <v>2236</v>
      </c>
      <c r="M171" s="3" t="s">
        <v>116</v>
      </c>
      <c r="O171" s="3" t="s">
        <v>64</v>
      </c>
      <c r="P171" s="3" t="s">
        <v>117</v>
      </c>
      <c r="R171" s="3" t="s">
        <v>66</v>
      </c>
      <c r="S171" s="4">
        <v>9</v>
      </c>
      <c r="T171" s="4">
        <v>9</v>
      </c>
      <c r="U171" s="5" t="s">
        <v>2237</v>
      </c>
      <c r="V171" s="5" t="s">
        <v>2237</v>
      </c>
      <c r="W171" s="5" t="s">
        <v>2238</v>
      </c>
      <c r="X171" s="5" t="s">
        <v>2238</v>
      </c>
      <c r="Y171" s="4">
        <v>411</v>
      </c>
      <c r="Z171" s="4">
        <v>268</v>
      </c>
      <c r="AA171" s="4">
        <v>274</v>
      </c>
      <c r="AB171" s="4">
        <v>2</v>
      </c>
      <c r="AC171" s="4">
        <v>2</v>
      </c>
      <c r="AD171" s="4">
        <v>11</v>
      </c>
      <c r="AE171" s="4">
        <v>11</v>
      </c>
      <c r="AF171" s="4">
        <v>3</v>
      </c>
      <c r="AG171" s="4">
        <v>3</v>
      </c>
      <c r="AH171" s="4">
        <v>4</v>
      </c>
      <c r="AI171" s="4">
        <v>4</v>
      </c>
      <c r="AJ171" s="4">
        <v>7</v>
      </c>
      <c r="AK171" s="4">
        <v>7</v>
      </c>
      <c r="AL171" s="4">
        <v>1</v>
      </c>
      <c r="AM171" s="4">
        <v>1</v>
      </c>
      <c r="AN171" s="4">
        <v>0</v>
      </c>
      <c r="AO171" s="4">
        <v>0</v>
      </c>
      <c r="AP171" s="3" t="s">
        <v>58</v>
      </c>
      <c r="AQ171" s="3" t="s">
        <v>85</v>
      </c>
      <c r="AR171" s="6" t="str">
        <f>HYPERLINK("http://catalog.hathitrust.org/Record/002587973","HathiTrust Record")</f>
        <v>HathiTrust Record</v>
      </c>
      <c r="AS171" s="6" t="str">
        <f>HYPERLINK("https://creighton-primo.hosted.exlibrisgroup.com/primo-explore/search?tab=default_tab&amp;search_scope=EVERYTHING&amp;vid=01CRU&amp;lang=en_US&amp;offset=0&amp;query=any,contains,991001305839702656","Catalog Record")</f>
        <v>Catalog Record</v>
      </c>
      <c r="AT171" s="6" t="str">
        <f>HYPERLINK("http://www.worldcat.org/oclc/25200956","WorldCat Record")</f>
        <v>WorldCat Record</v>
      </c>
      <c r="AU171" s="3" t="s">
        <v>2239</v>
      </c>
      <c r="AV171" s="3" t="s">
        <v>2240</v>
      </c>
      <c r="AW171" s="3" t="s">
        <v>2241</v>
      </c>
      <c r="AX171" s="3" t="s">
        <v>2241</v>
      </c>
      <c r="AY171" s="3" t="s">
        <v>2242</v>
      </c>
      <c r="AZ171" s="3" t="s">
        <v>73</v>
      </c>
      <c r="BB171" s="3" t="s">
        <v>2243</v>
      </c>
      <c r="BC171" s="3" t="s">
        <v>2244</v>
      </c>
      <c r="BD171" s="3" t="s">
        <v>2245</v>
      </c>
    </row>
    <row r="172" spans="1:56" ht="40.5" customHeight="1" x14ac:dyDescent="0.25">
      <c r="A172" s="7" t="s">
        <v>58</v>
      </c>
      <c r="B172" s="2" t="s">
        <v>2246</v>
      </c>
      <c r="C172" s="2" t="s">
        <v>2247</v>
      </c>
      <c r="D172" s="2" t="s">
        <v>2248</v>
      </c>
      <c r="F172" s="3" t="s">
        <v>58</v>
      </c>
      <c r="G172" s="3" t="s">
        <v>59</v>
      </c>
      <c r="H172" s="3" t="s">
        <v>58</v>
      </c>
      <c r="I172" s="3" t="s">
        <v>58</v>
      </c>
      <c r="J172" s="3" t="s">
        <v>60</v>
      </c>
      <c r="L172" s="2" t="s">
        <v>2249</v>
      </c>
      <c r="M172" s="3" t="s">
        <v>424</v>
      </c>
      <c r="O172" s="3" t="s">
        <v>64</v>
      </c>
      <c r="P172" s="3" t="s">
        <v>65</v>
      </c>
      <c r="R172" s="3" t="s">
        <v>66</v>
      </c>
      <c r="S172" s="4">
        <v>7</v>
      </c>
      <c r="T172" s="4">
        <v>7</v>
      </c>
      <c r="U172" s="5" t="s">
        <v>1854</v>
      </c>
      <c r="V172" s="5" t="s">
        <v>1854</v>
      </c>
      <c r="W172" s="5" t="s">
        <v>290</v>
      </c>
      <c r="X172" s="5" t="s">
        <v>290</v>
      </c>
      <c r="Y172" s="4">
        <v>190</v>
      </c>
      <c r="Z172" s="4">
        <v>149</v>
      </c>
      <c r="AA172" s="4">
        <v>166</v>
      </c>
      <c r="AB172" s="4">
        <v>2</v>
      </c>
      <c r="AC172" s="4">
        <v>2</v>
      </c>
      <c r="AD172" s="4">
        <v>6</v>
      </c>
      <c r="AE172" s="4">
        <v>7</v>
      </c>
      <c r="AF172" s="4">
        <v>0</v>
      </c>
      <c r="AG172" s="4">
        <v>1</v>
      </c>
      <c r="AH172" s="4">
        <v>3</v>
      </c>
      <c r="AI172" s="4">
        <v>3</v>
      </c>
      <c r="AJ172" s="4">
        <v>4</v>
      </c>
      <c r="AK172" s="4">
        <v>5</v>
      </c>
      <c r="AL172" s="4">
        <v>1</v>
      </c>
      <c r="AM172" s="4">
        <v>1</v>
      </c>
      <c r="AN172" s="4">
        <v>0</v>
      </c>
      <c r="AO172" s="4">
        <v>0</v>
      </c>
      <c r="AP172" s="3" t="s">
        <v>58</v>
      </c>
      <c r="AQ172" s="3" t="s">
        <v>85</v>
      </c>
      <c r="AR172" s="6" t="str">
        <f>HYPERLINK("http://catalog.hathitrust.org/Record/000462017","HathiTrust Record")</f>
        <v>HathiTrust Record</v>
      </c>
      <c r="AS172" s="6" t="str">
        <f>HYPERLINK("https://creighton-primo.hosted.exlibrisgroup.com/primo-explore/search?tab=default_tab&amp;search_scope=EVERYTHING&amp;vid=01CRU&amp;lang=en_US&amp;offset=0&amp;query=any,contains,991000897509702656","Catalog Record")</f>
        <v>Catalog Record</v>
      </c>
      <c r="AT172" s="6" t="str">
        <f>HYPERLINK("http://www.worldcat.org/oclc/11785625","WorldCat Record")</f>
        <v>WorldCat Record</v>
      </c>
      <c r="AU172" s="3" t="s">
        <v>2250</v>
      </c>
      <c r="AV172" s="3" t="s">
        <v>2251</v>
      </c>
      <c r="AW172" s="3" t="s">
        <v>2252</v>
      </c>
      <c r="AX172" s="3" t="s">
        <v>2252</v>
      </c>
      <c r="AY172" s="3" t="s">
        <v>2253</v>
      </c>
      <c r="AZ172" s="3" t="s">
        <v>73</v>
      </c>
      <c r="BB172" s="3" t="s">
        <v>2254</v>
      </c>
      <c r="BC172" s="3" t="s">
        <v>2255</v>
      </c>
      <c r="BD172" s="3" t="s">
        <v>2256</v>
      </c>
    </row>
    <row r="173" spans="1:56" ht="40.5" customHeight="1" x14ac:dyDescent="0.25">
      <c r="A173" s="7" t="s">
        <v>58</v>
      </c>
      <c r="B173" s="2" t="s">
        <v>2257</v>
      </c>
      <c r="C173" s="2" t="s">
        <v>2258</v>
      </c>
      <c r="D173" s="2" t="s">
        <v>2259</v>
      </c>
      <c r="F173" s="3" t="s">
        <v>58</v>
      </c>
      <c r="G173" s="3" t="s">
        <v>59</v>
      </c>
      <c r="H173" s="3" t="s">
        <v>58</v>
      </c>
      <c r="I173" s="3" t="s">
        <v>58</v>
      </c>
      <c r="J173" s="3" t="s">
        <v>60</v>
      </c>
      <c r="L173" s="2" t="s">
        <v>2260</v>
      </c>
      <c r="M173" s="3" t="s">
        <v>831</v>
      </c>
      <c r="O173" s="3" t="s">
        <v>64</v>
      </c>
      <c r="P173" s="3" t="s">
        <v>117</v>
      </c>
      <c r="R173" s="3" t="s">
        <v>66</v>
      </c>
      <c r="S173" s="4">
        <v>4</v>
      </c>
      <c r="T173" s="4">
        <v>4</v>
      </c>
      <c r="U173" s="5" t="s">
        <v>2040</v>
      </c>
      <c r="V173" s="5" t="s">
        <v>2040</v>
      </c>
      <c r="W173" s="5" t="s">
        <v>2261</v>
      </c>
      <c r="X173" s="5" t="s">
        <v>2261</v>
      </c>
      <c r="Y173" s="4">
        <v>88</v>
      </c>
      <c r="Z173" s="4">
        <v>70</v>
      </c>
      <c r="AA173" s="4">
        <v>86</v>
      </c>
      <c r="AB173" s="4">
        <v>2</v>
      </c>
      <c r="AC173" s="4">
        <v>2</v>
      </c>
      <c r="AD173" s="4">
        <v>3</v>
      </c>
      <c r="AE173" s="4">
        <v>3</v>
      </c>
      <c r="AF173" s="4">
        <v>0</v>
      </c>
      <c r="AG173" s="4">
        <v>0</v>
      </c>
      <c r="AH173" s="4">
        <v>1</v>
      </c>
      <c r="AI173" s="4">
        <v>1</v>
      </c>
      <c r="AJ173" s="4">
        <v>1</v>
      </c>
      <c r="AK173" s="4">
        <v>1</v>
      </c>
      <c r="AL173" s="4">
        <v>1</v>
      </c>
      <c r="AM173" s="4">
        <v>1</v>
      </c>
      <c r="AN173" s="4">
        <v>0</v>
      </c>
      <c r="AO173" s="4">
        <v>0</v>
      </c>
      <c r="AP173" s="3" t="s">
        <v>58</v>
      </c>
      <c r="AQ173" s="3" t="s">
        <v>58</v>
      </c>
      <c r="AS173" s="6" t="str">
        <f>HYPERLINK("https://creighton-primo.hosted.exlibrisgroup.com/primo-explore/search?tab=default_tab&amp;search_scope=EVERYTHING&amp;vid=01CRU&amp;lang=en_US&amp;offset=0&amp;query=any,contains,991000740929702656","Catalog Record")</f>
        <v>Catalog Record</v>
      </c>
      <c r="AT173" s="6" t="str">
        <f>HYPERLINK("http://www.worldcat.org/oclc/37211201","WorldCat Record")</f>
        <v>WorldCat Record</v>
      </c>
      <c r="AU173" s="3" t="s">
        <v>2262</v>
      </c>
      <c r="AV173" s="3" t="s">
        <v>2263</v>
      </c>
      <c r="AW173" s="3" t="s">
        <v>2264</v>
      </c>
      <c r="AX173" s="3" t="s">
        <v>2264</v>
      </c>
      <c r="AY173" s="3" t="s">
        <v>2265</v>
      </c>
      <c r="AZ173" s="3" t="s">
        <v>73</v>
      </c>
      <c r="BB173" s="3" t="s">
        <v>2266</v>
      </c>
      <c r="BC173" s="3" t="s">
        <v>2267</v>
      </c>
      <c r="BD173" s="3" t="s">
        <v>2268</v>
      </c>
    </row>
    <row r="174" spans="1:56" ht="40.5" customHeight="1" x14ac:dyDescent="0.25">
      <c r="A174" s="7" t="s">
        <v>58</v>
      </c>
      <c r="B174" s="2" t="s">
        <v>2269</v>
      </c>
      <c r="C174" s="2" t="s">
        <v>2270</v>
      </c>
      <c r="D174" s="2" t="s">
        <v>2271</v>
      </c>
      <c r="F174" s="3" t="s">
        <v>58</v>
      </c>
      <c r="G174" s="3" t="s">
        <v>59</v>
      </c>
      <c r="H174" s="3" t="s">
        <v>58</v>
      </c>
      <c r="I174" s="3" t="s">
        <v>58</v>
      </c>
      <c r="J174" s="3" t="s">
        <v>60</v>
      </c>
      <c r="L174" s="2" t="s">
        <v>2272</v>
      </c>
      <c r="M174" s="3" t="s">
        <v>116</v>
      </c>
      <c r="N174" s="2" t="s">
        <v>2273</v>
      </c>
      <c r="O174" s="3" t="s">
        <v>64</v>
      </c>
      <c r="P174" s="3" t="s">
        <v>135</v>
      </c>
      <c r="Q174" s="2" t="s">
        <v>1814</v>
      </c>
      <c r="R174" s="3" t="s">
        <v>66</v>
      </c>
      <c r="S174" s="4">
        <v>14</v>
      </c>
      <c r="T174" s="4">
        <v>14</v>
      </c>
      <c r="U174" s="5" t="s">
        <v>2274</v>
      </c>
      <c r="V174" s="5" t="s">
        <v>2274</v>
      </c>
      <c r="W174" s="5" t="s">
        <v>2065</v>
      </c>
      <c r="X174" s="5" t="s">
        <v>2065</v>
      </c>
      <c r="Y174" s="4">
        <v>242</v>
      </c>
      <c r="Z174" s="4">
        <v>141</v>
      </c>
      <c r="AA174" s="4">
        <v>146</v>
      </c>
      <c r="AB174" s="4">
        <v>1</v>
      </c>
      <c r="AC174" s="4">
        <v>1</v>
      </c>
      <c r="AD174" s="4">
        <v>2</v>
      </c>
      <c r="AE174" s="4">
        <v>2</v>
      </c>
      <c r="AF174" s="4">
        <v>0</v>
      </c>
      <c r="AG174" s="4">
        <v>0</v>
      </c>
      <c r="AH174" s="4">
        <v>2</v>
      </c>
      <c r="AI174" s="4">
        <v>2</v>
      </c>
      <c r="AJ174" s="4">
        <v>1</v>
      </c>
      <c r="AK174" s="4">
        <v>1</v>
      </c>
      <c r="AL174" s="4">
        <v>0</v>
      </c>
      <c r="AM174" s="4">
        <v>0</v>
      </c>
      <c r="AN174" s="4">
        <v>0</v>
      </c>
      <c r="AO174" s="4">
        <v>0</v>
      </c>
      <c r="AP174" s="3" t="s">
        <v>58</v>
      </c>
      <c r="AQ174" s="3" t="s">
        <v>58</v>
      </c>
      <c r="AS174" s="6" t="str">
        <f>HYPERLINK("https://creighton-primo.hosted.exlibrisgroup.com/primo-explore/search?tab=default_tab&amp;search_scope=EVERYTHING&amp;vid=01CRU&amp;lang=en_US&amp;offset=0&amp;query=any,contains,991001482159702656","Catalog Record")</f>
        <v>Catalog Record</v>
      </c>
      <c r="AT174" s="6" t="str">
        <f>HYPERLINK("http://www.worldcat.org/oclc/26505481","WorldCat Record")</f>
        <v>WorldCat Record</v>
      </c>
      <c r="AU174" s="3" t="s">
        <v>2275</v>
      </c>
      <c r="AV174" s="3" t="s">
        <v>2276</v>
      </c>
      <c r="AW174" s="3" t="s">
        <v>2277</v>
      </c>
      <c r="AX174" s="3" t="s">
        <v>2277</v>
      </c>
      <c r="AY174" s="3" t="s">
        <v>2278</v>
      </c>
      <c r="AZ174" s="3" t="s">
        <v>73</v>
      </c>
      <c r="BB174" s="3" t="s">
        <v>2279</v>
      </c>
      <c r="BC174" s="3" t="s">
        <v>2280</v>
      </c>
      <c r="BD174" s="3" t="s">
        <v>2281</v>
      </c>
    </row>
    <row r="175" spans="1:56" ht="40.5" customHeight="1" x14ac:dyDescent="0.25">
      <c r="A175" s="7" t="s">
        <v>58</v>
      </c>
      <c r="B175" s="2" t="s">
        <v>2282</v>
      </c>
      <c r="C175" s="2" t="s">
        <v>2283</v>
      </c>
      <c r="D175" s="2" t="s">
        <v>2284</v>
      </c>
      <c r="F175" s="3" t="s">
        <v>58</v>
      </c>
      <c r="G175" s="3" t="s">
        <v>59</v>
      </c>
      <c r="H175" s="3" t="s">
        <v>58</v>
      </c>
      <c r="I175" s="3" t="s">
        <v>58</v>
      </c>
      <c r="J175" s="3" t="s">
        <v>60</v>
      </c>
      <c r="L175" s="2" t="s">
        <v>2285</v>
      </c>
      <c r="M175" s="3" t="s">
        <v>973</v>
      </c>
      <c r="O175" s="3" t="s">
        <v>64</v>
      </c>
      <c r="P175" s="3" t="s">
        <v>230</v>
      </c>
      <c r="R175" s="3" t="s">
        <v>66</v>
      </c>
      <c r="S175" s="4">
        <v>2</v>
      </c>
      <c r="T175" s="4">
        <v>2</v>
      </c>
      <c r="U175" s="5" t="s">
        <v>2286</v>
      </c>
      <c r="V175" s="5" t="s">
        <v>2286</v>
      </c>
      <c r="W175" s="5" t="s">
        <v>2090</v>
      </c>
      <c r="X175" s="5" t="s">
        <v>2090</v>
      </c>
      <c r="Y175" s="4">
        <v>163</v>
      </c>
      <c r="Z175" s="4">
        <v>116</v>
      </c>
      <c r="AA175" s="4">
        <v>118</v>
      </c>
      <c r="AB175" s="4">
        <v>2</v>
      </c>
      <c r="AC175" s="4">
        <v>2</v>
      </c>
      <c r="AD175" s="4">
        <v>2</v>
      </c>
      <c r="AE175" s="4">
        <v>2</v>
      </c>
      <c r="AF175" s="4">
        <v>0</v>
      </c>
      <c r="AG175" s="4">
        <v>0</v>
      </c>
      <c r="AH175" s="4">
        <v>0</v>
      </c>
      <c r="AI175" s="4">
        <v>0</v>
      </c>
      <c r="AJ175" s="4">
        <v>1</v>
      </c>
      <c r="AK175" s="4">
        <v>1</v>
      </c>
      <c r="AL175" s="4">
        <v>1</v>
      </c>
      <c r="AM175" s="4">
        <v>1</v>
      </c>
      <c r="AN175" s="4">
        <v>0</v>
      </c>
      <c r="AO175" s="4">
        <v>0</v>
      </c>
      <c r="AP175" s="3" t="s">
        <v>58</v>
      </c>
      <c r="AQ175" s="3" t="s">
        <v>85</v>
      </c>
      <c r="AR175" s="6" t="str">
        <f>HYPERLINK("http://catalog.hathitrust.org/Record/000716616","HathiTrust Record")</f>
        <v>HathiTrust Record</v>
      </c>
      <c r="AS175" s="6" t="str">
        <f>HYPERLINK("https://creighton-primo.hosted.exlibrisgroup.com/primo-explore/search?tab=default_tab&amp;search_scope=EVERYTHING&amp;vid=01CRU&amp;lang=en_US&amp;offset=0&amp;query=any,contains,991000897629702656","Catalog Record")</f>
        <v>Catalog Record</v>
      </c>
      <c r="AT175" s="6" t="str">
        <f>HYPERLINK("http://www.worldcat.org/oclc/7731657","WorldCat Record")</f>
        <v>WorldCat Record</v>
      </c>
      <c r="AU175" s="3" t="s">
        <v>2287</v>
      </c>
      <c r="AV175" s="3" t="s">
        <v>2288</v>
      </c>
      <c r="AW175" s="3" t="s">
        <v>2289</v>
      </c>
      <c r="AX175" s="3" t="s">
        <v>2289</v>
      </c>
      <c r="AY175" s="3" t="s">
        <v>2290</v>
      </c>
      <c r="AZ175" s="3" t="s">
        <v>73</v>
      </c>
      <c r="BB175" s="3" t="s">
        <v>2291</v>
      </c>
      <c r="BC175" s="3" t="s">
        <v>2292</v>
      </c>
      <c r="BD175" s="3" t="s">
        <v>2293</v>
      </c>
    </row>
    <row r="176" spans="1:56" ht="40.5" customHeight="1" x14ac:dyDescent="0.25">
      <c r="A176" s="7" t="s">
        <v>58</v>
      </c>
      <c r="B176" s="2" t="s">
        <v>2294</v>
      </c>
      <c r="C176" s="2" t="s">
        <v>2295</v>
      </c>
      <c r="D176" s="2" t="s">
        <v>2296</v>
      </c>
      <c r="F176" s="3" t="s">
        <v>58</v>
      </c>
      <c r="G176" s="3" t="s">
        <v>59</v>
      </c>
      <c r="H176" s="3" t="s">
        <v>58</v>
      </c>
      <c r="I176" s="3" t="s">
        <v>58</v>
      </c>
      <c r="J176" s="3" t="s">
        <v>60</v>
      </c>
      <c r="L176" s="2" t="s">
        <v>2297</v>
      </c>
      <c r="M176" s="3" t="s">
        <v>303</v>
      </c>
      <c r="O176" s="3" t="s">
        <v>64</v>
      </c>
      <c r="P176" s="3" t="s">
        <v>886</v>
      </c>
      <c r="R176" s="3" t="s">
        <v>66</v>
      </c>
      <c r="S176" s="4">
        <v>1</v>
      </c>
      <c r="T176" s="4">
        <v>1</v>
      </c>
      <c r="U176" s="5" t="s">
        <v>2298</v>
      </c>
      <c r="V176" s="5" t="s">
        <v>2298</v>
      </c>
      <c r="W176" s="5" t="s">
        <v>2298</v>
      </c>
      <c r="X176" s="5" t="s">
        <v>2298</v>
      </c>
      <c r="Y176" s="4">
        <v>145</v>
      </c>
      <c r="Z176" s="4">
        <v>100</v>
      </c>
      <c r="AA176" s="4">
        <v>105</v>
      </c>
      <c r="AB176" s="4">
        <v>2</v>
      </c>
      <c r="AC176" s="4">
        <v>2</v>
      </c>
      <c r="AD176" s="4">
        <v>3</v>
      </c>
      <c r="AE176" s="4">
        <v>3</v>
      </c>
      <c r="AF176" s="4">
        <v>0</v>
      </c>
      <c r="AG176" s="4">
        <v>0</v>
      </c>
      <c r="AH176" s="4">
        <v>0</v>
      </c>
      <c r="AI176" s="4">
        <v>0</v>
      </c>
      <c r="AJ176" s="4">
        <v>2</v>
      </c>
      <c r="AK176" s="4">
        <v>2</v>
      </c>
      <c r="AL176" s="4">
        <v>1</v>
      </c>
      <c r="AM176" s="4">
        <v>1</v>
      </c>
      <c r="AN176" s="4">
        <v>0</v>
      </c>
      <c r="AO176" s="4">
        <v>0</v>
      </c>
      <c r="AP176" s="3" t="s">
        <v>58</v>
      </c>
      <c r="AQ176" s="3" t="s">
        <v>58</v>
      </c>
      <c r="AS176" s="6" t="str">
        <f>HYPERLINK("https://creighton-primo.hosted.exlibrisgroup.com/primo-explore/search?tab=default_tab&amp;search_scope=EVERYTHING&amp;vid=01CRU&amp;lang=en_US&amp;offset=0&amp;query=any,contains,991001560709702656","Catalog Record")</f>
        <v>Catalog Record</v>
      </c>
      <c r="AT176" s="6" t="str">
        <f>HYPERLINK("http://www.worldcat.org/oclc/32891073","WorldCat Record")</f>
        <v>WorldCat Record</v>
      </c>
      <c r="AU176" s="3" t="s">
        <v>2299</v>
      </c>
      <c r="AV176" s="3" t="s">
        <v>2300</v>
      </c>
      <c r="AW176" s="3" t="s">
        <v>2301</v>
      </c>
      <c r="AX176" s="3" t="s">
        <v>2301</v>
      </c>
      <c r="AY176" s="3" t="s">
        <v>2302</v>
      </c>
      <c r="AZ176" s="3" t="s">
        <v>73</v>
      </c>
      <c r="BB176" s="3" t="s">
        <v>2303</v>
      </c>
      <c r="BC176" s="3" t="s">
        <v>2304</v>
      </c>
      <c r="BD176" s="3" t="s">
        <v>2305</v>
      </c>
    </row>
    <row r="177" spans="1:56" ht="40.5" customHeight="1" x14ac:dyDescent="0.25">
      <c r="A177" s="7" t="s">
        <v>58</v>
      </c>
      <c r="B177" s="2" t="s">
        <v>2306</v>
      </c>
      <c r="C177" s="2" t="s">
        <v>2307</v>
      </c>
      <c r="D177" s="2" t="s">
        <v>2308</v>
      </c>
      <c r="F177" s="3" t="s">
        <v>58</v>
      </c>
      <c r="G177" s="3" t="s">
        <v>59</v>
      </c>
      <c r="H177" s="3" t="s">
        <v>58</v>
      </c>
      <c r="I177" s="3" t="s">
        <v>58</v>
      </c>
      <c r="J177" s="3" t="s">
        <v>60</v>
      </c>
      <c r="L177" s="2" t="s">
        <v>2309</v>
      </c>
      <c r="M177" s="3" t="s">
        <v>614</v>
      </c>
      <c r="O177" s="3" t="s">
        <v>64</v>
      </c>
      <c r="P177" s="3" t="s">
        <v>135</v>
      </c>
      <c r="Q177" s="2" t="s">
        <v>1814</v>
      </c>
      <c r="R177" s="3" t="s">
        <v>66</v>
      </c>
      <c r="S177" s="4">
        <v>28</v>
      </c>
      <c r="T177" s="4">
        <v>28</v>
      </c>
      <c r="U177" s="5" t="s">
        <v>2310</v>
      </c>
      <c r="V177" s="5" t="s">
        <v>2310</v>
      </c>
      <c r="W177" s="5" t="s">
        <v>2311</v>
      </c>
      <c r="X177" s="5" t="s">
        <v>2311</v>
      </c>
      <c r="Y177" s="4">
        <v>424</v>
      </c>
      <c r="Z177" s="4">
        <v>252</v>
      </c>
      <c r="AA177" s="4">
        <v>259</v>
      </c>
      <c r="AB177" s="4">
        <v>3</v>
      </c>
      <c r="AC177" s="4">
        <v>3</v>
      </c>
      <c r="AD177" s="4">
        <v>9</v>
      </c>
      <c r="AE177" s="4">
        <v>9</v>
      </c>
      <c r="AF177" s="4">
        <v>1</v>
      </c>
      <c r="AG177" s="4">
        <v>1</v>
      </c>
      <c r="AH177" s="4">
        <v>4</v>
      </c>
      <c r="AI177" s="4">
        <v>4</v>
      </c>
      <c r="AJ177" s="4">
        <v>5</v>
      </c>
      <c r="AK177" s="4">
        <v>5</v>
      </c>
      <c r="AL177" s="4">
        <v>1</v>
      </c>
      <c r="AM177" s="4">
        <v>1</v>
      </c>
      <c r="AN177" s="4">
        <v>0</v>
      </c>
      <c r="AO177" s="4">
        <v>0</v>
      </c>
      <c r="AP177" s="3" t="s">
        <v>58</v>
      </c>
      <c r="AQ177" s="3" t="s">
        <v>58</v>
      </c>
      <c r="AS177" s="6" t="str">
        <f>HYPERLINK("https://creighton-primo.hosted.exlibrisgroup.com/primo-explore/search?tab=default_tab&amp;search_scope=EVERYTHING&amp;vid=01CRU&amp;lang=en_US&amp;offset=0&amp;query=any,contains,991000761639702656","Catalog Record")</f>
        <v>Catalog Record</v>
      </c>
      <c r="AT177" s="6" t="str">
        <f>HYPERLINK("http://www.worldcat.org/oclc/19321742","WorldCat Record")</f>
        <v>WorldCat Record</v>
      </c>
      <c r="AU177" s="3" t="s">
        <v>2312</v>
      </c>
      <c r="AV177" s="3" t="s">
        <v>2313</v>
      </c>
      <c r="AW177" s="3" t="s">
        <v>2314</v>
      </c>
      <c r="AX177" s="3" t="s">
        <v>2314</v>
      </c>
      <c r="AY177" s="3" t="s">
        <v>2315</v>
      </c>
      <c r="AZ177" s="3" t="s">
        <v>73</v>
      </c>
      <c r="BB177" s="3" t="s">
        <v>2316</v>
      </c>
      <c r="BC177" s="3" t="s">
        <v>2317</v>
      </c>
      <c r="BD177" s="3" t="s">
        <v>2318</v>
      </c>
    </row>
    <row r="178" spans="1:56" ht="40.5" customHeight="1" x14ac:dyDescent="0.25">
      <c r="A178" s="7" t="s">
        <v>58</v>
      </c>
      <c r="B178" s="2" t="s">
        <v>2319</v>
      </c>
      <c r="C178" s="2" t="s">
        <v>2320</v>
      </c>
      <c r="D178" s="2" t="s">
        <v>2321</v>
      </c>
      <c r="F178" s="3" t="s">
        <v>58</v>
      </c>
      <c r="G178" s="3" t="s">
        <v>59</v>
      </c>
      <c r="H178" s="3" t="s">
        <v>58</v>
      </c>
      <c r="I178" s="3" t="s">
        <v>58</v>
      </c>
      <c r="J178" s="3" t="s">
        <v>60</v>
      </c>
      <c r="L178" s="2" t="s">
        <v>2322</v>
      </c>
      <c r="M178" s="3" t="s">
        <v>1067</v>
      </c>
      <c r="O178" s="3" t="s">
        <v>64</v>
      </c>
      <c r="P178" s="3" t="s">
        <v>117</v>
      </c>
      <c r="Q178" s="2" t="s">
        <v>2323</v>
      </c>
      <c r="R178" s="3" t="s">
        <v>66</v>
      </c>
      <c r="S178" s="4">
        <v>6</v>
      </c>
      <c r="T178" s="4">
        <v>6</v>
      </c>
      <c r="U178" s="5" t="s">
        <v>2026</v>
      </c>
      <c r="V178" s="5" t="s">
        <v>2026</v>
      </c>
      <c r="W178" s="5" t="s">
        <v>2027</v>
      </c>
      <c r="X178" s="5" t="s">
        <v>2027</v>
      </c>
      <c r="Y178" s="4">
        <v>230</v>
      </c>
      <c r="Z178" s="4">
        <v>157</v>
      </c>
      <c r="AA178" s="4">
        <v>157</v>
      </c>
      <c r="AB178" s="4">
        <v>2</v>
      </c>
      <c r="AC178" s="4">
        <v>2</v>
      </c>
      <c r="AD178" s="4">
        <v>9</v>
      </c>
      <c r="AE178" s="4">
        <v>9</v>
      </c>
      <c r="AF178" s="4">
        <v>1</v>
      </c>
      <c r="AG178" s="4">
        <v>1</v>
      </c>
      <c r="AH178" s="4">
        <v>2</v>
      </c>
      <c r="AI178" s="4">
        <v>2</v>
      </c>
      <c r="AJ178" s="4">
        <v>8</v>
      </c>
      <c r="AK178" s="4">
        <v>8</v>
      </c>
      <c r="AL178" s="4">
        <v>1</v>
      </c>
      <c r="AM178" s="4">
        <v>1</v>
      </c>
      <c r="AN178" s="4">
        <v>0</v>
      </c>
      <c r="AO178" s="4">
        <v>0</v>
      </c>
      <c r="AP178" s="3" t="s">
        <v>58</v>
      </c>
      <c r="AQ178" s="3" t="s">
        <v>58</v>
      </c>
      <c r="AS178" s="6" t="str">
        <f>HYPERLINK("https://creighton-primo.hosted.exlibrisgroup.com/primo-explore/search?tab=default_tab&amp;search_scope=EVERYTHING&amp;vid=01CRU&amp;lang=en_US&amp;offset=0&amp;query=any,contains,991001014379702656","Catalog Record")</f>
        <v>Catalog Record</v>
      </c>
      <c r="AT178" s="6" t="str">
        <f>HYPERLINK("http://www.worldcat.org/oclc/25096868","WorldCat Record")</f>
        <v>WorldCat Record</v>
      </c>
      <c r="AU178" s="3" t="s">
        <v>2324</v>
      </c>
      <c r="AV178" s="3" t="s">
        <v>2325</v>
      </c>
      <c r="AW178" s="3" t="s">
        <v>2326</v>
      </c>
      <c r="AX178" s="3" t="s">
        <v>2326</v>
      </c>
      <c r="AY178" s="3" t="s">
        <v>2327</v>
      </c>
      <c r="AZ178" s="3" t="s">
        <v>73</v>
      </c>
      <c r="BB178" s="3" t="s">
        <v>2328</v>
      </c>
      <c r="BC178" s="3" t="s">
        <v>2329</v>
      </c>
      <c r="BD178" s="3" t="s">
        <v>2330</v>
      </c>
    </row>
    <row r="179" spans="1:56" ht="40.5" customHeight="1" x14ac:dyDescent="0.25">
      <c r="A179" s="7" t="s">
        <v>58</v>
      </c>
      <c r="B179" s="2" t="s">
        <v>2331</v>
      </c>
      <c r="C179" s="2" t="s">
        <v>2332</v>
      </c>
      <c r="D179" s="2" t="s">
        <v>2333</v>
      </c>
      <c r="F179" s="3" t="s">
        <v>58</v>
      </c>
      <c r="G179" s="3" t="s">
        <v>59</v>
      </c>
      <c r="H179" s="3" t="s">
        <v>58</v>
      </c>
      <c r="I179" s="3" t="s">
        <v>58</v>
      </c>
      <c r="J179" s="3" t="s">
        <v>60</v>
      </c>
      <c r="L179" s="2" t="s">
        <v>2272</v>
      </c>
      <c r="M179" s="3" t="s">
        <v>116</v>
      </c>
      <c r="O179" s="3" t="s">
        <v>64</v>
      </c>
      <c r="P179" s="3" t="s">
        <v>135</v>
      </c>
      <c r="Q179" s="2" t="s">
        <v>1814</v>
      </c>
      <c r="R179" s="3" t="s">
        <v>66</v>
      </c>
      <c r="S179" s="4">
        <v>10</v>
      </c>
      <c r="T179" s="4">
        <v>10</v>
      </c>
      <c r="U179" s="5" t="s">
        <v>2334</v>
      </c>
      <c r="V179" s="5" t="s">
        <v>2334</v>
      </c>
      <c r="W179" s="5" t="s">
        <v>2065</v>
      </c>
      <c r="X179" s="5" t="s">
        <v>2065</v>
      </c>
      <c r="Y179" s="4">
        <v>223</v>
      </c>
      <c r="Z179" s="4">
        <v>139</v>
      </c>
      <c r="AA179" s="4">
        <v>141</v>
      </c>
      <c r="AB179" s="4">
        <v>1</v>
      </c>
      <c r="AC179" s="4">
        <v>1</v>
      </c>
      <c r="AD179" s="4">
        <v>7</v>
      </c>
      <c r="AE179" s="4">
        <v>7</v>
      </c>
      <c r="AF179" s="4">
        <v>5</v>
      </c>
      <c r="AG179" s="4">
        <v>5</v>
      </c>
      <c r="AH179" s="4">
        <v>1</v>
      </c>
      <c r="AI179" s="4">
        <v>1</v>
      </c>
      <c r="AJ179" s="4">
        <v>4</v>
      </c>
      <c r="AK179" s="4">
        <v>4</v>
      </c>
      <c r="AL179" s="4">
        <v>0</v>
      </c>
      <c r="AM179" s="4">
        <v>0</v>
      </c>
      <c r="AN179" s="4">
        <v>0</v>
      </c>
      <c r="AO179" s="4">
        <v>0</v>
      </c>
      <c r="AP179" s="3" t="s">
        <v>58</v>
      </c>
      <c r="AQ179" s="3" t="s">
        <v>85</v>
      </c>
      <c r="AR179" s="6" t="str">
        <f>HYPERLINK("http://catalog.hathitrust.org/Record/002725960","HathiTrust Record")</f>
        <v>HathiTrust Record</v>
      </c>
      <c r="AS179" s="6" t="str">
        <f>HYPERLINK("https://creighton-primo.hosted.exlibrisgroup.com/primo-explore/search?tab=default_tab&amp;search_scope=EVERYTHING&amp;vid=01CRU&amp;lang=en_US&amp;offset=0&amp;query=any,contains,991001482079702656","Catalog Record")</f>
        <v>Catalog Record</v>
      </c>
      <c r="AT179" s="6" t="str">
        <f>HYPERLINK("http://www.worldcat.org/oclc/25164064","WorldCat Record")</f>
        <v>WorldCat Record</v>
      </c>
      <c r="AU179" s="3" t="s">
        <v>2335</v>
      </c>
      <c r="AV179" s="3" t="s">
        <v>2336</v>
      </c>
      <c r="AW179" s="3" t="s">
        <v>2337</v>
      </c>
      <c r="AX179" s="3" t="s">
        <v>2337</v>
      </c>
      <c r="AY179" s="3" t="s">
        <v>2338</v>
      </c>
      <c r="AZ179" s="3" t="s">
        <v>73</v>
      </c>
      <c r="BB179" s="3" t="s">
        <v>2339</v>
      </c>
      <c r="BC179" s="3" t="s">
        <v>2340</v>
      </c>
      <c r="BD179" s="3" t="s">
        <v>2341</v>
      </c>
    </row>
    <row r="180" spans="1:56" ht="40.5" customHeight="1" x14ac:dyDescent="0.25">
      <c r="A180" s="7" t="s">
        <v>58</v>
      </c>
      <c r="B180" s="2" t="s">
        <v>2342</v>
      </c>
      <c r="C180" s="2" t="s">
        <v>2343</v>
      </c>
      <c r="D180" s="2" t="s">
        <v>2344</v>
      </c>
      <c r="F180" s="3" t="s">
        <v>58</v>
      </c>
      <c r="G180" s="3" t="s">
        <v>59</v>
      </c>
      <c r="H180" s="3" t="s">
        <v>58</v>
      </c>
      <c r="I180" s="3" t="s">
        <v>58</v>
      </c>
      <c r="J180" s="3" t="s">
        <v>59</v>
      </c>
      <c r="L180" s="2" t="s">
        <v>1853</v>
      </c>
      <c r="M180" s="3" t="s">
        <v>742</v>
      </c>
      <c r="O180" s="3" t="s">
        <v>64</v>
      </c>
      <c r="P180" s="3" t="s">
        <v>135</v>
      </c>
      <c r="Q180" s="2" t="s">
        <v>2345</v>
      </c>
      <c r="R180" s="3" t="s">
        <v>66</v>
      </c>
      <c r="S180" s="4">
        <v>2</v>
      </c>
      <c r="T180" s="4">
        <v>2</v>
      </c>
      <c r="U180" s="5" t="s">
        <v>2346</v>
      </c>
      <c r="V180" s="5" t="s">
        <v>2346</v>
      </c>
      <c r="W180" s="5" t="s">
        <v>2346</v>
      </c>
      <c r="X180" s="5" t="s">
        <v>2346</v>
      </c>
      <c r="Y180" s="4">
        <v>242</v>
      </c>
      <c r="Z180" s="4">
        <v>157</v>
      </c>
      <c r="AA180" s="4">
        <v>911</v>
      </c>
      <c r="AB180" s="4">
        <v>1</v>
      </c>
      <c r="AC180" s="4">
        <v>15</v>
      </c>
      <c r="AD180" s="4">
        <v>5</v>
      </c>
      <c r="AE180" s="4">
        <v>34</v>
      </c>
      <c r="AF180" s="4">
        <v>3</v>
      </c>
      <c r="AG180" s="4">
        <v>10</v>
      </c>
      <c r="AH180" s="4">
        <v>1</v>
      </c>
      <c r="AI180" s="4">
        <v>6</v>
      </c>
      <c r="AJ180" s="4">
        <v>4</v>
      </c>
      <c r="AK180" s="4">
        <v>11</v>
      </c>
      <c r="AL180" s="4">
        <v>0</v>
      </c>
      <c r="AM180" s="4">
        <v>13</v>
      </c>
      <c r="AN180" s="4">
        <v>0</v>
      </c>
      <c r="AO180" s="4">
        <v>1</v>
      </c>
      <c r="AP180" s="3" t="s">
        <v>58</v>
      </c>
      <c r="AQ180" s="3" t="s">
        <v>85</v>
      </c>
      <c r="AR180" s="6" t="str">
        <f>HYPERLINK("http://catalog.hathitrust.org/Record/002714468","HathiTrust Record")</f>
        <v>HathiTrust Record</v>
      </c>
      <c r="AS180" s="6" t="str">
        <f>HYPERLINK("https://creighton-primo.hosted.exlibrisgroup.com/primo-explore/search?tab=default_tab&amp;search_scope=EVERYTHING&amp;vid=01CRU&amp;lang=en_US&amp;offset=0&amp;query=any,contains,991000837989702656","Catalog Record")</f>
        <v>Catalog Record</v>
      </c>
      <c r="AT180" s="6" t="str">
        <f>HYPERLINK("http://www.worldcat.org/oclc/27311140","WorldCat Record")</f>
        <v>WorldCat Record</v>
      </c>
      <c r="AU180" s="3" t="s">
        <v>2347</v>
      </c>
      <c r="AV180" s="3" t="s">
        <v>2348</v>
      </c>
      <c r="AW180" s="3" t="s">
        <v>2349</v>
      </c>
      <c r="AX180" s="3" t="s">
        <v>2349</v>
      </c>
      <c r="AY180" s="3" t="s">
        <v>2350</v>
      </c>
      <c r="AZ180" s="3" t="s">
        <v>73</v>
      </c>
      <c r="BB180" s="3" t="s">
        <v>2351</v>
      </c>
      <c r="BC180" s="3" t="s">
        <v>2352</v>
      </c>
      <c r="BD180" s="3" t="s">
        <v>2353</v>
      </c>
    </row>
    <row r="181" spans="1:56" ht="40.5" customHeight="1" x14ac:dyDescent="0.25">
      <c r="A181" s="7" t="s">
        <v>58</v>
      </c>
      <c r="B181" s="2" t="s">
        <v>2354</v>
      </c>
      <c r="C181" s="2" t="s">
        <v>2355</v>
      </c>
      <c r="D181" s="2" t="s">
        <v>2356</v>
      </c>
      <c r="F181" s="3" t="s">
        <v>58</v>
      </c>
      <c r="G181" s="3" t="s">
        <v>59</v>
      </c>
      <c r="H181" s="3" t="s">
        <v>58</v>
      </c>
      <c r="I181" s="3" t="s">
        <v>58</v>
      </c>
      <c r="J181" s="3" t="s">
        <v>60</v>
      </c>
      <c r="L181" s="2" t="s">
        <v>2357</v>
      </c>
      <c r="M181" s="3" t="s">
        <v>365</v>
      </c>
      <c r="O181" s="3" t="s">
        <v>64</v>
      </c>
      <c r="P181" s="3" t="s">
        <v>2358</v>
      </c>
      <c r="R181" s="3" t="s">
        <v>66</v>
      </c>
      <c r="S181" s="4">
        <v>5</v>
      </c>
      <c r="T181" s="4">
        <v>5</v>
      </c>
      <c r="U181" s="5" t="s">
        <v>2051</v>
      </c>
      <c r="V181" s="5" t="s">
        <v>2051</v>
      </c>
      <c r="W181" s="5" t="s">
        <v>2359</v>
      </c>
      <c r="X181" s="5" t="s">
        <v>2359</v>
      </c>
      <c r="Y181" s="4">
        <v>235</v>
      </c>
      <c r="Z181" s="4">
        <v>178</v>
      </c>
      <c r="AA181" s="4">
        <v>200</v>
      </c>
      <c r="AB181" s="4">
        <v>1</v>
      </c>
      <c r="AC181" s="4">
        <v>1</v>
      </c>
      <c r="AD181" s="4">
        <v>4</v>
      </c>
      <c r="AE181" s="4">
        <v>5</v>
      </c>
      <c r="AF181" s="4">
        <v>0</v>
      </c>
      <c r="AG181" s="4">
        <v>1</v>
      </c>
      <c r="AH181" s="4">
        <v>2</v>
      </c>
      <c r="AI181" s="4">
        <v>2</v>
      </c>
      <c r="AJ181" s="4">
        <v>3</v>
      </c>
      <c r="AK181" s="4">
        <v>4</v>
      </c>
      <c r="AL181" s="4">
        <v>0</v>
      </c>
      <c r="AM181" s="4">
        <v>0</v>
      </c>
      <c r="AN181" s="4">
        <v>0</v>
      </c>
      <c r="AO181" s="4">
        <v>0</v>
      </c>
      <c r="AP181" s="3" t="s">
        <v>58</v>
      </c>
      <c r="AQ181" s="3" t="s">
        <v>85</v>
      </c>
      <c r="AR181" s="6" t="str">
        <f>HYPERLINK("http://catalog.hathitrust.org/Record/002875114","HathiTrust Record")</f>
        <v>HathiTrust Record</v>
      </c>
      <c r="AS181" s="6" t="str">
        <f>HYPERLINK("https://creighton-primo.hosted.exlibrisgroup.com/primo-explore/search?tab=default_tab&amp;search_scope=EVERYTHING&amp;vid=01CRU&amp;lang=en_US&amp;offset=0&amp;query=any,contains,991000682789702656","Catalog Record")</f>
        <v>Catalog Record</v>
      </c>
      <c r="AT181" s="6" t="str">
        <f>HYPERLINK("http://www.worldcat.org/oclc/29358337","WorldCat Record")</f>
        <v>WorldCat Record</v>
      </c>
      <c r="AU181" s="3" t="s">
        <v>2360</v>
      </c>
      <c r="AV181" s="3" t="s">
        <v>2361</v>
      </c>
      <c r="AW181" s="3" t="s">
        <v>2362</v>
      </c>
      <c r="AX181" s="3" t="s">
        <v>2362</v>
      </c>
      <c r="AY181" s="3" t="s">
        <v>2363</v>
      </c>
      <c r="AZ181" s="3" t="s">
        <v>73</v>
      </c>
      <c r="BB181" s="3" t="s">
        <v>2364</v>
      </c>
      <c r="BC181" s="3" t="s">
        <v>2365</v>
      </c>
      <c r="BD181" s="3" t="s">
        <v>2366</v>
      </c>
    </row>
    <row r="182" spans="1:56" ht="40.5" customHeight="1" x14ac:dyDescent="0.25">
      <c r="A182" s="7" t="s">
        <v>58</v>
      </c>
      <c r="B182" s="2" t="s">
        <v>2367</v>
      </c>
      <c r="C182" s="2" t="s">
        <v>2368</v>
      </c>
      <c r="D182" s="2" t="s">
        <v>2369</v>
      </c>
      <c r="F182" s="3" t="s">
        <v>58</v>
      </c>
      <c r="G182" s="3" t="s">
        <v>59</v>
      </c>
      <c r="H182" s="3" t="s">
        <v>58</v>
      </c>
      <c r="I182" s="3" t="s">
        <v>58</v>
      </c>
      <c r="J182" s="3" t="s">
        <v>60</v>
      </c>
      <c r="L182" s="2" t="s">
        <v>2370</v>
      </c>
      <c r="M182" s="3" t="s">
        <v>303</v>
      </c>
      <c r="O182" s="3" t="s">
        <v>64</v>
      </c>
      <c r="P182" s="3" t="s">
        <v>135</v>
      </c>
      <c r="Q182" s="2" t="s">
        <v>2371</v>
      </c>
      <c r="R182" s="3" t="s">
        <v>66</v>
      </c>
      <c r="S182" s="4">
        <v>6</v>
      </c>
      <c r="T182" s="4">
        <v>6</v>
      </c>
      <c r="U182" s="5" t="s">
        <v>2372</v>
      </c>
      <c r="V182" s="5" t="s">
        <v>2372</v>
      </c>
      <c r="W182" s="5" t="s">
        <v>2373</v>
      </c>
      <c r="X182" s="5" t="s">
        <v>2373</v>
      </c>
      <c r="Y182" s="4">
        <v>222</v>
      </c>
      <c r="Z182" s="4">
        <v>148</v>
      </c>
      <c r="AA182" s="4">
        <v>153</v>
      </c>
      <c r="AB182" s="4">
        <v>1</v>
      </c>
      <c r="AC182" s="4">
        <v>1</v>
      </c>
      <c r="AD182" s="4">
        <v>7</v>
      </c>
      <c r="AE182" s="4">
        <v>7</v>
      </c>
      <c r="AF182" s="4">
        <v>2</v>
      </c>
      <c r="AG182" s="4">
        <v>2</v>
      </c>
      <c r="AH182" s="4">
        <v>4</v>
      </c>
      <c r="AI182" s="4">
        <v>4</v>
      </c>
      <c r="AJ182" s="4">
        <v>4</v>
      </c>
      <c r="AK182" s="4">
        <v>4</v>
      </c>
      <c r="AL182" s="4">
        <v>0</v>
      </c>
      <c r="AM182" s="4">
        <v>0</v>
      </c>
      <c r="AN182" s="4">
        <v>0</v>
      </c>
      <c r="AO182" s="4">
        <v>0</v>
      </c>
      <c r="AP182" s="3" t="s">
        <v>58</v>
      </c>
      <c r="AQ182" s="3" t="s">
        <v>58</v>
      </c>
      <c r="AS182" s="6" t="str">
        <f>HYPERLINK("https://creighton-primo.hosted.exlibrisgroup.com/primo-explore/search?tab=default_tab&amp;search_scope=EVERYTHING&amp;vid=01CRU&amp;lang=en_US&amp;offset=0&amp;query=any,contains,991001296139702656","Catalog Record")</f>
        <v>Catalog Record</v>
      </c>
      <c r="AT182" s="6" t="str">
        <f>HYPERLINK("http://www.worldcat.org/oclc/34284614","WorldCat Record")</f>
        <v>WorldCat Record</v>
      </c>
      <c r="AU182" s="3" t="s">
        <v>2374</v>
      </c>
      <c r="AV182" s="3" t="s">
        <v>2375</v>
      </c>
      <c r="AW182" s="3" t="s">
        <v>2376</v>
      </c>
      <c r="AX182" s="3" t="s">
        <v>2376</v>
      </c>
      <c r="AY182" s="3" t="s">
        <v>2377</v>
      </c>
      <c r="AZ182" s="3" t="s">
        <v>73</v>
      </c>
      <c r="BB182" s="3" t="s">
        <v>2378</v>
      </c>
      <c r="BC182" s="3" t="s">
        <v>2379</v>
      </c>
      <c r="BD182" s="3" t="s">
        <v>2380</v>
      </c>
    </row>
    <row r="183" spans="1:56" ht="40.5" customHeight="1" x14ac:dyDescent="0.25">
      <c r="A183" s="7" t="s">
        <v>58</v>
      </c>
      <c r="B183" s="2" t="s">
        <v>2381</v>
      </c>
      <c r="C183" s="2" t="s">
        <v>2382</v>
      </c>
      <c r="D183" s="2" t="s">
        <v>2383</v>
      </c>
      <c r="F183" s="3" t="s">
        <v>58</v>
      </c>
      <c r="G183" s="3" t="s">
        <v>59</v>
      </c>
      <c r="H183" s="3" t="s">
        <v>58</v>
      </c>
      <c r="I183" s="3" t="s">
        <v>58</v>
      </c>
      <c r="J183" s="3" t="s">
        <v>60</v>
      </c>
      <c r="L183" s="2" t="s">
        <v>2384</v>
      </c>
      <c r="M183" s="3" t="s">
        <v>644</v>
      </c>
      <c r="N183" s="2" t="s">
        <v>198</v>
      </c>
      <c r="O183" s="3" t="s">
        <v>64</v>
      </c>
      <c r="P183" s="3" t="s">
        <v>117</v>
      </c>
      <c r="Q183" s="2" t="s">
        <v>2385</v>
      </c>
      <c r="R183" s="3" t="s">
        <v>66</v>
      </c>
      <c r="S183" s="4">
        <v>13</v>
      </c>
      <c r="T183" s="4">
        <v>13</v>
      </c>
      <c r="U183" s="5" t="s">
        <v>1633</v>
      </c>
      <c r="V183" s="5" t="s">
        <v>1633</v>
      </c>
      <c r="W183" s="5" t="s">
        <v>2386</v>
      </c>
      <c r="X183" s="5" t="s">
        <v>2386</v>
      </c>
      <c r="Y183" s="4">
        <v>324</v>
      </c>
      <c r="Z183" s="4">
        <v>218</v>
      </c>
      <c r="AA183" s="4">
        <v>470</v>
      </c>
      <c r="AB183" s="4">
        <v>1</v>
      </c>
      <c r="AC183" s="4">
        <v>2</v>
      </c>
      <c r="AD183" s="4">
        <v>11</v>
      </c>
      <c r="AE183" s="4">
        <v>16</v>
      </c>
      <c r="AF183" s="4">
        <v>4</v>
      </c>
      <c r="AG183" s="4">
        <v>4</v>
      </c>
      <c r="AH183" s="4">
        <v>2</v>
      </c>
      <c r="AI183" s="4">
        <v>5</v>
      </c>
      <c r="AJ183" s="4">
        <v>7</v>
      </c>
      <c r="AK183" s="4">
        <v>10</v>
      </c>
      <c r="AL183" s="4">
        <v>0</v>
      </c>
      <c r="AM183" s="4">
        <v>1</v>
      </c>
      <c r="AN183" s="4">
        <v>0</v>
      </c>
      <c r="AO183" s="4">
        <v>0</v>
      </c>
      <c r="AP183" s="3" t="s">
        <v>58</v>
      </c>
      <c r="AQ183" s="3" t="s">
        <v>58</v>
      </c>
      <c r="AS183" s="6" t="str">
        <f>HYPERLINK("https://creighton-primo.hosted.exlibrisgroup.com/primo-explore/search?tab=default_tab&amp;search_scope=EVERYTHING&amp;vid=01CRU&amp;lang=en_US&amp;offset=0&amp;query=any,contains,991001260789702656","Catalog Record")</f>
        <v>Catalog Record</v>
      </c>
      <c r="AT183" s="6" t="str">
        <f>HYPERLINK("http://www.worldcat.org/oclc/37464591","WorldCat Record")</f>
        <v>WorldCat Record</v>
      </c>
      <c r="AU183" s="3" t="s">
        <v>2387</v>
      </c>
      <c r="AV183" s="3" t="s">
        <v>2388</v>
      </c>
      <c r="AW183" s="3" t="s">
        <v>2389</v>
      </c>
      <c r="AX183" s="3" t="s">
        <v>2389</v>
      </c>
      <c r="AY183" s="3" t="s">
        <v>2390</v>
      </c>
      <c r="AZ183" s="3" t="s">
        <v>73</v>
      </c>
      <c r="BB183" s="3" t="s">
        <v>2391</v>
      </c>
      <c r="BC183" s="3" t="s">
        <v>2392</v>
      </c>
      <c r="BD183" s="3" t="s">
        <v>2393</v>
      </c>
    </row>
    <row r="184" spans="1:56" ht="40.5" customHeight="1" x14ac:dyDescent="0.25">
      <c r="A184" s="7" t="s">
        <v>58</v>
      </c>
      <c r="B184" s="2" t="s">
        <v>2394</v>
      </c>
      <c r="C184" s="2" t="s">
        <v>2395</v>
      </c>
      <c r="D184" s="2" t="s">
        <v>2396</v>
      </c>
      <c r="F184" s="3" t="s">
        <v>58</v>
      </c>
      <c r="G184" s="3" t="s">
        <v>59</v>
      </c>
      <c r="H184" s="3" t="s">
        <v>58</v>
      </c>
      <c r="I184" s="3" t="s">
        <v>58</v>
      </c>
      <c r="J184" s="3" t="s">
        <v>60</v>
      </c>
      <c r="L184" s="2" t="s">
        <v>1564</v>
      </c>
      <c r="M184" s="3" t="s">
        <v>614</v>
      </c>
      <c r="O184" s="3" t="s">
        <v>64</v>
      </c>
      <c r="P184" s="3" t="s">
        <v>65</v>
      </c>
      <c r="Q184" s="2" t="s">
        <v>2397</v>
      </c>
      <c r="R184" s="3" t="s">
        <v>66</v>
      </c>
      <c r="S184" s="4">
        <v>4</v>
      </c>
      <c r="T184" s="4">
        <v>4</v>
      </c>
      <c r="U184" s="5" t="s">
        <v>2398</v>
      </c>
      <c r="V184" s="5" t="s">
        <v>2398</v>
      </c>
      <c r="W184" s="5" t="s">
        <v>2399</v>
      </c>
      <c r="X184" s="5" t="s">
        <v>2399</v>
      </c>
      <c r="Y184" s="4">
        <v>167</v>
      </c>
      <c r="Z184" s="4">
        <v>150</v>
      </c>
      <c r="AA184" s="4">
        <v>185</v>
      </c>
      <c r="AB184" s="4">
        <v>1</v>
      </c>
      <c r="AC184" s="4">
        <v>2</v>
      </c>
      <c r="AD184" s="4">
        <v>6</v>
      </c>
      <c r="AE184" s="4">
        <v>7</v>
      </c>
      <c r="AF184" s="4">
        <v>2</v>
      </c>
      <c r="AG184" s="4">
        <v>2</v>
      </c>
      <c r="AH184" s="4">
        <v>2</v>
      </c>
      <c r="AI184" s="4">
        <v>2</v>
      </c>
      <c r="AJ184" s="4">
        <v>4</v>
      </c>
      <c r="AK184" s="4">
        <v>4</v>
      </c>
      <c r="AL184" s="4">
        <v>0</v>
      </c>
      <c r="AM184" s="4">
        <v>1</v>
      </c>
      <c r="AN184" s="4">
        <v>0</v>
      </c>
      <c r="AO184" s="4">
        <v>0</v>
      </c>
      <c r="AP184" s="3" t="s">
        <v>58</v>
      </c>
      <c r="AQ184" s="3" t="s">
        <v>85</v>
      </c>
      <c r="AR184" s="6" t="str">
        <f>HYPERLINK("http://catalog.hathitrust.org/Record/001952228","HathiTrust Record")</f>
        <v>HathiTrust Record</v>
      </c>
      <c r="AS184" s="6" t="str">
        <f>HYPERLINK("https://creighton-primo.hosted.exlibrisgroup.com/primo-explore/search?tab=default_tab&amp;search_scope=EVERYTHING&amp;vid=01CRU&amp;lang=en_US&amp;offset=0&amp;query=any,contains,991000823769702656","Catalog Record")</f>
        <v>Catalog Record</v>
      </c>
      <c r="AT184" s="6" t="str">
        <f>HYPERLINK("http://www.worldcat.org/oclc/19814349","WorldCat Record")</f>
        <v>WorldCat Record</v>
      </c>
      <c r="AU184" s="3" t="s">
        <v>2400</v>
      </c>
      <c r="AV184" s="3" t="s">
        <v>2401</v>
      </c>
      <c r="AW184" s="3" t="s">
        <v>2402</v>
      </c>
      <c r="AX184" s="3" t="s">
        <v>2402</v>
      </c>
      <c r="AY184" s="3" t="s">
        <v>2403</v>
      </c>
      <c r="AZ184" s="3" t="s">
        <v>73</v>
      </c>
      <c r="BB184" s="3" t="s">
        <v>2404</v>
      </c>
      <c r="BC184" s="3" t="s">
        <v>2405</v>
      </c>
      <c r="BD184" s="3" t="s">
        <v>2406</v>
      </c>
    </row>
    <row r="185" spans="1:56" ht="40.5" customHeight="1" x14ac:dyDescent="0.25">
      <c r="A185" s="7" t="s">
        <v>58</v>
      </c>
      <c r="B185" s="2" t="s">
        <v>2407</v>
      </c>
      <c r="C185" s="2" t="s">
        <v>2408</v>
      </c>
      <c r="D185" s="2" t="s">
        <v>2409</v>
      </c>
      <c r="E185" s="3" t="s">
        <v>1245</v>
      </c>
      <c r="F185" s="3" t="s">
        <v>85</v>
      </c>
      <c r="G185" s="3" t="s">
        <v>59</v>
      </c>
      <c r="H185" s="3" t="s">
        <v>58</v>
      </c>
      <c r="I185" s="3" t="s">
        <v>58</v>
      </c>
      <c r="J185" s="3" t="s">
        <v>60</v>
      </c>
      <c r="L185" s="2" t="s">
        <v>2410</v>
      </c>
      <c r="M185" s="3" t="s">
        <v>213</v>
      </c>
      <c r="N185" s="2" t="s">
        <v>288</v>
      </c>
      <c r="O185" s="3" t="s">
        <v>64</v>
      </c>
      <c r="P185" s="3" t="s">
        <v>117</v>
      </c>
      <c r="R185" s="3" t="s">
        <v>66</v>
      </c>
      <c r="S185" s="4">
        <v>0</v>
      </c>
      <c r="T185" s="4">
        <v>4</v>
      </c>
      <c r="V185" s="5" t="s">
        <v>2411</v>
      </c>
      <c r="W185" s="5" t="s">
        <v>290</v>
      </c>
      <c r="X185" s="5" t="s">
        <v>290</v>
      </c>
      <c r="Y185" s="4">
        <v>587</v>
      </c>
      <c r="Z185" s="4">
        <v>467</v>
      </c>
      <c r="AA185" s="4">
        <v>512</v>
      </c>
      <c r="AB185" s="4">
        <v>5</v>
      </c>
      <c r="AC185" s="4">
        <v>5</v>
      </c>
      <c r="AD185" s="4">
        <v>17</v>
      </c>
      <c r="AE185" s="4">
        <v>19</v>
      </c>
      <c r="AF185" s="4">
        <v>5</v>
      </c>
      <c r="AG185" s="4">
        <v>7</v>
      </c>
      <c r="AH185" s="4">
        <v>6</v>
      </c>
      <c r="AI185" s="4">
        <v>7</v>
      </c>
      <c r="AJ185" s="4">
        <v>7</v>
      </c>
      <c r="AK185" s="4">
        <v>7</v>
      </c>
      <c r="AL185" s="4">
        <v>4</v>
      </c>
      <c r="AM185" s="4">
        <v>4</v>
      </c>
      <c r="AN185" s="4">
        <v>0</v>
      </c>
      <c r="AO185" s="4">
        <v>0</v>
      </c>
      <c r="AP185" s="3" t="s">
        <v>58</v>
      </c>
      <c r="AQ185" s="3" t="s">
        <v>85</v>
      </c>
      <c r="AR185" s="6" t="str">
        <f>HYPERLINK("http://catalog.hathitrust.org/Record/000149872","HathiTrust Record")</f>
        <v>HathiTrust Record</v>
      </c>
      <c r="AS185" s="6" t="str">
        <f>HYPERLINK("https://creighton-primo.hosted.exlibrisgroup.com/primo-explore/search?tab=default_tab&amp;search_scope=EVERYTHING&amp;vid=01CRU&amp;lang=en_US&amp;offset=0&amp;query=any,contains,991000897669702656","Catalog Record")</f>
        <v>Catalog Record</v>
      </c>
      <c r="AT185" s="6" t="str">
        <f>HYPERLINK("http://www.worldcat.org/oclc/980216","WorldCat Record")</f>
        <v>WorldCat Record</v>
      </c>
      <c r="AU185" s="3" t="s">
        <v>2412</v>
      </c>
      <c r="AV185" s="3" t="s">
        <v>2413</v>
      </c>
      <c r="AW185" s="3" t="s">
        <v>2414</v>
      </c>
      <c r="AX185" s="3" t="s">
        <v>2414</v>
      </c>
      <c r="AY185" s="3" t="s">
        <v>2415</v>
      </c>
      <c r="AZ185" s="3" t="s">
        <v>73</v>
      </c>
      <c r="BC185" s="3" t="s">
        <v>2416</v>
      </c>
      <c r="BD185" s="3" t="s">
        <v>2417</v>
      </c>
    </row>
    <row r="186" spans="1:56" ht="40.5" customHeight="1" x14ac:dyDescent="0.25">
      <c r="A186" s="7" t="s">
        <v>58</v>
      </c>
      <c r="B186" s="2" t="s">
        <v>2407</v>
      </c>
      <c r="C186" s="2" t="s">
        <v>2408</v>
      </c>
      <c r="D186" s="2" t="s">
        <v>2409</v>
      </c>
      <c r="E186" s="3" t="s">
        <v>96</v>
      </c>
      <c r="F186" s="3" t="s">
        <v>85</v>
      </c>
      <c r="G186" s="3" t="s">
        <v>59</v>
      </c>
      <c r="H186" s="3" t="s">
        <v>58</v>
      </c>
      <c r="I186" s="3" t="s">
        <v>58</v>
      </c>
      <c r="J186" s="3" t="s">
        <v>60</v>
      </c>
      <c r="L186" s="2" t="s">
        <v>2410</v>
      </c>
      <c r="M186" s="3" t="s">
        <v>213</v>
      </c>
      <c r="N186" s="2" t="s">
        <v>288</v>
      </c>
      <c r="O186" s="3" t="s">
        <v>64</v>
      </c>
      <c r="P186" s="3" t="s">
        <v>117</v>
      </c>
      <c r="R186" s="3" t="s">
        <v>66</v>
      </c>
      <c r="S186" s="4">
        <v>1</v>
      </c>
      <c r="T186" s="4">
        <v>4</v>
      </c>
      <c r="V186" s="5" t="s">
        <v>2411</v>
      </c>
      <c r="W186" s="5" t="s">
        <v>290</v>
      </c>
      <c r="X186" s="5" t="s">
        <v>290</v>
      </c>
      <c r="Y186" s="4">
        <v>587</v>
      </c>
      <c r="Z186" s="4">
        <v>467</v>
      </c>
      <c r="AA186" s="4">
        <v>512</v>
      </c>
      <c r="AB186" s="4">
        <v>5</v>
      </c>
      <c r="AC186" s="4">
        <v>5</v>
      </c>
      <c r="AD186" s="4">
        <v>17</v>
      </c>
      <c r="AE186" s="4">
        <v>19</v>
      </c>
      <c r="AF186" s="4">
        <v>5</v>
      </c>
      <c r="AG186" s="4">
        <v>7</v>
      </c>
      <c r="AH186" s="4">
        <v>6</v>
      </c>
      <c r="AI186" s="4">
        <v>7</v>
      </c>
      <c r="AJ186" s="4">
        <v>7</v>
      </c>
      <c r="AK186" s="4">
        <v>7</v>
      </c>
      <c r="AL186" s="4">
        <v>4</v>
      </c>
      <c r="AM186" s="4">
        <v>4</v>
      </c>
      <c r="AN186" s="4">
        <v>0</v>
      </c>
      <c r="AO186" s="4">
        <v>0</v>
      </c>
      <c r="AP186" s="3" t="s">
        <v>58</v>
      </c>
      <c r="AQ186" s="3" t="s">
        <v>85</v>
      </c>
      <c r="AR186" s="6" t="str">
        <f>HYPERLINK("http://catalog.hathitrust.org/Record/000149872","HathiTrust Record")</f>
        <v>HathiTrust Record</v>
      </c>
      <c r="AS186" s="6" t="str">
        <f>HYPERLINK("https://creighton-primo.hosted.exlibrisgroup.com/primo-explore/search?tab=default_tab&amp;search_scope=EVERYTHING&amp;vid=01CRU&amp;lang=en_US&amp;offset=0&amp;query=any,contains,991000897669702656","Catalog Record")</f>
        <v>Catalog Record</v>
      </c>
      <c r="AT186" s="6" t="str">
        <f>HYPERLINK("http://www.worldcat.org/oclc/980216","WorldCat Record")</f>
        <v>WorldCat Record</v>
      </c>
      <c r="AU186" s="3" t="s">
        <v>2412</v>
      </c>
      <c r="AV186" s="3" t="s">
        <v>2413</v>
      </c>
      <c r="AW186" s="3" t="s">
        <v>2414</v>
      </c>
      <c r="AX186" s="3" t="s">
        <v>2414</v>
      </c>
      <c r="AY186" s="3" t="s">
        <v>2415</v>
      </c>
      <c r="AZ186" s="3" t="s">
        <v>73</v>
      </c>
      <c r="BC186" s="3" t="s">
        <v>2418</v>
      </c>
      <c r="BD186" s="3" t="s">
        <v>2419</v>
      </c>
    </row>
    <row r="187" spans="1:56" ht="40.5" customHeight="1" x14ac:dyDescent="0.25">
      <c r="A187" s="7" t="s">
        <v>58</v>
      </c>
      <c r="B187" s="2" t="s">
        <v>2407</v>
      </c>
      <c r="C187" s="2" t="s">
        <v>2408</v>
      </c>
      <c r="D187" s="2" t="s">
        <v>2409</v>
      </c>
      <c r="E187" s="3" t="s">
        <v>1230</v>
      </c>
      <c r="F187" s="3" t="s">
        <v>85</v>
      </c>
      <c r="G187" s="3" t="s">
        <v>59</v>
      </c>
      <c r="H187" s="3" t="s">
        <v>58</v>
      </c>
      <c r="I187" s="3" t="s">
        <v>58</v>
      </c>
      <c r="J187" s="3" t="s">
        <v>60</v>
      </c>
      <c r="L187" s="2" t="s">
        <v>2410</v>
      </c>
      <c r="M187" s="3" t="s">
        <v>213</v>
      </c>
      <c r="N187" s="2" t="s">
        <v>288</v>
      </c>
      <c r="O187" s="3" t="s">
        <v>64</v>
      </c>
      <c r="P187" s="3" t="s">
        <v>117</v>
      </c>
      <c r="R187" s="3" t="s">
        <v>66</v>
      </c>
      <c r="S187" s="4">
        <v>1</v>
      </c>
      <c r="T187" s="4">
        <v>4</v>
      </c>
      <c r="U187" s="5" t="s">
        <v>2411</v>
      </c>
      <c r="V187" s="5" t="s">
        <v>2411</v>
      </c>
      <c r="W187" s="5" t="s">
        <v>290</v>
      </c>
      <c r="X187" s="5" t="s">
        <v>290</v>
      </c>
      <c r="Y187" s="4">
        <v>587</v>
      </c>
      <c r="Z187" s="4">
        <v>467</v>
      </c>
      <c r="AA187" s="4">
        <v>512</v>
      </c>
      <c r="AB187" s="4">
        <v>5</v>
      </c>
      <c r="AC187" s="4">
        <v>5</v>
      </c>
      <c r="AD187" s="4">
        <v>17</v>
      </c>
      <c r="AE187" s="4">
        <v>19</v>
      </c>
      <c r="AF187" s="4">
        <v>5</v>
      </c>
      <c r="AG187" s="4">
        <v>7</v>
      </c>
      <c r="AH187" s="4">
        <v>6</v>
      </c>
      <c r="AI187" s="4">
        <v>7</v>
      </c>
      <c r="AJ187" s="4">
        <v>7</v>
      </c>
      <c r="AK187" s="4">
        <v>7</v>
      </c>
      <c r="AL187" s="4">
        <v>4</v>
      </c>
      <c r="AM187" s="4">
        <v>4</v>
      </c>
      <c r="AN187" s="4">
        <v>0</v>
      </c>
      <c r="AO187" s="4">
        <v>0</v>
      </c>
      <c r="AP187" s="3" t="s">
        <v>58</v>
      </c>
      <c r="AQ187" s="3" t="s">
        <v>85</v>
      </c>
      <c r="AR187" s="6" t="str">
        <f>HYPERLINK("http://catalog.hathitrust.org/Record/000149872","HathiTrust Record")</f>
        <v>HathiTrust Record</v>
      </c>
      <c r="AS187" s="6" t="str">
        <f>HYPERLINK("https://creighton-primo.hosted.exlibrisgroup.com/primo-explore/search?tab=default_tab&amp;search_scope=EVERYTHING&amp;vid=01CRU&amp;lang=en_US&amp;offset=0&amp;query=any,contains,991000897669702656","Catalog Record")</f>
        <v>Catalog Record</v>
      </c>
      <c r="AT187" s="6" t="str">
        <f>HYPERLINK("http://www.worldcat.org/oclc/980216","WorldCat Record")</f>
        <v>WorldCat Record</v>
      </c>
      <c r="AU187" s="3" t="s">
        <v>2412</v>
      </c>
      <c r="AV187" s="3" t="s">
        <v>2413</v>
      </c>
      <c r="AW187" s="3" t="s">
        <v>2414</v>
      </c>
      <c r="AX187" s="3" t="s">
        <v>2414</v>
      </c>
      <c r="AY187" s="3" t="s">
        <v>2415</v>
      </c>
      <c r="AZ187" s="3" t="s">
        <v>73</v>
      </c>
      <c r="BC187" s="3" t="s">
        <v>2420</v>
      </c>
      <c r="BD187" s="3" t="s">
        <v>2421</v>
      </c>
    </row>
    <row r="188" spans="1:56" ht="40.5" customHeight="1" x14ac:dyDescent="0.25">
      <c r="A188" s="7" t="s">
        <v>58</v>
      </c>
      <c r="B188" s="2" t="s">
        <v>2407</v>
      </c>
      <c r="C188" s="2" t="s">
        <v>2408</v>
      </c>
      <c r="D188" s="2" t="s">
        <v>2409</v>
      </c>
      <c r="E188" s="3" t="s">
        <v>108</v>
      </c>
      <c r="F188" s="3" t="s">
        <v>85</v>
      </c>
      <c r="G188" s="3" t="s">
        <v>59</v>
      </c>
      <c r="H188" s="3" t="s">
        <v>58</v>
      </c>
      <c r="I188" s="3" t="s">
        <v>58</v>
      </c>
      <c r="J188" s="3" t="s">
        <v>60</v>
      </c>
      <c r="L188" s="2" t="s">
        <v>2410</v>
      </c>
      <c r="M188" s="3" t="s">
        <v>213</v>
      </c>
      <c r="N188" s="2" t="s">
        <v>288</v>
      </c>
      <c r="O188" s="3" t="s">
        <v>64</v>
      </c>
      <c r="P188" s="3" t="s">
        <v>117</v>
      </c>
      <c r="R188" s="3" t="s">
        <v>66</v>
      </c>
      <c r="S188" s="4">
        <v>2</v>
      </c>
      <c r="T188" s="4">
        <v>4</v>
      </c>
      <c r="U188" s="5" t="s">
        <v>2422</v>
      </c>
      <c r="V188" s="5" t="s">
        <v>2411</v>
      </c>
      <c r="W188" s="5" t="s">
        <v>290</v>
      </c>
      <c r="X188" s="5" t="s">
        <v>290</v>
      </c>
      <c r="Y188" s="4">
        <v>587</v>
      </c>
      <c r="Z188" s="4">
        <v>467</v>
      </c>
      <c r="AA188" s="4">
        <v>512</v>
      </c>
      <c r="AB188" s="4">
        <v>5</v>
      </c>
      <c r="AC188" s="4">
        <v>5</v>
      </c>
      <c r="AD188" s="4">
        <v>17</v>
      </c>
      <c r="AE188" s="4">
        <v>19</v>
      </c>
      <c r="AF188" s="4">
        <v>5</v>
      </c>
      <c r="AG188" s="4">
        <v>7</v>
      </c>
      <c r="AH188" s="4">
        <v>6</v>
      </c>
      <c r="AI188" s="4">
        <v>7</v>
      </c>
      <c r="AJ188" s="4">
        <v>7</v>
      </c>
      <c r="AK188" s="4">
        <v>7</v>
      </c>
      <c r="AL188" s="4">
        <v>4</v>
      </c>
      <c r="AM188" s="4">
        <v>4</v>
      </c>
      <c r="AN188" s="4">
        <v>0</v>
      </c>
      <c r="AO188" s="4">
        <v>0</v>
      </c>
      <c r="AP188" s="3" t="s">
        <v>58</v>
      </c>
      <c r="AQ188" s="3" t="s">
        <v>85</v>
      </c>
      <c r="AR188" s="6" t="str">
        <f>HYPERLINK("http://catalog.hathitrust.org/Record/000149872","HathiTrust Record")</f>
        <v>HathiTrust Record</v>
      </c>
      <c r="AS188" s="6" t="str">
        <f>HYPERLINK("https://creighton-primo.hosted.exlibrisgroup.com/primo-explore/search?tab=default_tab&amp;search_scope=EVERYTHING&amp;vid=01CRU&amp;lang=en_US&amp;offset=0&amp;query=any,contains,991000897669702656","Catalog Record")</f>
        <v>Catalog Record</v>
      </c>
      <c r="AT188" s="6" t="str">
        <f>HYPERLINK("http://www.worldcat.org/oclc/980216","WorldCat Record")</f>
        <v>WorldCat Record</v>
      </c>
      <c r="AU188" s="3" t="s">
        <v>2412</v>
      </c>
      <c r="AV188" s="3" t="s">
        <v>2413</v>
      </c>
      <c r="AW188" s="3" t="s">
        <v>2414</v>
      </c>
      <c r="AX188" s="3" t="s">
        <v>2414</v>
      </c>
      <c r="AY188" s="3" t="s">
        <v>2415</v>
      </c>
      <c r="AZ188" s="3" t="s">
        <v>73</v>
      </c>
      <c r="BC188" s="3" t="s">
        <v>2423</v>
      </c>
      <c r="BD188" s="3" t="s">
        <v>2424</v>
      </c>
    </row>
    <row r="189" spans="1:56" ht="40.5" customHeight="1" x14ac:dyDescent="0.25">
      <c r="A189" s="7" t="s">
        <v>58</v>
      </c>
      <c r="B189" s="2" t="s">
        <v>2425</v>
      </c>
      <c r="C189" s="2" t="s">
        <v>2426</v>
      </c>
      <c r="D189" s="2" t="s">
        <v>2427</v>
      </c>
      <c r="F189" s="3" t="s">
        <v>58</v>
      </c>
      <c r="G189" s="3" t="s">
        <v>59</v>
      </c>
      <c r="H189" s="3" t="s">
        <v>58</v>
      </c>
      <c r="I189" s="3" t="s">
        <v>58</v>
      </c>
      <c r="J189" s="3" t="s">
        <v>60</v>
      </c>
      <c r="L189" s="2" t="s">
        <v>2428</v>
      </c>
      <c r="M189" s="3" t="s">
        <v>726</v>
      </c>
      <c r="O189" s="3" t="s">
        <v>64</v>
      </c>
      <c r="P189" s="3" t="s">
        <v>135</v>
      </c>
      <c r="R189" s="3" t="s">
        <v>66</v>
      </c>
      <c r="S189" s="4">
        <v>8</v>
      </c>
      <c r="T189" s="4">
        <v>8</v>
      </c>
      <c r="U189" s="5" t="s">
        <v>2429</v>
      </c>
      <c r="V189" s="5" t="s">
        <v>2429</v>
      </c>
      <c r="W189" s="5" t="s">
        <v>2430</v>
      </c>
      <c r="X189" s="5" t="s">
        <v>2430</v>
      </c>
      <c r="Y189" s="4">
        <v>220</v>
      </c>
      <c r="Z189" s="4">
        <v>107</v>
      </c>
      <c r="AA189" s="4">
        <v>157</v>
      </c>
      <c r="AB189" s="4">
        <v>2</v>
      </c>
      <c r="AC189" s="4">
        <v>2</v>
      </c>
      <c r="AD189" s="4">
        <v>5</v>
      </c>
      <c r="AE189" s="4">
        <v>8</v>
      </c>
      <c r="AF189" s="4">
        <v>0</v>
      </c>
      <c r="AG189" s="4">
        <v>2</v>
      </c>
      <c r="AH189" s="4">
        <v>3</v>
      </c>
      <c r="AI189" s="4">
        <v>5</v>
      </c>
      <c r="AJ189" s="4">
        <v>3</v>
      </c>
      <c r="AK189" s="4">
        <v>3</v>
      </c>
      <c r="AL189" s="4">
        <v>1</v>
      </c>
      <c r="AM189" s="4">
        <v>1</v>
      </c>
      <c r="AN189" s="4">
        <v>0</v>
      </c>
      <c r="AO189" s="4">
        <v>0</v>
      </c>
      <c r="AP189" s="3" t="s">
        <v>58</v>
      </c>
      <c r="AQ189" s="3" t="s">
        <v>85</v>
      </c>
      <c r="AR189" s="6" t="str">
        <f>HYPERLINK("http://catalog.hathitrust.org/Record/002431435","HathiTrust Record")</f>
        <v>HathiTrust Record</v>
      </c>
      <c r="AS189" s="6" t="str">
        <f>HYPERLINK("https://creighton-primo.hosted.exlibrisgroup.com/primo-explore/search?tab=default_tab&amp;search_scope=EVERYTHING&amp;vid=01CRU&amp;lang=en_US&amp;offset=0&amp;query=any,contains,991001299599702656","Catalog Record")</f>
        <v>Catalog Record</v>
      </c>
      <c r="AT189" s="6" t="str">
        <f>HYPERLINK("http://www.worldcat.org/oclc/21931647","WorldCat Record")</f>
        <v>WorldCat Record</v>
      </c>
      <c r="AU189" s="3" t="s">
        <v>2431</v>
      </c>
      <c r="AV189" s="3" t="s">
        <v>2432</v>
      </c>
      <c r="AW189" s="3" t="s">
        <v>2433</v>
      </c>
      <c r="AX189" s="3" t="s">
        <v>2433</v>
      </c>
      <c r="AY189" s="3" t="s">
        <v>2434</v>
      </c>
      <c r="AZ189" s="3" t="s">
        <v>73</v>
      </c>
      <c r="BB189" s="3" t="s">
        <v>2435</v>
      </c>
      <c r="BC189" s="3" t="s">
        <v>2436</v>
      </c>
      <c r="BD189" s="3" t="s">
        <v>2437</v>
      </c>
    </row>
    <row r="190" spans="1:56" ht="40.5" customHeight="1" x14ac:dyDescent="0.25">
      <c r="A190" s="7" t="s">
        <v>58</v>
      </c>
      <c r="B190" s="2" t="s">
        <v>2438</v>
      </c>
      <c r="C190" s="2" t="s">
        <v>2439</v>
      </c>
      <c r="D190" s="2" t="s">
        <v>2440</v>
      </c>
      <c r="F190" s="3" t="s">
        <v>58</v>
      </c>
      <c r="G190" s="3" t="s">
        <v>59</v>
      </c>
      <c r="H190" s="3" t="s">
        <v>58</v>
      </c>
      <c r="I190" s="3" t="s">
        <v>58</v>
      </c>
      <c r="J190" s="3" t="s">
        <v>60</v>
      </c>
      <c r="L190" s="2" t="s">
        <v>2441</v>
      </c>
      <c r="M190" s="3" t="s">
        <v>467</v>
      </c>
      <c r="O190" s="3" t="s">
        <v>64</v>
      </c>
      <c r="P190" s="3" t="s">
        <v>117</v>
      </c>
      <c r="R190" s="3" t="s">
        <v>66</v>
      </c>
      <c r="S190" s="4">
        <v>5</v>
      </c>
      <c r="T190" s="4">
        <v>5</v>
      </c>
      <c r="U190" s="5" t="s">
        <v>2442</v>
      </c>
      <c r="V190" s="5" t="s">
        <v>2442</v>
      </c>
      <c r="W190" s="5" t="s">
        <v>2443</v>
      </c>
      <c r="X190" s="5" t="s">
        <v>2443</v>
      </c>
      <c r="Y190" s="4">
        <v>326</v>
      </c>
      <c r="Z190" s="4">
        <v>237</v>
      </c>
      <c r="AA190" s="4">
        <v>243</v>
      </c>
      <c r="AB190" s="4">
        <v>3</v>
      </c>
      <c r="AC190" s="4">
        <v>3</v>
      </c>
      <c r="AD190" s="4">
        <v>6</v>
      </c>
      <c r="AE190" s="4">
        <v>6</v>
      </c>
      <c r="AF190" s="4">
        <v>1</v>
      </c>
      <c r="AG190" s="4">
        <v>1</v>
      </c>
      <c r="AH190" s="4">
        <v>3</v>
      </c>
      <c r="AI190" s="4">
        <v>3</v>
      </c>
      <c r="AJ190" s="4">
        <v>3</v>
      </c>
      <c r="AK190" s="4">
        <v>3</v>
      </c>
      <c r="AL190" s="4">
        <v>2</v>
      </c>
      <c r="AM190" s="4">
        <v>2</v>
      </c>
      <c r="AN190" s="4">
        <v>0</v>
      </c>
      <c r="AO190" s="4">
        <v>0</v>
      </c>
      <c r="AP190" s="3" t="s">
        <v>58</v>
      </c>
      <c r="AQ190" s="3" t="s">
        <v>85</v>
      </c>
      <c r="AR190" s="6" t="str">
        <f>HYPERLINK("http://catalog.hathitrust.org/Record/000271078","HathiTrust Record")</f>
        <v>HathiTrust Record</v>
      </c>
      <c r="AS190" s="6" t="str">
        <f>HYPERLINK("https://creighton-primo.hosted.exlibrisgroup.com/primo-explore/search?tab=default_tab&amp;search_scope=EVERYTHING&amp;vid=01CRU&amp;lang=en_US&amp;offset=0&amp;query=any,contains,991000897759702656","Catalog Record")</f>
        <v>Catalog Record</v>
      </c>
      <c r="AT190" s="6" t="str">
        <f>HYPERLINK("http://www.worldcat.org/oclc/7178723","WorldCat Record")</f>
        <v>WorldCat Record</v>
      </c>
      <c r="AU190" s="3" t="s">
        <v>2444</v>
      </c>
      <c r="AV190" s="3" t="s">
        <v>2445</v>
      </c>
      <c r="AW190" s="3" t="s">
        <v>2446</v>
      </c>
      <c r="AX190" s="3" t="s">
        <v>2446</v>
      </c>
      <c r="AY190" s="3" t="s">
        <v>2447</v>
      </c>
      <c r="AZ190" s="3" t="s">
        <v>73</v>
      </c>
      <c r="BB190" s="3" t="s">
        <v>2448</v>
      </c>
      <c r="BC190" s="3" t="s">
        <v>2449</v>
      </c>
      <c r="BD190" s="3" t="s">
        <v>2450</v>
      </c>
    </row>
    <row r="191" spans="1:56" ht="40.5" customHeight="1" x14ac:dyDescent="0.25">
      <c r="A191" s="7" t="s">
        <v>58</v>
      </c>
      <c r="B191" s="2" t="s">
        <v>2451</v>
      </c>
      <c r="C191" s="2" t="s">
        <v>2452</v>
      </c>
      <c r="D191" s="2" t="s">
        <v>2453</v>
      </c>
      <c r="F191" s="3" t="s">
        <v>58</v>
      </c>
      <c r="G191" s="3" t="s">
        <v>59</v>
      </c>
      <c r="H191" s="3" t="s">
        <v>58</v>
      </c>
      <c r="I191" s="3" t="s">
        <v>58</v>
      </c>
      <c r="J191" s="3" t="s">
        <v>60</v>
      </c>
      <c r="L191" s="2" t="s">
        <v>2454</v>
      </c>
      <c r="M191" s="3" t="s">
        <v>726</v>
      </c>
      <c r="N191" s="2" t="s">
        <v>2455</v>
      </c>
      <c r="O191" s="3" t="s">
        <v>64</v>
      </c>
      <c r="P191" s="3" t="s">
        <v>135</v>
      </c>
      <c r="Q191" s="2" t="s">
        <v>1814</v>
      </c>
      <c r="R191" s="3" t="s">
        <v>66</v>
      </c>
      <c r="S191" s="4">
        <v>13</v>
      </c>
      <c r="T191" s="4">
        <v>13</v>
      </c>
      <c r="U191" s="5" t="s">
        <v>2456</v>
      </c>
      <c r="V191" s="5" t="s">
        <v>2456</v>
      </c>
      <c r="W191" s="5" t="s">
        <v>2457</v>
      </c>
      <c r="X191" s="5" t="s">
        <v>2457</v>
      </c>
      <c r="Y191" s="4">
        <v>6</v>
      </c>
      <c r="Z191" s="4">
        <v>6</v>
      </c>
      <c r="AA191" s="4">
        <v>398</v>
      </c>
      <c r="AB191" s="4">
        <v>1</v>
      </c>
      <c r="AC191" s="4">
        <v>3</v>
      </c>
      <c r="AD191" s="4">
        <v>0</v>
      </c>
      <c r="AE191" s="4">
        <v>17</v>
      </c>
      <c r="AF191" s="4">
        <v>0</v>
      </c>
      <c r="AG191" s="4">
        <v>4</v>
      </c>
      <c r="AH191" s="4">
        <v>0</v>
      </c>
      <c r="AI191" s="4">
        <v>5</v>
      </c>
      <c r="AJ191" s="4">
        <v>0</v>
      </c>
      <c r="AK191" s="4">
        <v>11</v>
      </c>
      <c r="AL191" s="4">
        <v>0</v>
      </c>
      <c r="AM191" s="4">
        <v>2</v>
      </c>
      <c r="AN191" s="4">
        <v>0</v>
      </c>
      <c r="AO191" s="4">
        <v>0</v>
      </c>
      <c r="AP191" s="3" t="s">
        <v>58</v>
      </c>
      <c r="AQ191" s="3" t="s">
        <v>58</v>
      </c>
      <c r="AS191" s="6" t="str">
        <f>HYPERLINK("https://creighton-primo.hosted.exlibrisgroup.com/primo-explore/search?tab=default_tab&amp;search_scope=EVERYTHING&amp;vid=01CRU&amp;lang=en_US&amp;offset=0&amp;query=any,contains,991001428649702656","Catalog Record")</f>
        <v>Catalog Record</v>
      </c>
      <c r="AT191" s="6" t="str">
        <f>HYPERLINK("http://www.worldcat.org/oclc/23812971","WorldCat Record")</f>
        <v>WorldCat Record</v>
      </c>
      <c r="AU191" s="3" t="s">
        <v>2458</v>
      </c>
      <c r="AV191" s="3" t="s">
        <v>2459</v>
      </c>
      <c r="AW191" s="3" t="s">
        <v>2460</v>
      </c>
      <c r="AX191" s="3" t="s">
        <v>2460</v>
      </c>
      <c r="AY191" s="3" t="s">
        <v>2461</v>
      </c>
      <c r="AZ191" s="3" t="s">
        <v>73</v>
      </c>
      <c r="BC191" s="3" t="s">
        <v>2462</v>
      </c>
      <c r="BD191" s="3" t="s">
        <v>2463</v>
      </c>
    </row>
    <row r="192" spans="1:56" ht="40.5" customHeight="1" x14ac:dyDescent="0.25">
      <c r="A192" s="7" t="s">
        <v>58</v>
      </c>
      <c r="B192" s="2" t="s">
        <v>2464</v>
      </c>
      <c r="C192" s="2" t="s">
        <v>2465</v>
      </c>
      <c r="D192" s="2" t="s">
        <v>2466</v>
      </c>
      <c r="F192" s="3" t="s">
        <v>58</v>
      </c>
      <c r="G192" s="3" t="s">
        <v>59</v>
      </c>
      <c r="H192" s="3" t="s">
        <v>58</v>
      </c>
      <c r="I192" s="3" t="s">
        <v>58</v>
      </c>
      <c r="J192" s="3" t="s">
        <v>60</v>
      </c>
      <c r="L192" s="2" t="s">
        <v>1799</v>
      </c>
      <c r="M192" s="3" t="s">
        <v>831</v>
      </c>
      <c r="O192" s="3" t="s">
        <v>64</v>
      </c>
      <c r="P192" s="3" t="s">
        <v>366</v>
      </c>
      <c r="Q192" s="2" t="s">
        <v>2467</v>
      </c>
      <c r="R192" s="3" t="s">
        <v>66</v>
      </c>
      <c r="S192" s="4">
        <v>7</v>
      </c>
      <c r="T192" s="4">
        <v>7</v>
      </c>
      <c r="U192" s="5" t="s">
        <v>2468</v>
      </c>
      <c r="V192" s="5" t="s">
        <v>2468</v>
      </c>
      <c r="W192" s="5" t="s">
        <v>2469</v>
      </c>
      <c r="X192" s="5" t="s">
        <v>2469</v>
      </c>
      <c r="Y192" s="4">
        <v>165</v>
      </c>
      <c r="Z192" s="4">
        <v>112</v>
      </c>
      <c r="AA192" s="4">
        <v>178</v>
      </c>
      <c r="AB192" s="4">
        <v>2</v>
      </c>
      <c r="AC192" s="4">
        <v>3</v>
      </c>
      <c r="AD192" s="4">
        <v>2</v>
      </c>
      <c r="AE192" s="4">
        <v>5</v>
      </c>
      <c r="AF192" s="4">
        <v>0</v>
      </c>
      <c r="AG192" s="4">
        <v>1</v>
      </c>
      <c r="AH192" s="4">
        <v>0</v>
      </c>
      <c r="AI192" s="4">
        <v>1</v>
      </c>
      <c r="AJ192" s="4">
        <v>1</v>
      </c>
      <c r="AK192" s="4">
        <v>2</v>
      </c>
      <c r="AL192" s="4">
        <v>1</v>
      </c>
      <c r="AM192" s="4">
        <v>2</v>
      </c>
      <c r="AN192" s="4">
        <v>0</v>
      </c>
      <c r="AO192" s="4">
        <v>0</v>
      </c>
      <c r="AP192" s="3" t="s">
        <v>58</v>
      </c>
      <c r="AQ192" s="3" t="s">
        <v>58</v>
      </c>
      <c r="AS192" s="6" t="str">
        <f>HYPERLINK("https://creighton-primo.hosted.exlibrisgroup.com/primo-explore/search?tab=default_tab&amp;search_scope=EVERYTHING&amp;vid=01CRU&amp;lang=en_US&amp;offset=0&amp;query=any,contains,991001527039702656","Catalog Record")</f>
        <v>Catalog Record</v>
      </c>
      <c r="AT192" s="6" t="str">
        <f>HYPERLINK("http://www.worldcat.org/oclc/39236421","WorldCat Record")</f>
        <v>WorldCat Record</v>
      </c>
      <c r="AU192" s="3" t="s">
        <v>2470</v>
      </c>
      <c r="AV192" s="3" t="s">
        <v>2471</v>
      </c>
      <c r="AW192" s="3" t="s">
        <v>2472</v>
      </c>
      <c r="AX192" s="3" t="s">
        <v>2472</v>
      </c>
      <c r="AY192" s="3" t="s">
        <v>2473</v>
      </c>
      <c r="AZ192" s="3" t="s">
        <v>73</v>
      </c>
      <c r="BB192" s="3" t="s">
        <v>2474</v>
      </c>
      <c r="BC192" s="3" t="s">
        <v>2475</v>
      </c>
      <c r="BD192" s="3" t="s">
        <v>2476</v>
      </c>
    </row>
    <row r="193" spans="1:56" ht="40.5" customHeight="1" x14ac:dyDescent="0.25">
      <c r="A193" s="7" t="s">
        <v>58</v>
      </c>
      <c r="B193" s="2" t="s">
        <v>2477</v>
      </c>
      <c r="C193" s="2" t="s">
        <v>2478</v>
      </c>
      <c r="D193" s="2" t="s">
        <v>2479</v>
      </c>
      <c r="F193" s="3" t="s">
        <v>58</v>
      </c>
      <c r="G193" s="3" t="s">
        <v>59</v>
      </c>
      <c r="H193" s="3" t="s">
        <v>58</v>
      </c>
      <c r="I193" s="3" t="s">
        <v>58</v>
      </c>
      <c r="J193" s="3" t="s">
        <v>60</v>
      </c>
      <c r="L193" s="2" t="s">
        <v>1564</v>
      </c>
      <c r="M193" s="3" t="s">
        <v>614</v>
      </c>
      <c r="O193" s="3" t="s">
        <v>64</v>
      </c>
      <c r="P193" s="3" t="s">
        <v>886</v>
      </c>
      <c r="R193" s="3" t="s">
        <v>66</v>
      </c>
      <c r="S193" s="4">
        <v>8</v>
      </c>
      <c r="T193" s="4">
        <v>8</v>
      </c>
      <c r="U193" s="5" t="s">
        <v>2480</v>
      </c>
      <c r="V193" s="5" t="s">
        <v>2480</v>
      </c>
      <c r="W193" s="5" t="s">
        <v>1551</v>
      </c>
      <c r="X193" s="5" t="s">
        <v>1551</v>
      </c>
      <c r="Y193" s="4">
        <v>131</v>
      </c>
      <c r="Z193" s="4">
        <v>98</v>
      </c>
      <c r="AA193" s="4">
        <v>136</v>
      </c>
      <c r="AB193" s="4">
        <v>1</v>
      </c>
      <c r="AC193" s="4">
        <v>1</v>
      </c>
      <c r="AD193" s="4">
        <v>4</v>
      </c>
      <c r="AE193" s="4">
        <v>4</v>
      </c>
      <c r="AF193" s="4">
        <v>0</v>
      </c>
      <c r="AG193" s="4">
        <v>0</v>
      </c>
      <c r="AH193" s="4">
        <v>4</v>
      </c>
      <c r="AI193" s="4">
        <v>4</v>
      </c>
      <c r="AJ193" s="4">
        <v>2</v>
      </c>
      <c r="AK193" s="4">
        <v>2</v>
      </c>
      <c r="AL193" s="4">
        <v>0</v>
      </c>
      <c r="AM193" s="4">
        <v>0</v>
      </c>
      <c r="AN193" s="4">
        <v>0</v>
      </c>
      <c r="AO193" s="4">
        <v>0</v>
      </c>
      <c r="AP193" s="3" t="s">
        <v>58</v>
      </c>
      <c r="AQ193" s="3" t="s">
        <v>85</v>
      </c>
      <c r="AR193" s="6" t="str">
        <f>HYPERLINK("http://catalog.hathitrust.org/Record/001099991","HathiTrust Record")</f>
        <v>HathiTrust Record</v>
      </c>
      <c r="AS193" s="6" t="str">
        <f>HYPERLINK("https://creighton-primo.hosted.exlibrisgroup.com/primo-explore/search?tab=default_tab&amp;search_scope=EVERYTHING&amp;vid=01CRU&amp;lang=en_US&amp;offset=0&amp;query=any,contains,991001314149702656","Catalog Record")</f>
        <v>Catalog Record</v>
      </c>
      <c r="AT193" s="6" t="str">
        <f>HYPERLINK("http://www.worldcat.org/oclc/17548219","WorldCat Record")</f>
        <v>WorldCat Record</v>
      </c>
      <c r="AU193" s="3" t="s">
        <v>2481</v>
      </c>
      <c r="AV193" s="3" t="s">
        <v>2482</v>
      </c>
      <c r="AW193" s="3" t="s">
        <v>2483</v>
      </c>
      <c r="AX193" s="3" t="s">
        <v>2483</v>
      </c>
      <c r="AY193" s="3" t="s">
        <v>2484</v>
      </c>
      <c r="AZ193" s="3" t="s">
        <v>73</v>
      </c>
      <c r="BB193" s="3" t="s">
        <v>2485</v>
      </c>
      <c r="BC193" s="3" t="s">
        <v>2486</v>
      </c>
      <c r="BD193" s="3" t="s">
        <v>2487</v>
      </c>
    </row>
    <row r="194" spans="1:56" ht="40.5" customHeight="1" x14ac:dyDescent="0.25">
      <c r="A194" s="7" t="s">
        <v>58</v>
      </c>
      <c r="B194" s="2" t="s">
        <v>2488</v>
      </c>
      <c r="C194" s="2" t="s">
        <v>2489</v>
      </c>
      <c r="D194" s="2" t="s">
        <v>2490</v>
      </c>
      <c r="F194" s="3" t="s">
        <v>58</v>
      </c>
      <c r="G194" s="3" t="s">
        <v>59</v>
      </c>
      <c r="H194" s="3" t="s">
        <v>58</v>
      </c>
      <c r="I194" s="3" t="s">
        <v>58</v>
      </c>
      <c r="J194" s="3" t="s">
        <v>60</v>
      </c>
      <c r="L194" s="2" t="s">
        <v>2491</v>
      </c>
      <c r="M194" s="3" t="s">
        <v>116</v>
      </c>
      <c r="O194" s="3" t="s">
        <v>64</v>
      </c>
      <c r="P194" s="3" t="s">
        <v>135</v>
      </c>
      <c r="Q194" s="2" t="s">
        <v>2492</v>
      </c>
      <c r="R194" s="3" t="s">
        <v>66</v>
      </c>
      <c r="S194" s="4">
        <v>24</v>
      </c>
      <c r="T194" s="4">
        <v>24</v>
      </c>
      <c r="U194" s="5" t="s">
        <v>2493</v>
      </c>
      <c r="V194" s="5" t="s">
        <v>2493</v>
      </c>
      <c r="W194" s="5" t="s">
        <v>2102</v>
      </c>
      <c r="X194" s="5" t="s">
        <v>2102</v>
      </c>
      <c r="Y194" s="4">
        <v>224</v>
      </c>
      <c r="Z194" s="4">
        <v>136</v>
      </c>
      <c r="AA194" s="4">
        <v>142</v>
      </c>
      <c r="AB194" s="4">
        <v>2</v>
      </c>
      <c r="AC194" s="4">
        <v>2</v>
      </c>
      <c r="AD194" s="4">
        <v>5</v>
      </c>
      <c r="AE194" s="4">
        <v>5</v>
      </c>
      <c r="AF194" s="4">
        <v>2</v>
      </c>
      <c r="AG194" s="4">
        <v>2</v>
      </c>
      <c r="AH194" s="4">
        <v>1</v>
      </c>
      <c r="AI194" s="4">
        <v>1</v>
      </c>
      <c r="AJ194" s="4">
        <v>4</v>
      </c>
      <c r="AK194" s="4">
        <v>4</v>
      </c>
      <c r="AL194" s="4">
        <v>1</v>
      </c>
      <c r="AM194" s="4">
        <v>1</v>
      </c>
      <c r="AN194" s="4">
        <v>0</v>
      </c>
      <c r="AO194" s="4">
        <v>0</v>
      </c>
      <c r="AP194" s="3" t="s">
        <v>58</v>
      </c>
      <c r="AQ194" s="3" t="s">
        <v>58</v>
      </c>
      <c r="AS194" s="6" t="str">
        <f>HYPERLINK("https://creighton-primo.hosted.exlibrisgroup.com/primo-explore/search?tab=default_tab&amp;search_scope=EVERYTHING&amp;vid=01CRU&amp;lang=en_US&amp;offset=0&amp;query=any,contains,991001510009702656","Catalog Record")</f>
        <v>Catalog Record</v>
      </c>
      <c r="AT194" s="6" t="str">
        <f>HYPERLINK("http://www.worldcat.org/oclc/25245568","WorldCat Record")</f>
        <v>WorldCat Record</v>
      </c>
      <c r="AU194" s="3" t="s">
        <v>2494</v>
      </c>
      <c r="AV194" s="3" t="s">
        <v>2495</v>
      </c>
      <c r="AW194" s="3" t="s">
        <v>2496</v>
      </c>
      <c r="AX194" s="3" t="s">
        <v>2496</v>
      </c>
      <c r="AY194" s="3" t="s">
        <v>2497</v>
      </c>
      <c r="AZ194" s="3" t="s">
        <v>73</v>
      </c>
      <c r="BB194" s="3" t="s">
        <v>2498</v>
      </c>
      <c r="BC194" s="3" t="s">
        <v>2499</v>
      </c>
      <c r="BD194" s="3" t="s">
        <v>2500</v>
      </c>
    </row>
    <row r="195" spans="1:56" ht="40.5" customHeight="1" x14ac:dyDescent="0.25">
      <c r="A195" s="7" t="s">
        <v>58</v>
      </c>
      <c r="B195" s="2" t="s">
        <v>2501</v>
      </c>
      <c r="C195" s="2" t="s">
        <v>2502</v>
      </c>
      <c r="D195" s="2" t="s">
        <v>2503</v>
      </c>
      <c r="F195" s="3" t="s">
        <v>58</v>
      </c>
      <c r="G195" s="3" t="s">
        <v>59</v>
      </c>
      <c r="H195" s="3" t="s">
        <v>58</v>
      </c>
      <c r="I195" s="3" t="s">
        <v>58</v>
      </c>
      <c r="J195" s="3" t="s">
        <v>60</v>
      </c>
      <c r="L195" s="2" t="s">
        <v>1617</v>
      </c>
      <c r="M195" s="3" t="s">
        <v>182</v>
      </c>
      <c r="O195" s="3" t="s">
        <v>64</v>
      </c>
      <c r="P195" s="3" t="s">
        <v>65</v>
      </c>
      <c r="Q195" s="2" t="s">
        <v>1618</v>
      </c>
      <c r="R195" s="3" t="s">
        <v>66</v>
      </c>
      <c r="S195" s="4">
        <v>8</v>
      </c>
      <c r="T195" s="4">
        <v>8</v>
      </c>
      <c r="U195" s="5" t="s">
        <v>1708</v>
      </c>
      <c r="V195" s="5" t="s">
        <v>1708</v>
      </c>
      <c r="W195" s="5" t="s">
        <v>1620</v>
      </c>
      <c r="X195" s="5" t="s">
        <v>1620</v>
      </c>
      <c r="Y195" s="4">
        <v>258</v>
      </c>
      <c r="Z195" s="4">
        <v>187</v>
      </c>
      <c r="AA195" s="4">
        <v>232</v>
      </c>
      <c r="AB195" s="4">
        <v>2</v>
      </c>
      <c r="AC195" s="4">
        <v>3</v>
      </c>
      <c r="AD195" s="4">
        <v>7</v>
      </c>
      <c r="AE195" s="4">
        <v>11</v>
      </c>
      <c r="AF195" s="4">
        <v>0</v>
      </c>
      <c r="AG195" s="4">
        <v>2</v>
      </c>
      <c r="AH195" s="4">
        <v>3</v>
      </c>
      <c r="AI195" s="4">
        <v>5</v>
      </c>
      <c r="AJ195" s="4">
        <v>5</v>
      </c>
      <c r="AK195" s="4">
        <v>5</v>
      </c>
      <c r="AL195" s="4">
        <v>1</v>
      </c>
      <c r="AM195" s="4">
        <v>2</v>
      </c>
      <c r="AN195" s="4">
        <v>0</v>
      </c>
      <c r="AO195" s="4">
        <v>0</v>
      </c>
      <c r="AP195" s="3" t="s">
        <v>58</v>
      </c>
      <c r="AQ195" s="3" t="s">
        <v>85</v>
      </c>
      <c r="AR195" s="6" t="str">
        <f>HYPERLINK("http://catalog.hathitrust.org/Record/000880740","HathiTrust Record")</f>
        <v>HathiTrust Record</v>
      </c>
      <c r="AS195" s="6" t="str">
        <f>HYPERLINK("https://creighton-primo.hosted.exlibrisgroup.com/primo-explore/search?tab=default_tab&amp;search_scope=EVERYTHING&amp;vid=01CRU&amp;lang=en_US&amp;offset=0&amp;query=any,contains,991001191649702656","Catalog Record")</f>
        <v>Catalog Record</v>
      </c>
      <c r="AT195" s="6" t="str">
        <f>HYPERLINK("http://www.worldcat.org/oclc/15016315","WorldCat Record")</f>
        <v>WorldCat Record</v>
      </c>
      <c r="AU195" s="3" t="s">
        <v>2504</v>
      </c>
      <c r="AV195" s="3" t="s">
        <v>2505</v>
      </c>
      <c r="AW195" s="3" t="s">
        <v>2506</v>
      </c>
      <c r="AX195" s="3" t="s">
        <v>2506</v>
      </c>
      <c r="AY195" s="3" t="s">
        <v>2507</v>
      </c>
      <c r="AZ195" s="3" t="s">
        <v>73</v>
      </c>
      <c r="BB195" s="3" t="s">
        <v>2508</v>
      </c>
      <c r="BC195" s="3" t="s">
        <v>2509</v>
      </c>
      <c r="BD195" s="3" t="s">
        <v>2510</v>
      </c>
    </row>
    <row r="196" spans="1:56" ht="40.5" customHeight="1" x14ac:dyDescent="0.25">
      <c r="A196" s="7" t="s">
        <v>58</v>
      </c>
      <c r="B196" s="2" t="s">
        <v>2511</v>
      </c>
      <c r="C196" s="2" t="s">
        <v>2512</v>
      </c>
      <c r="D196" s="2" t="s">
        <v>2513</v>
      </c>
      <c r="F196" s="3" t="s">
        <v>58</v>
      </c>
      <c r="G196" s="3" t="s">
        <v>59</v>
      </c>
      <c r="H196" s="3" t="s">
        <v>58</v>
      </c>
      <c r="I196" s="3" t="s">
        <v>58</v>
      </c>
      <c r="J196" s="3" t="s">
        <v>60</v>
      </c>
      <c r="L196" s="2" t="s">
        <v>2514</v>
      </c>
      <c r="M196" s="3" t="s">
        <v>614</v>
      </c>
      <c r="O196" s="3" t="s">
        <v>64</v>
      </c>
      <c r="P196" s="3" t="s">
        <v>152</v>
      </c>
      <c r="R196" s="3" t="s">
        <v>66</v>
      </c>
      <c r="S196" s="4">
        <v>9</v>
      </c>
      <c r="T196" s="4">
        <v>9</v>
      </c>
      <c r="U196" s="5" t="s">
        <v>1987</v>
      </c>
      <c r="V196" s="5" t="s">
        <v>1987</v>
      </c>
      <c r="W196" s="5" t="s">
        <v>2515</v>
      </c>
      <c r="X196" s="5" t="s">
        <v>2515</v>
      </c>
      <c r="Y196" s="4">
        <v>283</v>
      </c>
      <c r="Z196" s="4">
        <v>193</v>
      </c>
      <c r="AA196" s="4">
        <v>239</v>
      </c>
      <c r="AB196" s="4">
        <v>1</v>
      </c>
      <c r="AC196" s="4">
        <v>2</v>
      </c>
      <c r="AD196" s="4">
        <v>10</v>
      </c>
      <c r="AE196" s="4">
        <v>12</v>
      </c>
      <c r="AF196" s="4">
        <v>3</v>
      </c>
      <c r="AG196" s="4">
        <v>3</v>
      </c>
      <c r="AH196" s="4">
        <v>5</v>
      </c>
      <c r="AI196" s="4">
        <v>6</v>
      </c>
      <c r="AJ196" s="4">
        <v>6</v>
      </c>
      <c r="AK196" s="4">
        <v>6</v>
      </c>
      <c r="AL196" s="4">
        <v>0</v>
      </c>
      <c r="AM196" s="4">
        <v>1</v>
      </c>
      <c r="AN196" s="4">
        <v>0</v>
      </c>
      <c r="AO196" s="4">
        <v>0</v>
      </c>
      <c r="AP196" s="3" t="s">
        <v>58</v>
      </c>
      <c r="AQ196" s="3" t="s">
        <v>58</v>
      </c>
      <c r="AS196" s="6" t="str">
        <f>HYPERLINK("https://creighton-primo.hosted.exlibrisgroup.com/primo-explore/search?tab=default_tab&amp;search_scope=EVERYTHING&amp;vid=01CRU&amp;lang=en_US&amp;offset=0&amp;query=any,contains,991001355039702656","Catalog Record")</f>
        <v>Catalog Record</v>
      </c>
      <c r="AT196" s="6" t="str">
        <f>HYPERLINK("http://www.worldcat.org/oclc/19125353","WorldCat Record")</f>
        <v>WorldCat Record</v>
      </c>
      <c r="AU196" s="3" t="s">
        <v>2516</v>
      </c>
      <c r="AV196" s="3" t="s">
        <v>2517</v>
      </c>
      <c r="AW196" s="3" t="s">
        <v>2518</v>
      </c>
      <c r="AX196" s="3" t="s">
        <v>2518</v>
      </c>
      <c r="AY196" s="3" t="s">
        <v>2519</v>
      </c>
      <c r="AZ196" s="3" t="s">
        <v>73</v>
      </c>
      <c r="BB196" s="3" t="s">
        <v>2520</v>
      </c>
      <c r="BC196" s="3" t="s">
        <v>2521</v>
      </c>
      <c r="BD196" s="3" t="s">
        <v>2522</v>
      </c>
    </row>
    <row r="197" spans="1:56" ht="40.5" customHeight="1" x14ac:dyDescent="0.25">
      <c r="A197" s="7" t="s">
        <v>58</v>
      </c>
      <c r="B197" s="2" t="s">
        <v>2523</v>
      </c>
      <c r="C197" s="2" t="s">
        <v>2524</v>
      </c>
      <c r="D197" s="2" t="s">
        <v>2525</v>
      </c>
      <c r="F197" s="3" t="s">
        <v>58</v>
      </c>
      <c r="G197" s="3" t="s">
        <v>59</v>
      </c>
      <c r="H197" s="3" t="s">
        <v>58</v>
      </c>
      <c r="I197" s="3" t="s">
        <v>58</v>
      </c>
      <c r="J197" s="3" t="s">
        <v>60</v>
      </c>
      <c r="L197" s="2" t="s">
        <v>2526</v>
      </c>
      <c r="M197" s="3" t="s">
        <v>365</v>
      </c>
      <c r="O197" s="3" t="s">
        <v>64</v>
      </c>
      <c r="P197" s="3" t="s">
        <v>152</v>
      </c>
      <c r="R197" s="3" t="s">
        <v>66</v>
      </c>
      <c r="S197" s="4">
        <v>14</v>
      </c>
      <c r="T197" s="4">
        <v>14</v>
      </c>
      <c r="U197" s="5" t="s">
        <v>1987</v>
      </c>
      <c r="V197" s="5" t="s">
        <v>1987</v>
      </c>
      <c r="W197" s="5" t="s">
        <v>2527</v>
      </c>
      <c r="X197" s="5" t="s">
        <v>2527</v>
      </c>
      <c r="Y197" s="4">
        <v>142</v>
      </c>
      <c r="Z197" s="4">
        <v>106</v>
      </c>
      <c r="AA197" s="4">
        <v>144</v>
      </c>
      <c r="AB197" s="4">
        <v>1</v>
      </c>
      <c r="AC197" s="4">
        <v>2</v>
      </c>
      <c r="AD197" s="4">
        <v>1</v>
      </c>
      <c r="AE197" s="4">
        <v>4</v>
      </c>
      <c r="AF197" s="4">
        <v>0</v>
      </c>
      <c r="AG197" s="4">
        <v>1</v>
      </c>
      <c r="AH197" s="4">
        <v>0</v>
      </c>
      <c r="AI197" s="4">
        <v>1</v>
      </c>
      <c r="AJ197" s="4">
        <v>1</v>
      </c>
      <c r="AK197" s="4">
        <v>1</v>
      </c>
      <c r="AL197" s="4">
        <v>0</v>
      </c>
      <c r="AM197" s="4">
        <v>1</v>
      </c>
      <c r="AN197" s="4">
        <v>0</v>
      </c>
      <c r="AO197" s="4">
        <v>0</v>
      </c>
      <c r="AP197" s="3" t="s">
        <v>58</v>
      </c>
      <c r="AQ197" s="3" t="s">
        <v>58</v>
      </c>
      <c r="AS197" s="6" t="str">
        <f>HYPERLINK("https://creighton-primo.hosted.exlibrisgroup.com/primo-explore/search?tab=default_tab&amp;search_scope=EVERYTHING&amp;vid=01CRU&amp;lang=en_US&amp;offset=0&amp;query=any,contains,991000678339702656","Catalog Record")</f>
        <v>Catalog Record</v>
      </c>
      <c r="AT197" s="6" t="str">
        <f>HYPERLINK("http://www.worldcat.org/oclc/29519827","WorldCat Record")</f>
        <v>WorldCat Record</v>
      </c>
      <c r="AU197" s="3" t="s">
        <v>2528</v>
      </c>
      <c r="AV197" s="3" t="s">
        <v>2529</v>
      </c>
      <c r="AW197" s="3" t="s">
        <v>2530</v>
      </c>
      <c r="AX197" s="3" t="s">
        <v>2530</v>
      </c>
      <c r="AY197" s="3" t="s">
        <v>2531</v>
      </c>
      <c r="AZ197" s="3" t="s">
        <v>73</v>
      </c>
      <c r="BB197" s="3" t="s">
        <v>2532</v>
      </c>
      <c r="BC197" s="3" t="s">
        <v>2533</v>
      </c>
      <c r="BD197" s="3" t="s">
        <v>2534</v>
      </c>
    </row>
    <row r="198" spans="1:56" ht="40.5" customHeight="1" x14ac:dyDescent="0.25">
      <c r="A198" s="7" t="s">
        <v>58</v>
      </c>
      <c r="B198" s="2" t="s">
        <v>2535</v>
      </c>
      <c r="C198" s="2" t="s">
        <v>2536</v>
      </c>
      <c r="D198" s="2" t="s">
        <v>2537</v>
      </c>
      <c r="F198" s="3" t="s">
        <v>58</v>
      </c>
      <c r="G198" s="3" t="s">
        <v>59</v>
      </c>
      <c r="H198" s="3" t="s">
        <v>58</v>
      </c>
      <c r="I198" s="3" t="s">
        <v>58</v>
      </c>
      <c r="J198" s="3" t="s">
        <v>60</v>
      </c>
      <c r="L198" s="2" t="s">
        <v>2538</v>
      </c>
      <c r="M198" s="3" t="s">
        <v>133</v>
      </c>
      <c r="N198" s="2" t="s">
        <v>198</v>
      </c>
      <c r="O198" s="3" t="s">
        <v>64</v>
      </c>
      <c r="P198" s="3" t="s">
        <v>366</v>
      </c>
      <c r="R198" s="3" t="s">
        <v>66</v>
      </c>
      <c r="S198" s="4">
        <v>2</v>
      </c>
      <c r="T198" s="4">
        <v>2</v>
      </c>
      <c r="U198" s="5" t="s">
        <v>1068</v>
      </c>
      <c r="V198" s="5" t="s">
        <v>1068</v>
      </c>
      <c r="W198" s="5" t="s">
        <v>2539</v>
      </c>
      <c r="X198" s="5" t="s">
        <v>2539</v>
      </c>
      <c r="Y198" s="4">
        <v>372</v>
      </c>
      <c r="Z198" s="4">
        <v>244</v>
      </c>
      <c r="AA198" s="4">
        <v>1001</v>
      </c>
      <c r="AB198" s="4">
        <v>1</v>
      </c>
      <c r="AC198" s="4">
        <v>5</v>
      </c>
      <c r="AD198" s="4">
        <v>4</v>
      </c>
      <c r="AE198" s="4">
        <v>21</v>
      </c>
      <c r="AF198" s="4">
        <v>0</v>
      </c>
      <c r="AG198" s="4">
        <v>8</v>
      </c>
      <c r="AH198" s="4">
        <v>3</v>
      </c>
      <c r="AI198" s="4">
        <v>5</v>
      </c>
      <c r="AJ198" s="4">
        <v>3</v>
      </c>
      <c r="AK198" s="4">
        <v>9</v>
      </c>
      <c r="AL198" s="4">
        <v>0</v>
      </c>
      <c r="AM198" s="4">
        <v>3</v>
      </c>
      <c r="AN198" s="4">
        <v>0</v>
      </c>
      <c r="AO198" s="4">
        <v>0</v>
      </c>
      <c r="AP198" s="3" t="s">
        <v>58</v>
      </c>
      <c r="AQ198" s="3" t="s">
        <v>58</v>
      </c>
      <c r="AS198" s="6" t="str">
        <f>HYPERLINK("https://creighton-primo.hosted.exlibrisgroup.com/primo-explore/search?tab=default_tab&amp;search_scope=EVERYTHING&amp;vid=01CRU&amp;lang=en_US&amp;offset=0&amp;query=any,contains,991000350449702656","Catalog Record")</f>
        <v>Catalog Record</v>
      </c>
      <c r="AT198" s="6" t="str">
        <f>HYPERLINK("http://www.worldcat.org/oclc/47894343","WorldCat Record")</f>
        <v>WorldCat Record</v>
      </c>
      <c r="AU198" s="3" t="s">
        <v>2540</v>
      </c>
      <c r="AV198" s="3" t="s">
        <v>2541</v>
      </c>
      <c r="AW198" s="3" t="s">
        <v>2542</v>
      </c>
      <c r="AX198" s="3" t="s">
        <v>2542</v>
      </c>
      <c r="AY198" s="3" t="s">
        <v>2543</v>
      </c>
      <c r="AZ198" s="3" t="s">
        <v>73</v>
      </c>
      <c r="BB198" s="3" t="s">
        <v>2544</v>
      </c>
      <c r="BC198" s="3" t="s">
        <v>2545</v>
      </c>
      <c r="BD198" s="3" t="s">
        <v>2546</v>
      </c>
    </row>
    <row r="199" spans="1:56" ht="40.5" customHeight="1" x14ac:dyDescent="0.25">
      <c r="A199" s="7" t="s">
        <v>58</v>
      </c>
      <c r="B199" s="2" t="s">
        <v>2547</v>
      </c>
      <c r="C199" s="2" t="s">
        <v>2548</v>
      </c>
      <c r="D199" s="2" t="s">
        <v>2549</v>
      </c>
      <c r="F199" s="3" t="s">
        <v>58</v>
      </c>
      <c r="G199" s="3" t="s">
        <v>59</v>
      </c>
      <c r="H199" s="3" t="s">
        <v>58</v>
      </c>
      <c r="I199" s="3" t="s">
        <v>58</v>
      </c>
      <c r="J199" s="3" t="s">
        <v>60</v>
      </c>
      <c r="K199" s="2" t="s">
        <v>2550</v>
      </c>
      <c r="L199" s="2" t="s">
        <v>2551</v>
      </c>
      <c r="M199" s="3" t="s">
        <v>2552</v>
      </c>
      <c r="O199" s="3" t="s">
        <v>64</v>
      </c>
      <c r="P199" s="3" t="s">
        <v>65</v>
      </c>
      <c r="Q199" s="2" t="s">
        <v>2553</v>
      </c>
      <c r="R199" s="3" t="s">
        <v>66</v>
      </c>
      <c r="S199" s="4">
        <v>8</v>
      </c>
      <c r="T199" s="4">
        <v>8</v>
      </c>
      <c r="U199" s="5" t="s">
        <v>2554</v>
      </c>
      <c r="V199" s="5" t="s">
        <v>2554</v>
      </c>
      <c r="W199" s="5" t="s">
        <v>2555</v>
      </c>
      <c r="X199" s="5" t="s">
        <v>2555</v>
      </c>
      <c r="Y199" s="4">
        <v>539</v>
      </c>
      <c r="Z199" s="4">
        <v>400</v>
      </c>
      <c r="AA199" s="4">
        <v>407</v>
      </c>
      <c r="AB199" s="4">
        <v>3</v>
      </c>
      <c r="AC199" s="4">
        <v>3</v>
      </c>
      <c r="AD199" s="4">
        <v>14</v>
      </c>
      <c r="AE199" s="4">
        <v>14</v>
      </c>
      <c r="AF199" s="4">
        <v>0</v>
      </c>
      <c r="AG199" s="4">
        <v>0</v>
      </c>
      <c r="AH199" s="4">
        <v>6</v>
      </c>
      <c r="AI199" s="4">
        <v>6</v>
      </c>
      <c r="AJ199" s="4">
        <v>9</v>
      </c>
      <c r="AK199" s="4">
        <v>9</v>
      </c>
      <c r="AL199" s="4">
        <v>2</v>
      </c>
      <c r="AM199" s="4">
        <v>2</v>
      </c>
      <c r="AN199" s="4">
        <v>0</v>
      </c>
      <c r="AO199" s="4">
        <v>0</v>
      </c>
      <c r="AP199" s="3" t="s">
        <v>58</v>
      </c>
      <c r="AQ199" s="3" t="s">
        <v>85</v>
      </c>
      <c r="AR199" s="6" t="str">
        <f>HYPERLINK("http://catalog.hathitrust.org/Record/000440408","HathiTrust Record")</f>
        <v>HathiTrust Record</v>
      </c>
      <c r="AS199" s="6" t="str">
        <f>HYPERLINK("https://creighton-primo.hosted.exlibrisgroup.com/primo-explore/search?tab=default_tab&amp;search_scope=EVERYTHING&amp;vid=01CRU&amp;lang=en_US&amp;offset=0&amp;query=any,contains,991000897839702656","Catalog Record")</f>
        <v>Catalog Record</v>
      </c>
      <c r="AT199" s="6" t="str">
        <f>HYPERLINK("http://www.worldcat.org/oclc/13425181","WorldCat Record")</f>
        <v>WorldCat Record</v>
      </c>
      <c r="AU199" s="3" t="s">
        <v>2556</v>
      </c>
      <c r="AV199" s="3" t="s">
        <v>2557</v>
      </c>
      <c r="AW199" s="3" t="s">
        <v>2558</v>
      </c>
      <c r="AX199" s="3" t="s">
        <v>2558</v>
      </c>
      <c r="AY199" s="3" t="s">
        <v>2559</v>
      </c>
      <c r="AZ199" s="3" t="s">
        <v>73</v>
      </c>
      <c r="BB199" s="3" t="s">
        <v>2560</v>
      </c>
      <c r="BC199" s="3" t="s">
        <v>2561</v>
      </c>
      <c r="BD199" s="3" t="s">
        <v>2562</v>
      </c>
    </row>
    <row r="200" spans="1:56" ht="40.5" customHeight="1" x14ac:dyDescent="0.25">
      <c r="A200" s="7" t="s">
        <v>58</v>
      </c>
      <c r="B200" s="2" t="s">
        <v>2563</v>
      </c>
      <c r="C200" s="2" t="s">
        <v>2564</v>
      </c>
      <c r="D200" s="2" t="s">
        <v>2565</v>
      </c>
      <c r="F200" s="3" t="s">
        <v>58</v>
      </c>
      <c r="G200" s="3" t="s">
        <v>59</v>
      </c>
      <c r="H200" s="3" t="s">
        <v>58</v>
      </c>
      <c r="I200" s="3" t="s">
        <v>58</v>
      </c>
      <c r="J200" s="3" t="s">
        <v>60</v>
      </c>
      <c r="L200" s="2" t="s">
        <v>2566</v>
      </c>
      <c r="M200" s="3" t="s">
        <v>2567</v>
      </c>
      <c r="O200" s="3" t="s">
        <v>64</v>
      </c>
      <c r="P200" s="3" t="s">
        <v>2568</v>
      </c>
      <c r="R200" s="3" t="s">
        <v>66</v>
      </c>
      <c r="S200" s="4">
        <v>2</v>
      </c>
      <c r="T200" s="4">
        <v>2</v>
      </c>
      <c r="U200" s="5" t="s">
        <v>2569</v>
      </c>
      <c r="V200" s="5" t="s">
        <v>2569</v>
      </c>
      <c r="W200" s="5" t="s">
        <v>2570</v>
      </c>
      <c r="X200" s="5" t="s">
        <v>2570</v>
      </c>
      <c r="Y200" s="4">
        <v>5</v>
      </c>
      <c r="Z200" s="4">
        <v>3</v>
      </c>
      <c r="AA200" s="4">
        <v>3</v>
      </c>
      <c r="AB200" s="4">
        <v>1</v>
      </c>
      <c r="AC200" s="4">
        <v>1</v>
      </c>
      <c r="AD200" s="4">
        <v>0</v>
      </c>
      <c r="AE200" s="4">
        <v>0</v>
      </c>
      <c r="AF200" s="4">
        <v>0</v>
      </c>
      <c r="AG200" s="4">
        <v>0</v>
      </c>
      <c r="AH200" s="4">
        <v>0</v>
      </c>
      <c r="AI200" s="4">
        <v>0</v>
      </c>
      <c r="AJ200" s="4">
        <v>0</v>
      </c>
      <c r="AK200" s="4">
        <v>0</v>
      </c>
      <c r="AL200" s="4">
        <v>0</v>
      </c>
      <c r="AM200" s="4">
        <v>0</v>
      </c>
      <c r="AN200" s="4">
        <v>0</v>
      </c>
      <c r="AO200" s="4">
        <v>0</v>
      </c>
      <c r="AP200" s="3" t="s">
        <v>58</v>
      </c>
      <c r="AQ200" s="3" t="s">
        <v>58</v>
      </c>
      <c r="AS200" s="6" t="str">
        <f>HYPERLINK("https://creighton-primo.hosted.exlibrisgroup.com/primo-explore/search?tab=default_tab&amp;search_scope=EVERYTHING&amp;vid=01CRU&amp;lang=en_US&amp;offset=0&amp;query=any,contains,991001575989702656","Catalog Record")</f>
        <v>Catalog Record</v>
      </c>
      <c r="AT200" s="6" t="str">
        <f>HYPERLINK("http://www.worldcat.org/oclc/318100657","WorldCat Record")</f>
        <v>WorldCat Record</v>
      </c>
      <c r="AU200" s="3" t="s">
        <v>2571</v>
      </c>
      <c r="AV200" s="3" t="s">
        <v>2572</v>
      </c>
      <c r="AW200" s="3" t="s">
        <v>2573</v>
      </c>
      <c r="AX200" s="3" t="s">
        <v>2573</v>
      </c>
      <c r="AY200" s="3" t="s">
        <v>2574</v>
      </c>
      <c r="AZ200" s="3" t="s">
        <v>73</v>
      </c>
      <c r="BB200" s="3" t="s">
        <v>2575</v>
      </c>
      <c r="BC200" s="3" t="s">
        <v>2576</v>
      </c>
      <c r="BD200" s="3" t="s">
        <v>2577</v>
      </c>
    </row>
    <row r="201" spans="1:56" ht="40.5" customHeight="1" x14ac:dyDescent="0.25">
      <c r="A201" s="7" t="s">
        <v>58</v>
      </c>
      <c r="B201" s="2" t="s">
        <v>2578</v>
      </c>
      <c r="C201" s="2" t="s">
        <v>2579</v>
      </c>
      <c r="D201" s="2" t="s">
        <v>2580</v>
      </c>
      <c r="F201" s="3" t="s">
        <v>58</v>
      </c>
      <c r="G201" s="3" t="s">
        <v>59</v>
      </c>
      <c r="H201" s="3" t="s">
        <v>58</v>
      </c>
      <c r="I201" s="3" t="s">
        <v>58</v>
      </c>
      <c r="J201" s="3" t="s">
        <v>60</v>
      </c>
      <c r="L201" s="2" t="s">
        <v>2581</v>
      </c>
      <c r="M201" s="3" t="s">
        <v>831</v>
      </c>
      <c r="O201" s="3" t="s">
        <v>64</v>
      </c>
      <c r="P201" s="3" t="s">
        <v>135</v>
      </c>
      <c r="Q201" s="2" t="s">
        <v>2582</v>
      </c>
      <c r="R201" s="3" t="s">
        <v>66</v>
      </c>
      <c r="S201" s="4">
        <v>5</v>
      </c>
      <c r="T201" s="4">
        <v>5</v>
      </c>
      <c r="U201" s="5" t="s">
        <v>2583</v>
      </c>
      <c r="V201" s="5" t="s">
        <v>2583</v>
      </c>
      <c r="W201" s="5" t="s">
        <v>2584</v>
      </c>
      <c r="X201" s="5" t="s">
        <v>2584</v>
      </c>
      <c r="Y201" s="4">
        <v>150</v>
      </c>
      <c r="Z201" s="4">
        <v>94</v>
      </c>
      <c r="AA201" s="4">
        <v>95</v>
      </c>
      <c r="AB201" s="4">
        <v>1</v>
      </c>
      <c r="AC201" s="4">
        <v>1</v>
      </c>
      <c r="AD201" s="4">
        <v>2</v>
      </c>
      <c r="AE201" s="4">
        <v>2</v>
      </c>
      <c r="AF201" s="4">
        <v>0</v>
      </c>
      <c r="AG201" s="4">
        <v>0</v>
      </c>
      <c r="AH201" s="4">
        <v>0</v>
      </c>
      <c r="AI201" s="4">
        <v>0</v>
      </c>
      <c r="AJ201" s="4">
        <v>2</v>
      </c>
      <c r="AK201" s="4">
        <v>2</v>
      </c>
      <c r="AL201" s="4">
        <v>0</v>
      </c>
      <c r="AM201" s="4">
        <v>0</v>
      </c>
      <c r="AN201" s="4">
        <v>0</v>
      </c>
      <c r="AO201" s="4">
        <v>0</v>
      </c>
      <c r="AP201" s="3" t="s">
        <v>58</v>
      </c>
      <c r="AQ201" s="3" t="s">
        <v>85</v>
      </c>
      <c r="AR201" s="6" t="str">
        <f>HYPERLINK("http://catalog.hathitrust.org/Record/003979973","HathiTrust Record")</f>
        <v>HathiTrust Record</v>
      </c>
      <c r="AS201" s="6" t="str">
        <f>HYPERLINK("https://creighton-primo.hosted.exlibrisgroup.com/primo-explore/search?tab=default_tab&amp;search_scope=EVERYTHING&amp;vid=01CRU&amp;lang=en_US&amp;offset=0&amp;query=any,contains,991001420529702656","Catalog Record")</f>
        <v>Catalog Record</v>
      </c>
      <c r="AT201" s="6" t="str">
        <f>HYPERLINK("http://www.worldcat.org/oclc/37836582","WorldCat Record")</f>
        <v>WorldCat Record</v>
      </c>
      <c r="AU201" s="3" t="s">
        <v>2585</v>
      </c>
      <c r="AV201" s="3" t="s">
        <v>2586</v>
      </c>
      <c r="AW201" s="3" t="s">
        <v>2587</v>
      </c>
      <c r="AX201" s="3" t="s">
        <v>2587</v>
      </c>
      <c r="AY201" s="3" t="s">
        <v>2588</v>
      </c>
      <c r="AZ201" s="3" t="s">
        <v>73</v>
      </c>
      <c r="BB201" s="3" t="s">
        <v>2589</v>
      </c>
      <c r="BC201" s="3" t="s">
        <v>2590</v>
      </c>
      <c r="BD201" s="3" t="s">
        <v>2591</v>
      </c>
    </row>
    <row r="202" spans="1:56" ht="40.5" customHeight="1" x14ac:dyDescent="0.25">
      <c r="A202" s="7" t="s">
        <v>58</v>
      </c>
      <c r="B202" s="2" t="s">
        <v>2592</v>
      </c>
      <c r="C202" s="2" t="s">
        <v>2593</v>
      </c>
      <c r="D202" s="2" t="s">
        <v>2594</v>
      </c>
      <c r="F202" s="3" t="s">
        <v>58</v>
      </c>
      <c r="G202" s="3" t="s">
        <v>59</v>
      </c>
      <c r="H202" s="3" t="s">
        <v>58</v>
      </c>
      <c r="I202" s="3" t="s">
        <v>58</v>
      </c>
      <c r="J202" s="3" t="s">
        <v>60</v>
      </c>
      <c r="L202" s="2" t="s">
        <v>2595</v>
      </c>
      <c r="M202" s="3" t="s">
        <v>303</v>
      </c>
      <c r="O202" s="3" t="s">
        <v>64</v>
      </c>
      <c r="P202" s="3" t="s">
        <v>366</v>
      </c>
      <c r="Q202" s="2" t="s">
        <v>2596</v>
      </c>
      <c r="R202" s="3" t="s">
        <v>66</v>
      </c>
      <c r="S202" s="4">
        <v>7</v>
      </c>
      <c r="T202" s="4">
        <v>7</v>
      </c>
      <c r="U202" s="5" t="s">
        <v>2597</v>
      </c>
      <c r="V202" s="5" t="s">
        <v>2597</v>
      </c>
      <c r="W202" s="5" t="s">
        <v>2598</v>
      </c>
      <c r="X202" s="5" t="s">
        <v>2598</v>
      </c>
      <c r="Y202" s="4">
        <v>133</v>
      </c>
      <c r="Z202" s="4">
        <v>86</v>
      </c>
      <c r="AA202" s="4">
        <v>150</v>
      </c>
      <c r="AB202" s="4">
        <v>1</v>
      </c>
      <c r="AC202" s="4">
        <v>3</v>
      </c>
      <c r="AD202" s="4">
        <v>1</v>
      </c>
      <c r="AE202" s="4">
        <v>5</v>
      </c>
      <c r="AF202" s="4">
        <v>0</v>
      </c>
      <c r="AG202" s="4">
        <v>1</v>
      </c>
      <c r="AH202" s="4">
        <v>1</v>
      </c>
      <c r="AI202" s="4">
        <v>2</v>
      </c>
      <c r="AJ202" s="4">
        <v>0</v>
      </c>
      <c r="AK202" s="4">
        <v>1</v>
      </c>
      <c r="AL202" s="4">
        <v>0</v>
      </c>
      <c r="AM202" s="4">
        <v>2</v>
      </c>
      <c r="AN202" s="4">
        <v>0</v>
      </c>
      <c r="AO202" s="4">
        <v>0</v>
      </c>
      <c r="AP202" s="3" t="s">
        <v>58</v>
      </c>
      <c r="AQ202" s="3" t="s">
        <v>58</v>
      </c>
      <c r="AS202" s="6" t="str">
        <f>HYPERLINK("https://creighton-primo.hosted.exlibrisgroup.com/primo-explore/search?tab=default_tab&amp;search_scope=EVERYTHING&amp;vid=01CRU&amp;lang=en_US&amp;offset=0&amp;query=any,contains,991001558059702656","Catalog Record")</f>
        <v>Catalog Record</v>
      </c>
      <c r="AT202" s="6" t="str">
        <f>HYPERLINK("http://www.worldcat.org/oclc/34121036","WorldCat Record")</f>
        <v>WorldCat Record</v>
      </c>
      <c r="AU202" s="3" t="s">
        <v>2599</v>
      </c>
      <c r="AV202" s="3" t="s">
        <v>2600</v>
      </c>
      <c r="AW202" s="3" t="s">
        <v>2601</v>
      </c>
      <c r="AX202" s="3" t="s">
        <v>2601</v>
      </c>
      <c r="AY202" s="3" t="s">
        <v>2602</v>
      </c>
      <c r="AZ202" s="3" t="s">
        <v>73</v>
      </c>
      <c r="BB202" s="3" t="s">
        <v>2603</v>
      </c>
      <c r="BC202" s="3" t="s">
        <v>2604</v>
      </c>
      <c r="BD202" s="3" t="s">
        <v>2605</v>
      </c>
    </row>
    <row r="203" spans="1:56" ht="40.5" customHeight="1" x14ac:dyDescent="0.25">
      <c r="A203" s="7" t="s">
        <v>58</v>
      </c>
      <c r="B203" s="2" t="s">
        <v>2606</v>
      </c>
      <c r="C203" s="2" t="s">
        <v>2607</v>
      </c>
      <c r="D203" s="2" t="s">
        <v>2608</v>
      </c>
      <c r="F203" s="3" t="s">
        <v>58</v>
      </c>
      <c r="G203" s="3" t="s">
        <v>59</v>
      </c>
      <c r="H203" s="3" t="s">
        <v>58</v>
      </c>
      <c r="I203" s="3" t="s">
        <v>85</v>
      </c>
      <c r="J203" s="3" t="s">
        <v>60</v>
      </c>
      <c r="L203" s="2" t="s">
        <v>466</v>
      </c>
      <c r="M203" s="3" t="s">
        <v>467</v>
      </c>
      <c r="N203" s="2" t="s">
        <v>2609</v>
      </c>
      <c r="O203" s="3" t="s">
        <v>64</v>
      </c>
      <c r="P203" s="3" t="s">
        <v>135</v>
      </c>
      <c r="R203" s="3" t="s">
        <v>66</v>
      </c>
      <c r="S203" s="4">
        <v>7</v>
      </c>
      <c r="T203" s="4">
        <v>7</v>
      </c>
      <c r="U203" s="5" t="s">
        <v>2610</v>
      </c>
      <c r="V203" s="5" t="s">
        <v>2610</v>
      </c>
      <c r="W203" s="5" t="s">
        <v>2611</v>
      </c>
      <c r="X203" s="5" t="s">
        <v>2611</v>
      </c>
      <c r="Y203" s="4">
        <v>386</v>
      </c>
      <c r="Z203" s="4">
        <v>268</v>
      </c>
      <c r="AA203" s="4">
        <v>605</v>
      </c>
      <c r="AB203" s="4">
        <v>2</v>
      </c>
      <c r="AC203" s="4">
        <v>5</v>
      </c>
      <c r="AD203" s="4">
        <v>7</v>
      </c>
      <c r="AE203" s="4">
        <v>27</v>
      </c>
      <c r="AF203" s="4">
        <v>2</v>
      </c>
      <c r="AG203" s="4">
        <v>9</v>
      </c>
      <c r="AH203" s="4">
        <v>2</v>
      </c>
      <c r="AI203" s="4">
        <v>9</v>
      </c>
      <c r="AJ203" s="4">
        <v>4</v>
      </c>
      <c r="AK203" s="4">
        <v>16</v>
      </c>
      <c r="AL203" s="4">
        <v>1</v>
      </c>
      <c r="AM203" s="4">
        <v>3</v>
      </c>
      <c r="AN203" s="4">
        <v>0</v>
      </c>
      <c r="AO203" s="4">
        <v>0</v>
      </c>
      <c r="AP203" s="3" t="s">
        <v>58</v>
      </c>
      <c r="AQ203" s="3" t="s">
        <v>85</v>
      </c>
      <c r="AR203" s="6" t="str">
        <f>HYPERLINK("http://catalog.hathitrust.org/Record/004420421","HathiTrust Record")</f>
        <v>HathiTrust Record</v>
      </c>
      <c r="AS203" s="6" t="str">
        <f>HYPERLINK("https://creighton-primo.hosted.exlibrisgroup.com/primo-explore/search?tab=default_tab&amp;search_scope=EVERYTHING&amp;vid=01CRU&amp;lang=en_US&amp;offset=0&amp;query=any,contains,991000897799702656","Catalog Record")</f>
        <v>Catalog Record</v>
      </c>
      <c r="AT203" s="6" t="str">
        <f>HYPERLINK("http://www.worldcat.org/oclc/7983204","WorldCat Record")</f>
        <v>WorldCat Record</v>
      </c>
      <c r="AU203" s="3" t="s">
        <v>2612</v>
      </c>
      <c r="AV203" s="3" t="s">
        <v>2613</v>
      </c>
      <c r="AW203" s="3" t="s">
        <v>2614</v>
      </c>
      <c r="AX203" s="3" t="s">
        <v>2614</v>
      </c>
      <c r="AY203" s="3" t="s">
        <v>2615</v>
      </c>
      <c r="AZ203" s="3" t="s">
        <v>73</v>
      </c>
      <c r="BB203" s="3" t="s">
        <v>2616</v>
      </c>
      <c r="BC203" s="3" t="s">
        <v>2617</v>
      </c>
      <c r="BD203" s="3" t="s">
        <v>2618</v>
      </c>
    </row>
    <row r="204" spans="1:56" ht="40.5" customHeight="1" x14ac:dyDescent="0.25">
      <c r="A204" s="7" t="s">
        <v>58</v>
      </c>
      <c r="B204" s="2" t="s">
        <v>2619</v>
      </c>
      <c r="C204" s="2" t="s">
        <v>2620</v>
      </c>
      <c r="D204" s="2" t="s">
        <v>2621</v>
      </c>
      <c r="F204" s="3" t="s">
        <v>58</v>
      </c>
      <c r="G204" s="3" t="s">
        <v>59</v>
      </c>
      <c r="H204" s="3" t="s">
        <v>58</v>
      </c>
      <c r="I204" s="3" t="s">
        <v>85</v>
      </c>
      <c r="J204" s="3" t="s">
        <v>59</v>
      </c>
      <c r="K204" s="2" t="s">
        <v>2622</v>
      </c>
      <c r="L204" s="2" t="s">
        <v>2623</v>
      </c>
      <c r="M204" s="3" t="s">
        <v>831</v>
      </c>
      <c r="N204" s="2" t="s">
        <v>198</v>
      </c>
      <c r="O204" s="3" t="s">
        <v>64</v>
      </c>
      <c r="P204" s="3" t="s">
        <v>152</v>
      </c>
      <c r="R204" s="3" t="s">
        <v>66</v>
      </c>
      <c r="S204" s="4">
        <v>18</v>
      </c>
      <c r="T204" s="4">
        <v>18</v>
      </c>
      <c r="U204" s="5" t="s">
        <v>2624</v>
      </c>
      <c r="V204" s="5" t="s">
        <v>2624</v>
      </c>
      <c r="W204" s="5" t="s">
        <v>1634</v>
      </c>
      <c r="X204" s="5" t="s">
        <v>1634</v>
      </c>
      <c r="Y204" s="4">
        <v>203</v>
      </c>
      <c r="Z204" s="4">
        <v>144</v>
      </c>
      <c r="AA204" s="4">
        <v>1213</v>
      </c>
      <c r="AB204" s="4">
        <v>1</v>
      </c>
      <c r="AC204" s="4">
        <v>16</v>
      </c>
      <c r="AD204" s="4">
        <v>3</v>
      </c>
      <c r="AE204" s="4">
        <v>44</v>
      </c>
      <c r="AF204" s="4">
        <v>0</v>
      </c>
      <c r="AG204" s="4">
        <v>12</v>
      </c>
      <c r="AH204" s="4">
        <v>1</v>
      </c>
      <c r="AI204" s="4">
        <v>10</v>
      </c>
      <c r="AJ204" s="4">
        <v>3</v>
      </c>
      <c r="AK204" s="4">
        <v>13</v>
      </c>
      <c r="AL204" s="4">
        <v>0</v>
      </c>
      <c r="AM204" s="4">
        <v>14</v>
      </c>
      <c r="AN204" s="4">
        <v>0</v>
      </c>
      <c r="AO204" s="4">
        <v>2</v>
      </c>
      <c r="AP204" s="3" t="s">
        <v>58</v>
      </c>
      <c r="AQ204" s="3" t="s">
        <v>58</v>
      </c>
      <c r="AS204" s="6" t="str">
        <f>HYPERLINK("https://creighton-primo.hosted.exlibrisgroup.com/primo-explore/search?tab=default_tab&amp;search_scope=EVERYTHING&amp;vid=01CRU&amp;lang=en_US&amp;offset=0&amp;query=any,contains,991001409309702656","Catalog Record")</f>
        <v>Catalog Record</v>
      </c>
      <c r="AT204" s="6" t="str">
        <f>HYPERLINK("http://www.worldcat.org/oclc/40166639","WorldCat Record")</f>
        <v>WorldCat Record</v>
      </c>
      <c r="AU204" s="3" t="s">
        <v>2625</v>
      </c>
      <c r="AV204" s="3" t="s">
        <v>2626</v>
      </c>
      <c r="AW204" s="3" t="s">
        <v>2627</v>
      </c>
      <c r="AX204" s="3" t="s">
        <v>2627</v>
      </c>
      <c r="AY204" s="3" t="s">
        <v>2628</v>
      </c>
      <c r="AZ204" s="3" t="s">
        <v>73</v>
      </c>
      <c r="BB204" s="3" t="s">
        <v>2629</v>
      </c>
      <c r="BC204" s="3" t="s">
        <v>2630</v>
      </c>
      <c r="BD204" s="3" t="s">
        <v>2631</v>
      </c>
    </row>
    <row r="205" spans="1:56" ht="40.5" customHeight="1" x14ac:dyDescent="0.25">
      <c r="A205" s="7" t="s">
        <v>58</v>
      </c>
      <c r="B205" s="2" t="s">
        <v>2632</v>
      </c>
      <c r="C205" s="2" t="s">
        <v>2633</v>
      </c>
      <c r="D205" s="2" t="s">
        <v>2634</v>
      </c>
      <c r="F205" s="3" t="s">
        <v>58</v>
      </c>
      <c r="G205" s="3" t="s">
        <v>59</v>
      </c>
      <c r="H205" s="3" t="s">
        <v>58</v>
      </c>
      <c r="I205" s="3" t="s">
        <v>58</v>
      </c>
      <c r="J205" s="3" t="s">
        <v>60</v>
      </c>
      <c r="L205" s="2" t="s">
        <v>2635</v>
      </c>
      <c r="M205" s="3" t="s">
        <v>726</v>
      </c>
      <c r="O205" s="3" t="s">
        <v>64</v>
      </c>
      <c r="P205" s="3" t="s">
        <v>135</v>
      </c>
      <c r="Q205" s="2" t="s">
        <v>2636</v>
      </c>
      <c r="R205" s="3" t="s">
        <v>66</v>
      </c>
      <c r="S205" s="4">
        <v>27</v>
      </c>
      <c r="T205" s="4">
        <v>27</v>
      </c>
      <c r="U205" s="5" t="s">
        <v>2637</v>
      </c>
      <c r="V205" s="5" t="s">
        <v>2637</v>
      </c>
      <c r="W205" s="5" t="s">
        <v>2638</v>
      </c>
      <c r="X205" s="5" t="s">
        <v>2638</v>
      </c>
      <c r="Y205" s="4">
        <v>213</v>
      </c>
      <c r="Z205" s="4">
        <v>132</v>
      </c>
      <c r="AA205" s="4">
        <v>134</v>
      </c>
      <c r="AB205" s="4">
        <v>2</v>
      </c>
      <c r="AC205" s="4">
        <v>2</v>
      </c>
      <c r="AD205" s="4">
        <v>6</v>
      </c>
      <c r="AE205" s="4">
        <v>6</v>
      </c>
      <c r="AF205" s="4">
        <v>1</v>
      </c>
      <c r="AG205" s="4">
        <v>1</v>
      </c>
      <c r="AH205" s="4">
        <v>2</v>
      </c>
      <c r="AI205" s="4">
        <v>2</v>
      </c>
      <c r="AJ205" s="4">
        <v>4</v>
      </c>
      <c r="AK205" s="4">
        <v>4</v>
      </c>
      <c r="AL205" s="4">
        <v>1</v>
      </c>
      <c r="AM205" s="4">
        <v>1</v>
      </c>
      <c r="AN205" s="4">
        <v>0</v>
      </c>
      <c r="AO205" s="4">
        <v>0</v>
      </c>
      <c r="AP205" s="3" t="s">
        <v>58</v>
      </c>
      <c r="AQ205" s="3" t="s">
        <v>85</v>
      </c>
      <c r="AR205" s="6" t="str">
        <f>HYPERLINK("http://catalog.hathitrust.org/Record/002058178","HathiTrust Record")</f>
        <v>HathiTrust Record</v>
      </c>
      <c r="AS205" s="6" t="str">
        <f>HYPERLINK("https://creighton-primo.hosted.exlibrisgroup.com/primo-explore/search?tab=default_tab&amp;search_scope=EVERYTHING&amp;vid=01CRU&amp;lang=en_US&amp;offset=0&amp;query=any,contains,991000940729702656","Catalog Record")</f>
        <v>Catalog Record</v>
      </c>
      <c r="AT205" s="6" t="str">
        <f>HYPERLINK("http://www.worldcat.org/oclc/20263212","WorldCat Record")</f>
        <v>WorldCat Record</v>
      </c>
      <c r="AU205" s="3" t="s">
        <v>2639</v>
      </c>
      <c r="AV205" s="3" t="s">
        <v>2640</v>
      </c>
      <c r="AW205" s="3" t="s">
        <v>2641</v>
      </c>
      <c r="AX205" s="3" t="s">
        <v>2641</v>
      </c>
      <c r="AY205" s="3" t="s">
        <v>2642</v>
      </c>
      <c r="AZ205" s="3" t="s">
        <v>73</v>
      </c>
      <c r="BB205" s="3" t="s">
        <v>2643</v>
      </c>
      <c r="BC205" s="3" t="s">
        <v>2644</v>
      </c>
      <c r="BD205" s="3" t="s">
        <v>2645</v>
      </c>
    </row>
    <row r="206" spans="1:56" ht="40.5" customHeight="1" x14ac:dyDescent="0.25">
      <c r="A206" s="7" t="s">
        <v>58</v>
      </c>
      <c r="B206" s="2" t="s">
        <v>2646</v>
      </c>
      <c r="C206" s="2" t="s">
        <v>2647</v>
      </c>
      <c r="D206" s="2" t="s">
        <v>2648</v>
      </c>
      <c r="F206" s="3" t="s">
        <v>58</v>
      </c>
      <c r="G206" s="3" t="s">
        <v>59</v>
      </c>
      <c r="H206" s="3" t="s">
        <v>58</v>
      </c>
      <c r="I206" s="3" t="s">
        <v>58</v>
      </c>
      <c r="J206" s="3" t="s">
        <v>60</v>
      </c>
      <c r="L206" s="2" t="s">
        <v>2649</v>
      </c>
      <c r="M206" s="3" t="s">
        <v>726</v>
      </c>
      <c r="O206" s="3" t="s">
        <v>64</v>
      </c>
      <c r="P206" s="3" t="s">
        <v>886</v>
      </c>
      <c r="R206" s="3" t="s">
        <v>66</v>
      </c>
      <c r="S206" s="4">
        <v>15</v>
      </c>
      <c r="T206" s="4">
        <v>15</v>
      </c>
      <c r="U206" s="5" t="s">
        <v>2650</v>
      </c>
      <c r="V206" s="5" t="s">
        <v>2650</v>
      </c>
      <c r="W206" s="5" t="s">
        <v>2651</v>
      </c>
      <c r="X206" s="5" t="s">
        <v>2651</v>
      </c>
      <c r="Y206" s="4">
        <v>246</v>
      </c>
      <c r="Z206" s="4">
        <v>185</v>
      </c>
      <c r="AA206" s="4">
        <v>190</v>
      </c>
      <c r="AB206" s="4">
        <v>3</v>
      </c>
      <c r="AC206" s="4">
        <v>3</v>
      </c>
      <c r="AD206" s="4">
        <v>6</v>
      </c>
      <c r="AE206" s="4">
        <v>6</v>
      </c>
      <c r="AF206" s="4">
        <v>0</v>
      </c>
      <c r="AG206" s="4">
        <v>0</v>
      </c>
      <c r="AH206" s="4">
        <v>4</v>
      </c>
      <c r="AI206" s="4">
        <v>4</v>
      </c>
      <c r="AJ206" s="4">
        <v>2</v>
      </c>
      <c r="AK206" s="4">
        <v>2</v>
      </c>
      <c r="AL206" s="4">
        <v>2</v>
      </c>
      <c r="AM206" s="4">
        <v>2</v>
      </c>
      <c r="AN206" s="4">
        <v>0</v>
      </c>
      <c r="AO206" s="4">
        <v>0</v>
      </c>
      <c r="AP206" s="3" t="s">
        <v>58</v>
      </c>
      <c r="AQ206" s="3" t="s">
        <v>58</v>
      </c>
      <c r="AS206" s="6" t="str">
        <f>HYPERLINK("https://creighton-primo.hosted.exlibrisgroup.com/primo-explore/search?tab=default_tab&amp;search_scope=EVERYTHING&amp;vid=01CRU&amp;lang=en_US&amp;offset=0&amp;query=any,contains,991000950239702656","Catalog Record")</f>
        <v>Catalog Record</v>
      </c>
      <c r="AT206" s="6" t="str">
        <f>HYPERLINK("http://www.worldcat.org/oclc/20894573","WorldCat Record")</f>
        <v>WorldCat Record</v>
      </c>
      <c r="AU206" s="3" t="s">
        <v>2652</v>
      </c>
      <c r="AV206" s="3" t="s">
        <v>2653</v>
      </c>
      <c r="AW206" s="3" t="s">
        <v>2654</v>
      </c>
      <c r="AX206" s="3" t="s">
        <v>2654</v>
      </c>
      <c r="AY206" s="3" t="s">
        <v>2655</v>
      </c>
      <c r="AZ206" s="3" t="s">
        <v>73</v>
      </c>
      <c r="BB206" s="3" t="s">
        <v>2656</v>
      </c>
      <c r="BC206" s="3" t="s">
        <v>2657</v>
      </c>
      <c r="BD206" s="3" t="s">
        <v>2658</v>
      </c>
    </row>
    <row r="207" spans="1:56" ht="40.5" customHeight="1" x14ac:dyDescent="0.25">
      <c r="A207" s="7" t="s">
        <v>58</v>
      </c>
      <c r="B207" s="2" t="s">
        <v>2659</v>
      </c>
      <c r="C207" s="2" t="s">
        <v>2660</v>
      </c>
      <c r="D207" s="2" t="s">
        <v>2661</v>
      </c>
      <c r="F207" s="3" t="s">
        <v>58</v>
      </c>
      <c r="G207" s="3" t="s">
        <v>59</v>
      </c>
      <c r="H207" s="3" t="s">
        <v>58</v>
      </c>
      <c r="I207" s="3" t="s">
        <v>85</v>
      </c>
      <c r="J207" s="3" t="s">
        <v>60</v>
      </c>
      <c r="K207" s="2" t="s">
        <v>2662</v>
      </c>
      <c r="L207" s="2" t="s">
        <v>2663</v>
      </c>
      <c r="M207" s="3" t="s">
        <v>973</v>
      </c>
      <c r="O207" s="3" t="s">
        <v>64</v>
      </c>
      <c r="P207" s="3" t="s">
        <v>65</v>
      </c>
      <c r="R207" s="3" t="s">
        <v>66</v>
      </c>
      <c r="S207" s="4">
        <v>5</v>
      </c>
      <c r="T207" s="4">
        <v>5</v>
      </c>
      <c r="U207" s="5" t="s">
        <v>2664</v>
      </c>
      <c r="V207" s="5" t="s">
        <v>2664</v>
      </c>
      <c r="W207" s="5" t="s">
        <v>2555</v>
      </c>
      <c r="X207" s="5" t="s">
        <v>2555</v>
      </c>
      <c r="Y207" s="4">
        <v>930</v>
      </c>
      <c r="Z207" s="4">
        <v>765</v>
      </c>
      <c r="AA207" s="4">
        <v>1022</v>
      </c>
      <c r="AB207" s="4">
        <v>6</v>
      </c>
      <c r="AC207" s="4">
        <v>10</v>
      </c>
      <c r="AD207" s="4">
        <v>31</v>
      </c>
      <c r="AE207" s="4">
        <v>45</v>
      </c>
      <c r="AF207" s="4">
        <v>11</v>
      </c>
      <c r="AG207" s="4">
        <v>19</v>
      </c>
      <c r="AH207" s="4">
        <v>4</v>
      </c>
      <c r="AI207" s="4">
        <v>7</v>
      </c>
      <c r="AJ207" s="4">
        <v>18</v>
      </c>
      <c r="AK207" s="4">
        <v>21</v>
      </c>
      <c r="AL207" s="4">
        <v>5</v>
      </c>
      <c r="AM207" s="4">
        <v>8</v>
      </c>
      <c r="AN207" s="4">
        <v>0</v>
      </c>
      <c r="AO207" s="4">
        <v>0</v>
      </c>
      <c r="AP207" s="3" t="s">
        <v>58</v>
      </c>
      <c r="AQ207" s="3" t="s">
        <v>58</v>
      </c>
      <c r="AS207" s="6" t="str">
        <f>HYPERLINK("https://creighton-primo.hosted.exlibrisgroup.com/primo-explore/search?tab=default_tab&amp;search_scope=EVERYTHING&amp;vid=01CRU&amp;lang=en_US&amp;offset=0&amp;query=any,contains,991000898069702656","Catalog Record")</f>
        <v>Catalog Record</v>
      </c>
      <c r="AT207" s="6" t="str">
        <f>HYPERLINK("http://www.worldcat.org/oclc/5310554","WorldCat Record")</f>
        <v>WorldCat Record</v>
      </c>
      <c r="AU207" s="3" t="s">
        <v>2665</v>
      </c>
      <c r="AV207" s="3" t="s">
        <v>2666</v>
      </c>
      <c r="AW207" s="3" t="s">
        <v>2667</v>
      </c>
      <c r="AX207" s="3" t="s">
        <v>2667</v>
      </c>
      <c r="AY207" s="3" t="s">
        <v>2668</v>
      </c>
      <c r="AZ207" s="3" t="s">
        <v>73</v>
      </c>
      <c r="BB207" s="3" t="s">
        <v>2669</v>
      </c>
      <c r="BC207" s="3" t="s">
        <v>2670</v>
      </c>
      <c r="BD207" s="3" t="s">
        <v>2671</v>
      </c>
    </row>
    <row r="208" spans="1:56" ht="40.5" customHeight="1" x14ac:dyDescent="0.25">
      <c r="A208" s="7" t="s">
        <v>58</v>
      </c>
      <c r="B208" s="2" t="s">
        <v>2672</v>
      </c>
      <c r="C208" s="2" t="s">
        <v>2673</v>
      </c>
      <c r="D208" s="2" t="s">
        <v>2674</v>
      </c>
      <c r="E208" s="3" t="s">
        <v>379</v>
      </c>
      <c r="F208" s="3" t="s">
        <v>58</v>
      </c>
      <c r="G208" s="3" t="s">
        <v>59</v>
      </c>
      <c r="H208" s="3" t="s">
        <v>58</v>
      </c>
      <c r="I208" s="3" t="s">
        <v>58</v>
      </c>
      <c r="J208" s="3" t="s">
        <v>60</v>
      </c>
      <c r="K208" s="2" t="s">
        <v>2662</v>
      </c>
      <c r="L208" s="2" t="s">
        <v>2675</v>
      </c>
      <c r="M208" s="3" t="s">
        <v>63</v>
      </c>
      <c r="O208" s="3" t="s">
        <v>64</v>
      </c>
      <c r="P208" s="3" t="s">
        <v>65</v>
      </c>
      <c r="R208" s="3" t="s">
        <v>66</v>
      </c>
      <c r="S208" s="4">
        <v>4</v>
      </c>
      <c r="T208" s="4">
        <v>4</v>
      </c>
      <c r="U208" s="5" t="s">
        <v>2664</v>
      </c>
      <c r="V208" s="5" t="s">
        <v>2664</v>
      </c>
      <c r="W208" s="5" t="s">
        <v>2555</v>
      </c>
      <c r="X208" s="5" t="s">
        <v>2555</v>
      </c>
      <c r="Y208" s="4">
        <v>485</v>
      </c>
      <c r="Z208" s="4">
        <v>389</v>
      </c>
      <c r="AA208" s="4">
        <v>394</v>
      </c>
      <c r="AB208" s="4">
        <v>2</v>
      </c>
      <c r="AC208" s="4">
        <v>2</v>
      </c>
      <c r="AD208" s="4">
        <v>11</v>
      </c>
      <c r="AE208" s="4">
        <v>11</v>
      </c>
      <c r="AF208" s="4">
        <v>1</v>
      </c>
      <c r="AG208" s="4">
        <v>1</v>
      </c>
      <c r="AH208" s="4">
        <v>3</v>
      </c>
      <c r="AI208" s="4">
        <v>3</v>
      </c>
      <c r="AJ208" s="4">
        <v>10</v>
      </c>
      <c r="AK208" s="4">
        <v>10</v>
      </c>
      <c r="AL208" s="4">
        <v>1</v>
      </c>
      <c r="AM208" s="4">
        <v>1</v>
      </c>
      <c r="AN208" s="4">
        <v>0</v>
      </c>
      <c r="AO208" s="4">
        <v>0</v>
      </c>
      <c r="AP208" s="3" t="s">
        <v>58</v>
      </c>
      <c r="AQ208" s="3" t="s">
        <v>58</v>
      </c>
      <c r="AS208" s="6" t="str">
        <f>HYPERLINK("https://creighton-primo.hosted.exlibrisgroup.com/primo-explore/search?tab=default_tab&amp;search_scope=EVERYTHING&amp;vid=01CRU&amp;lang=en_US&amp;offset=0&amp;query=any,contains,991000898099702656","Catalog Record")</f>
        <v>Catalog Record</v>
      </c>
      <c r="AT208" s="6" t="str">
        <f>HYPERLINK("http://www.worldcat.org/oclc/8389397","WorldCat Record")</f>
        <v>WorldCat Record</v>
      </c>
      <c r="AU208" s="3" t="s">
        <v>2676</v>
      </c>
      <c r="AV208" s="3" t="s">
        <v>2677</v>
      </c>
      <c r="AW208" s="3" t="s">
        <v>2678</v>
      </c>
      <c r="AX208" s="3" t="s">
        <v>2678</v>
      </c>
      <c r="AY208" s="3" t="s">
        <v>2679</v>
      </c>
      <c r="AZ208" s="3" t="s">
        <v>73</v>
      </c>
      <c r="BB208" s="3" t="s">
        <v>2680</v>
      </c>
      <c r="BC208" s="3" t="s">
        <v>2681</v>
      </c>
      <c r="BD208" s="3" t="s">
        <v>2682</v>
      </c>
    </row>
    <row r="209" spans="1:56" ht="40.5" customHeight="1" x14ac:dyDescent="0.25">
      <c r="A209" s="7" t="s">
        <v>58</v>
      </c>
      <c r="B209" s="2" t="s">
        <v>2683</v>
      </c>
      <c r="C209" s="2" t="s">
        <v>2684</v>
      </c>
      <c r="D209" s="2" t="s">
        <v>2685</v>
      </c>
      <c r="F209" s="3" t="s">
        <v>58</v>
      </c>
      <c r="G209" s="3" t="s">
        <v>59</v>
      </c>
      <c r="H209" s="3" t="s">
        <v>58</v>
      </c>
      <c r="I209" s="3" t="s">
        <v>58</v>
      </c>
      <c r="J209" s="3" t="s">
        <v>60</v>
      </c>
      <c r="L209" s="2" t="s">
        <v>1617</v>
      </c>
      <c r="M209" s="3" t="s">
        <v>182</v>
      </c>
      <c r="O209" s="3" t="s">
        <v>64</v>
      </c>
      <c r="P209" s="3" t="s">
        <v>65</v>
      </c>
      <c r="R209" s="3" t="s">
        <v>66</v>
      </c>
      <c r="S209" s="4">
        <v>7</v>
      </c>
      <c r="T209" s="4">
        <v>7</v>
      </c>
      <c r="U209" s="5" t="s">
        <v>2686</v>
      </c>
      <c r="V209" s="5" t="s">
        <v>2686</v>
      </c>
      <c r="W209" s="5" t="s">
        <v>2687</v>
      </c>
      <c r="X209" s="5" t="s">
        <v>2687</v>
      </c>
      <c r="Y209" s="4">
        <v>359</v>
      </c>
      <c r="Z209" s="4">
        <v>262</v>
      </c>
      <c r="AA209" s="4">
        <v>309</v>
      </c>
      <c r="AB209" s="4">
        <v>2</v>
      </c>
      <c r="AC209" s="4">
        <v>2</v>
      </c>
      <c r="AD209" s="4">
        <v>9</v>
      </c>
      <c r="AE209" s="4">
        <v>12</v>
      </c>
      <c r="AF209" s="4">
        <v>1</v>
      </c>
      <c r="AG209" s="4">
        <v>3</v>
      </c>
      <c r="AH209" s="4">
        <v>4</v>
      </c>
      <c r="AI209" s="4">
        <v>6</v>
      </c>
      <c r="AJ209" s="4">
        <v>5</v>
      </c>
      <c r="AK209" s="4">
        <v>5</v>
      </c>
      <c r="AL209" s="4">
        <v>1</v>
      </c>
      <c r="AM209" s="4">
        <v>1</v>
      </c>
      <c r="AN209" s="4">
        <v>0</v>
      </c>
      <c r="AO209" s="4">
        <v>0</v>
      </c>
      <c r="AP209" s="3" t="s">
        <v>58</v>
      </c>
      <c r="AQ209" s="3" t="s">
        <v>85</v>
      </c>
      <c r="AR209" s="6" t="str">
        <f>HYPERLINK("http://catalog.hathitrust.org/Record/000843910","HathiTrust Record")</f>
        <v>HathiTrust Record</v>
      </c>
      <c r="AS209" s="6" t="str">
        <f>HYPERLINK("https://creighton-primo.hosted.exlibrisgroup.com/primo-explore/search?tab=default_tab&amp;search_scope=EVERYTHING&amp;vid=01CRU&amp;lang=en_US&amp;offset=0&amp;query=any,contains,991001184919702656","Catalog Record")</f>
        <v>Catalog Record</v>
      </c>
      <c r="AT209" s="6" t="str">
        <f>HYPERLINK("http://www.worldcat.org/oclc/15695695","WorldCat Record")</f>
        <v>WorldCat Record</v>
      </c>
      <c r="AU209" s="3" t="s">
        <v>2688</v>
      </c>
      <c r="AV209" s="3" t="s">
        <v>2689</v>
      </c>
      <c r="AW209" s="3" t="s">
        <v>2690</v>
      </c>
      <c r="AX209" s="3" t="s">
        <v>2690</v>
      </c>
      <c r="AY209" s="3" t="s">
        <v>2691</v>
      </c>
      <c r="AZ209" s="3" t="s">
        <v>73</v>
      </c>
      <c r="BB209" s="3" t="s">
        <v>2692</v>
      </c>
      <c r="BC209" s="3" t="s">
        <v>2693</v>
      </c>
      <c r="BD209" s="3" t="s">
        <v>2694</v>
      </c>
    </row>
    <row r="210" spans="1:56" ht="40.5" customHeight="1" x14ac:dyDescent="0.25">
      <c r="A210" s="7" t="s">
        <v>58</v>
      </c>
      <c r="B210" s="2" t="s">
        <v>2695</v>
      </c>
      <c r="C210" s="2" t="s">
        <v>2696</v>
      </c>
      <c r="D210" s="2" t="s">
        <v>2697</v>
      </c>
      <c r="F210" s="3" t="s">
        <v>58</v>
      </c>
      <c r="G210" s="3" t="s">
        <v>59</v>
      </c>
      <c r="H210" s="3" t="s">
        <v>58</v>
      </c>
      <c r="I210" s="3" t="s">
        <v>58</v>
      </c>
      <c r="J210" s="3" t="s">
        <v>60</v>
      </c>
      <c r="L210" s="2" t="s">
        <v>1564</v>
      </c>
      <c r="M210" s="3" t="s">
        <v>614</v>
      </c>
      <c r="O210" s="3" t="s">
        <v>64</v>
      </c>
      <c r="P210" s="3" t="s">
        <v>65</v>
      </c>
      <c r="R210" s="3" t="s">
        <v>66</v>
      </c>
      <c r="S210" s="4">
        <v>5</v>
      </c>
      <c r="T210" s="4">
        <v>5</v>
      </c>
      <c r="U210" s="5" t="s">
        <v>2698</v>
      </c>
      <c r="V210" s="5" t="s">
        <v>2698</v>
      </c>
      <c r="W210" s="5" t="s">
        <v>1936</v>
      </c>
      <c r="X210" s="5" t="s">
        <v>1936</v>
      </c>
      <c r="Y210" s="4">
        <v>222</v>
      </c>
      <c r="Z210" s="4">
        <v>168</v>
      </c>
      <c r="AA210" s="4">
        <v>168</v>
      </c>
      <c r="AB210" s="4">
        <v>2</v>
      </c>
      <c r="AC210" s="4">
        <v>2</v>
      </c>
      <c r="AD210" s="4">
        <v>7</v>
      </c>
      <c r="AE210" s="4">
        <v>7</v>
      </c>
      <c r="AF210" s="4">
        <v>2</v>
      </c>
      <c r="AG210" s="4">
        <v>2</v>
      </c>
      <c r="AH210" s="4">
        <v>2</v>
      </c>
      <c r="AI210" s="4">
        <v>2</v>
      </c>
      <c r="AJ210" s="4">
        <v>4</v>
      </c>
      <c r="AK210" s="4">
        <v>4</v>
      </c>
      <c r="AL210" s="4">
        <v>1</v>
      </c>
      <c r="AM210" s="4">
        <v>1</v>
      </c>
      <c r="AN210" s="4">
        <v>0</v>
      </c>
      <c r="AO210" s="4">
        <v>0</v>
      </c>
      <c r="AP210" s="3" t="s">
        <v>58</v>
      </c>
      <c r="AQ210" s="3" t="s">
        <v>58</v>
      </c>
      <c r="AS210" s="6" t="str">
        <f>HYPERLINK("https://creighton-primo.hosted.exlibrisgroup.com/primo-explore/search?tab=default_tab&amp;search_scope=EVERYTHING&amp;vid=01CRU&amp;lang=en_US&amp;offset=0&amp;query=any,contains,991001355189702656","Catalog Record")</f>
        <v>Catalog Record</v>
      </c>
      <c r="AT210" s="6" t="str">
        <f>HYPERLINK("http://www.worldcat.org/oclc/18049851","WorldCat Record")</f>
        <v>WorldCat Record</v>
      </c>
      <c r="AU210" s="3" t="s">
        <v>2699</v>
      </c>
      <c r="AV210" s="3" t="s">
        <v>2700</v>
      </c>
      <c r="AW210" s="3" t="s">
        <v>2701</v>
      </c>
      <c r="AX210" s="3" t="s">
        <v>2701</v>
      </c>
      <c r="AY210" s="3" t="s">
        <v>2702</v>
      </c>
      <c r="AZ210" s="3" t="s">
        <v>73</v>
      </c>
      <c r="BB210" s="3" t="s">
        <v>2703</v>
      </c>
      <c r="BC210" s="3" t="s">
        <v>2704</v>
      </c>
      <c r="BD210" s="3" t="s">
        <v>2705</v>
      </c>
    </row>
    <row r="211" spans="1:56" ht="40.5" customHeight="1" x14ac:dyDescent="0.25">
      <c r="A211" s="7" t="s">
        <v>58</v>
      </c>
      <c r="B211" s="2" t="s">
        <v>2706</v>
      </c>
      <c r="C211" s="2" t="s">
        <v>2707</v>
      </c>
      <c r="D211" s="2" t="s">
        <v>2708</v>
      </c>
      <c r="F211" s="3" t="s">
        <v>58</v>
      </c>
      <c r="G211" s="3" t="s">
        <v>59</v>
      </c>
      <c r="H211" s="3" t="s">
        <v>58</v>
      </c>
      <c r="I211" s="3" t="s">
        <v>58</v>
      </c>
      <c r="J211" s="3" t="s">
        <v>60</v>
      </c>
      <c r="L211" s="2" t="s">
        <v>1564</v>
      </c>
      <c r="M211" s="3" t="s">
        <v>614</v>
      </c>
      <c r="O211" s="3" t="s">
        <v>64</v>
      </c>
      <c r="P211" s="3" t="s">
        <v>65</v>
      </c>
      <c r="Q211" s="2" t="s">
        <v>2709</v>
      </c>
      <c r="R211" s="3" t="s">
        <v>66</v>
      </c>
      <c r="S211" s="4">
        <v>8</v>
      </c>
      <c r="T211" s="4">
        <v>8</v>
      </c>
      <c r="U211" s="5" t="s">
        <v>2710</v>
      </c>
      <c r="V211" s="5" t="s">
        <v>2710</v>
      </c>
      <c r="W211" s="5" t="s">
        <v>2711</v>
      </c>
      <c r="X211" s="5" t="s">
        <v>2711</v>
      </c>
      <c r="Y211" s="4">
        <v>169</v>
      </c>
      <c r="Z211" s="4">
        <v>151</v>
      </c>
      <c r="AA211" s="4">
        <v>177</v>
      </c>
      <c r="AB211" s="4">
        <v>2</v>
      </c>
      <c r="AC211" s="4">
        <v>2</v>
      </c>
      <c r="AD211" s="4">
        <v>7</v>
      </c>
      <c r="AE211" s="4">
        <v>7</v>
      </c>
      <c r="AF211" s="4">
        <v>0</v>
      </c>
      <c r="AG211" s="4">
        <v>0</v>
      </c>
      <c r="AH211" s="4">
        <v>3</v>
      </c>
      <c r="AI211" s="4">
        <v>3</v>
      </c>
      <c r="AJ211" s="4">
        <v>5</v>
      </c>
      <c r="AK211" s="4">
        <v>5</v>
      </c>
      <c r="AL211" s="4">
        <v>1</v>
      </c>
      <c r="AM211" s="4">
        <v>1</v>
      </c>
      <c r="AN211" s="4">
        <v>0</v>
      </c>
      <c r="AO211" s="4">
        <v>0</v>
      </c>
      <c r="AP211" s="3" t="s">
        <v>58</v>
      </c>
      <c r="AQ211" s="3" t="s">
        <v>85</v>
      </c>
      <c r="AR211" s="6" t="str">
        <f>HYPERLINK("http://catalog.hathitrust.org/Record/001955365","HathiTrust Record")</f>
        <v>HathiTrust Record</v>
      </c>
      <c r="AS211" s="6" t="str">
        <f>HYPERLINK("https://creighton-primo.hosted.exlibrisgroup.com/primo-explore/search?tab=default_tab&amp;search_scope=EVERYTHING&amp;vid=01CRU&amp;lang=en_US&amp;offset=0&amp;query=any,contains,991001363549702656","Catalog Record")</f>
        <v>Catalog Record</v>
      </c>
      <c r="AT211" s="6" t="str">
        <f>HYPERLINK("http://www.worldcat.org/oclc/19777134","WorldCat Record")</f>
        <v>WorldCat Record</v>
      </c>
      <c r="AU211" s="3" t="s">
        <v>2712</v>
      </c>
      <c r="AV211" s="3" t="s">
        <v>2713</v>
      </c>
      <c r="AW211" s="3" t="s">
        <v>2714</v>
      </c>
      <c r="AX211" s="3" t="s">
        <v>2714</v>
      </c>
      <c r="AY211" s="3" t="s">
        <v>2715</v>
      </c>
      <c r="AZ211" s="3" t="s">
        <v>73</v>
      </c>
      <c r="BB211" s="3" t="s">
        <v>2716</v>
      </c>
      <c r="BC211" s="3" t="s">
        <v>2717</v>
      </c>
      <c r="BD211" s="3" t="s">
        <v>2718</v>
      </c>
    </row>
    <row r="212" spans="1:56" ht="40.5" customHeight="1" x14ac:dyDescent="0.25">
      <c r="A212" s="7" t="s">
        <v>58</v>
      </c>
      <c r="B212" s="2" t="s">
        <v>2719</v>
      </c>
      <c r="C212" s="2" t="s">
        <v>2720</v>
      </c>
      <c r="D212" s="2" t="s">
        <v>2721</v>
      </c>
      <c r="E212" s="3" t="s">
        <v>258</v>
      </c>
      <c r="F212" s="3" t="s">
        <v>85</v>
      </c>
      <c r="G212" s="3" t="s">
        <v>59</v>
      </c>
      <c r="H212" s="3" t="s">
        <v>58</v>
      </c>
      <c r="I212" s="3" t="s">
        <v>58</v>
      </c>
      <c r="J212" s="3" t="s">
        <v>60</v>
      </c>
      <c r="L212" s="2" t="s">
        <v>2722</v>
      </c>
      <c r="M212" s="3" t="s">
        <v>365</v>
      </c>
      <c r="O212" s="3" t="s">
        <v>64</v>
      </c>
      <c r="P212" s="3" t="s">
        <v>135</v>
      </c>
      <c r="Q212" s="2" t="s">
        <v>2723</v>
      </c>
      <c r="R212" s="3" t="s">
        <v>66</v>
      </c>
      <c r="S212" s="4">
        <v>14</v>
      </c>
      <c r="T212" s="4">
        <v>23</v>
      </c>
      <c r="U212" s="5" t="s">
        <v>1692</v>
      </c>
      <c r="V212" s="5" t="s">
        <v>1692</v>
      </c>
      <c r="W212" s="5" t="s">
        <v>2527</v>
      </c>
      <c r="X212" s="5" t="s">
        <v>2527</v>
      </c>
      <c r="Y212" s="4">
        <v>209</v>
      </c>
      <c r="Z212" s="4">
        <v>137</v>
      </c>
      <c r="AA212" s="4">
        <v>139</v>
      </c>
      <c r="AB212" s="4">
        <v>1</v>
      </c>
      <c r="AC212" s="4">
        <v>1</v>
      </c>
      <c r="AD212" s="4">
        <v>3</v>
      </c>
      <c r="AE212" s="4">
        <v>3</v>
      </c>
      <c r="AF212" s="4">
        <v>0</v>
      </c>
      <c r="AG212" s="4">
        <v>0</v>
      </c>
      <c r="AH212" s="4">
        <v>1</v>
      </c>
      <c r="AI212" s="4">
        <v>1</v>
      </c>
      <c r="AJ212" s="4">
        <v>3</v>
      </c>
      <c r="AK212" s="4">
        <v>3</v>
      </c>
      <c r="AL212" s="4">
        <v>0</v>
      </c>
      <c r="AM212" s="4">
        <v>0</v>
      </c>
      <c r="AN212" s="4">
        <v>0</v>
      </c>
      <c r="AO212" s="4">
        <v>0</v>
      </c>
      <c r="AP212" s="3" t="s">
        <v>58</v>
      </c>
      <c r="AQ212" s="3" t="s">
        <v>58</v>
      </c>
      <c r="AS212" s="6" t="str">
        <f>HYPERLINK("https://creighton-primo.hosted.exlibrisgroup.com/primo-explore/search?tab=default_tab&amp;search_scope=EVERYTHING&amp;vid=01CRU&amp;lang=en_US&amp;offset=0&amp;query=any,contains,991000678109702656","Catalog Record")</f>
        <v>Catalog Record</v>
      </c>
      <c r="AT212" s="6" t="str">
        <f>HYPERLINK("http://www.worldcat.org/oclc/28337231","WorldCat Record")</f>
        <v>WorldCat Record</v>
      </c>
      <c r="AU212" s="3" t="s">
        <v>2724</v>
      </c>
      <c r="AV212" s="3" t="s">
        <v>2725</v>
      </c>
      <c r="AW212" s="3" t="s">
        <v>2726</v>
      </c>
      <c r="AX212" s="3" t="s">
        <v>2726</v>
      </c>
      <c r="AY212" s="3" t="s">
        <v>2727</v>
      </c>
      <c r="AZ212" s="3" t="s">
        <v>73</v>
      </c>
      <c r="BB212" s="3" t="s">
        <v>2728</v>
      </c>
      <c r="BC212" s="3" t="s">
        <v>2729</v>
      </c>
      <c r="BD212" s="3" t="s">
        <v>2730</v>
      </c>
    </row>
    <row r="213" spans="1:56" ht="40.5" customHeight="1" x14ac:dyDescent="0.25">
      <c r="A213" s="7" t="s">
        <v>58</v>
      </c>
      <c r="B213" s="2" t="s">
        <v>2719</v>
      </c>
      <c r="C213" s="2" t="s">
        <v>2720</v>
      </c>
      <c r="D213" s="2" t="s">
        <v>2721</v>
      </c>
      <c r="E213" s="3" t="s">
        <v>96</v>
      </c>
      <c r="F213" s="3" t="s">
        <v>85</v>
      </c>
      <c r="G213" s="3" t="s">
        <v>59</v>
      </c>
      <c r="H213" s="3" t="s">
        <v>58</v>
      </c>
      <c r="I213" s="3" t="s">
        <v>58</v>
      </c>
      <c r="J213" s="3" t="s">
        <v>60</v>
      </c>
      <c r="L213" s="2" t="s">
        <v>2722</v>
      </c>
      <c r="M213" s="3" t="s">
        <v>365</v>
      </c>
      <c r="O213" s="3" t="s">
        <v>64</v>
      </c>
      <c r="P213" s="3" t="s">
        <v>135</v>
      </c>
      <c r="Q213" s="2" t="s">
        <v>2723</v>
      </c>
      <c r="R213" s="3" t="s">
        <v>66</v>
      </c>
      <c r="S213" s="4">
        <v>9</v>
      </c>
      <c r="T213" s="4">
        <v>23</v>
      </c>
      <c r="U213" s="5" t="s">
        <v>1692</v>
      </c>
      <c r="V213" s="5" t="s">
        <v>1692</v>
      </c>
      <c r="W213" s="5" t="s">
        <v>2527</v>
      </c>
      <c r="X213" s="5" t="s">
        <v>2527</v>
      </c>
      <c r="Y213" s="4">
        <v>209</v>
      </c>
      <c r="Z213" s="4">
        <v>137</v>
      </c>
      <c r="AA213" s="4">
        <v>139</v>
      </c>
      <c r="AB213" s="4">
        <v>1</v>
      </c>
      <c r="AC213" s="4">
        <v>1</v>
      </c>
      <c r="AD213" s="4">
        <v>3</v>
      </c>
      <c r="AE213" s="4">
        <v>3</v>
      </c>
      <c r="AF213" s="4">
        <v>0</v>
      </c>
      <c r="AG213" s="4">
        <v>0</v>
      </c>
      <c r="AH213" s="4">
        <v>1</v>
      </c>
      <c r="AI213" s="4">
        <v>1</v>
      </c>
      <c r="AJ213" s="4">
        <v>3</v>
      </c>
      <c r="AK213" s="4">
        <v>3</v>
      </c>
      <c r="AL213" s="4">
        <v>0</v>
      </c>
      <c r="AM213" s="4">
        <v>0</v>
      </c>
      <c r="AN213" s="4">
        <v>0</v>
      </c>
      <c r="AO213" s="4">
        <v>0</v>
      </c>
      <c r="AP213" s="3" t="s">
        <v>58</v>
      </c>
      <c r="AQ213" s="3" t="s">
        <v>58</v>
      </c>
      <c r="AS213" s="6" t="str">
        <f>HYPERLINK("https://creighton-primo.hosted.exlibrisgroup.com/primo-explore/search?tab=default_tab&amp;search_scope=EVERYTHING&amp;vid=01CRU&amp;lang=en_US&amp;offset=0&amp;query=any,contains,991000678109702656","Catalog Record")</f>
        <v>Catalog Record</v>
      </c>
      <c r="AT213" s="6" t="str">
        <f>HYPERLINK("http://www.worldcat.org/oclc/28337231","WorldCat Record")</f>
        <v>WorldCat Record</v>
      </c>
      <c r="AU213" s="3" t="s">
        <v>2724</v>
      </c>
      <c r="AV213" s="3" t="s">
        <v>2725</v>
      </c>
      <c r="AW213" s="3" t="s">
        <v>2726</v>
      </c>
      <c r="AX213" s="3" t="s">
        <v>2726</v>
      </c>
      <c r="AY213" s="3" t="s">
        <v>2727</v>
      </c>
      <c r="AZ213" s="3" t="s">
        <v>73</v>
      </c>
      <c r="BB213" s="3" t="s">
        <v>2728</v>
      </c>
      <c r="BC213" s="3" t="s">
        <v>2731</v>
      </c>
      <c r="BD213" s="3" t="s">
        <v>2732</v>
      </c>
    </row>
    <row r="214" spans="1:56" ht="40.5" customHeight="1" x14ac:dyDescent="0.25">
      <c r="A214" s="7" t="s">
        <v>58</v>
      </c>
      <c r="B214" s="2" t="s">
        <v>2733</v>
      </c>
      <c r="C214" s="2" t="s">
        <v>2734</v>
      </c>
      <c r="D214" s="2" t="s">
        <v>2735</v>
      </c>
      <c r="F214" s="3" t="s">
        <v>58</v>
      </c>
      <c r="G214" s="3" t="s">
        <v>59</v>
      </c>
      <c r="H214" s="3" t="s">
        <v>58</v>
      </c>
      <c r="I214" s="3" t="s">
        <v>85</v>
      </c>
      <c r="J214" s="3" t="s">
        <v>60</v>
      </c>
      <c r="K214" s="2" t="s">
        <v>2736</v>
      </c>
      <c r="L214" s="2" t="s">
        <v>2737</v>
      </c>
      <c r="M214" s="3" t="s">
        <v>245</v>
      </c>
      <c r="N214" s="2" t="s">
        <v>2738</v>
      </c>
      <c r="O214" s="3" t="s">
        <v>64</v>
      </c>
      <c r="P214" s="3" t="s">
        <v>117</v>
      </c>
      <c r="R214" s="3" t="s">
        <v>66</v>
      </c>
      <c r="S214" s="4">
        <v>10</v>
      </c>
      <c r="T214" s="4">
        <v>10</v>
      </c>
      <c r="U214" s="5" t="s">
        <v>2739</v>
      </c>
      <c r="V214" s="5" t="s">
        <v>2739</v>
      </c>
      <c r="W214" s="5" t="s">
        <v>2090</v>
      </c>
      <c r="X214" s="5" t="s">
        <v>2090</v>
      </c>
      <c r="Y214" s="4">
        <v>2190</v>
      </c>
      <c r="Z214" s="4">
        <v>2056</v>
      </c>
      <c r="AA214" s="4">
        <v>3457</v>
      </c>
      <c r="AB214" s="4">
        <v>14</v>
      </c>
      <c r="AC214" s="4">
        <v>27</v>
      </c>
      <c r="AD214" s="4">
        <v>51</v>
      </c>
      <c r="AE214" s="4">
        <v>70</v>
      </c>
      <c r="AF214" s="4">
        <v>22</v>
      </c>
      <c r="AG214" s="4">
        <v>29</v>
      </c>
      <c r="AH214" s="4">
        <v>9</v>
      </c>
      <c r="AI214" s="4">
        <v>11</v>
      </c>
      <c r="AJ214" s="4">
        <v>25</v>
      </c>
      <c r="AK214" s="4">
        <v>28</v>
      </c>
      <c r="AL214" s="4">
        <v>8</v>
      </c>
      <c r="AM214" s="4">
        <v>16</v>
      </c>
      <c r="AN214" s="4">
        <v>0</v>
      </c>
      <c r="AO214" s="4">
        <v>0</v>
      </c>
      <c r="AP214" s="3" t="s">
        <v>58</v>
      </c>
      <c r="AQ214" s="3" t="s">
        <v>85</v>
      </c>
      <c r="AR214" s="6" t="str">
        <f>HYPERLINK("http://catalog.hathitrust.org/Record/001112713","HathiTrust Record")</f>
        <v>HathiTrust Record</v>
      </c>
      <c r="AS214" s="6" t="str">
        <f>HYPERLINK("https://creighton-primo.hosted.exlibrisgroup.com/primo-explore/search?tab=default_tab&amp;search_scope=EVERYTHING&amp;vid=01CRU&amp;lang=en_US&amp;offset=0&amp;query=any,contains,991000898009702656","Catalog Record")</f>
        <v>Catalog Record</v>
      </c>
      <c r="AT214" s="6" t="str">
        <f>HYPERLINK("http://www.worldcat.org/oclc/439345","WorldCat Record")</f>
        <v>WorldCat Record</v>
      </c>
      <c r="AU214" s="3" t="s">
        <v>2740</v>
      </c>
      <c r="AV214" s="3" t="s">
        <v>2741</v>
      </c>
      <c r="AW214" s="3" t="s">
        <v>2742</v>
      </c>
      <c r="AX214" s="3" t="s">
        <v>2742</v>
      </c>
      <c r="AY214" s="3" t="s">
        <v>2743</v>
      </c>
      <c r="AZ214" s="3" t="s">
        <v>73</v>
      </c>
      <c r="BC214" s="3" t="s">
        <v>2744</v>
      </c>
      <c r="BD214" s="3" t="s">
        <v>2745</v>
      </c>
    </row>
    <row r="215" spans="1:56" ht="40.5" customHeight="1" x14ac:dyDescent="0.25">
      <c r="A215" s="7" t="s">
        <v>58</v>
      </c>
      <c r="B215" s="2" t="s">
        <v>2746</v>
      </c>
      <c r="C215" s="2" t="s">
        <v>2747</v>
      </c>
      <c r="D215" s="2" t="s">
        <v>2748</v>
      </c>
      <c r="F215" s="3" t="s">
        <v>58</v>
      </c>
      <c r="G215" s="3" t="s">
        <v>59</v>
      </c>
      <c r="H215" s="3" t="s">
        <v>58</v>
      </c>
      <c r="I215" s="3" t="s">
        <v>58</v>
      </c>
      <c r="J215" s="3" t="s">
        <v>60</v>
      </c>
      <c r="K215" s="2" t="s">
        <v>2736</v>
      </c>
      <c r="L215" s="2" t="s">
        <v>2749</v>
      </c>
      <c r="M215" s="3" t="s">
        <v>98</v>
      </c>
      <c r="O215" s="3" t="s">
        <v>64</v>
      </c>
      <c r="P215" s="3" t="s">
        <v>65</v>
      </c>
      <c r="R215" s="3" t="s">
        <v>66</v>
      </c>
      <c r="S215" s="4">
        <v>4</v>
      </c>
      <c r="T215" s="4">
        <v>4</v>
      </c>
      <c r="U215" s="5" t="s">
        <v>2750</v>
      </c>
      <c r="V215" s="5" t="s">
        <v>2750</v>
      </c>
      <c r="W215" s="5" t="s">
        <v>2751</v>
      </c>
      <c r="X215" s="5" t="s">
        <v>2751</v>
      </c>
      <c r="Y215" s="4">
        <v>1139</v>
      </c>
      <c r="Z215" s="4">
        <v>871</v>
      </c>
      <c r="AA215" s="4">
        <v>871</v>
      </c>
      <c r="AB215" s="4">
        <v>7</v>
      </c>
      <c r="AC215" s="4">
        <v>7</v>
      </c>
      <c r="AD215" s="4">
        <v>28</v>
      </c>
      <c r="AE215" s="4">
        <v>28</v>
      </c>
      <c r="AF215" s="4">
        <v>10</v>
      </c>
      <c r="AG215" s="4">
        <v>10</v>
      </c>
      <c r="AH215" s="4">
        <v>7</v>
      </c>
      <c r="AI215" s="4">
        <v>7</v>
      </c>
      <c r="AJ215" s="4">
        <v>12</v>
      </c>
      <c r="AK215" s="4">
        <v>12</v>
      </c>
      <c r="AL215" s="4">
        <v>4</v>
      </c>
      <c r="AM215" s="4">
        <v>4</v>
      </c>
      <c r="AN215" s="4">
        <v>0</v>
      </c>
      <c r="AO215" s="4">
        <v>0</v>
      </c>
      <c r="AP215" s="3" t="s">
        <v>58</v>
      </c>
      <c r="AQ215" s="3" t="s">
        <v>58</v>
      </c>
      <c r="AS215" s="6" t="str">
        <f>HYPERLINK("https://creighton-primo.hosted.exlibrisgroup.com/primo-explore/search?tab=default_tab&amp;search_scope=EVERYTHING&amp;vid=01CRU&amp;lang=en_US&amp;offset=0&amp;query=any,contains,991000897969702656","Catalog Record")</f>
        <v>Catalog Record</v>
      </c>
      <c r="AT215" s="6" t="str">
        <f>HYPERLINK("http://www.worldcat.org/oclc/9532831","WorldCat Record")</f>
        <v>WorldCat Record</v>
      </c>
      <c r="AU215" s="3" t="s">
        <v>2752</v>
      </c>
      <c r="AV215" s="3" t="s">
        <v>2753</v>
      </c>
      <c r="AW215" s="3" t="s">
        <v>2754</v>
      </c>
      <c r="AX215" s="3" t="s">
        <v>2754</v>
      </c>
      <c r="AY215" s="3" t="s">
        <v>2755</v>
      </c>
      <c r="AZ215" s="3" t="s">
        <v>73</v>
      </c>
      <c r="BB215" s="3" t="s">
        <v>2756</v>
      </c>
      <c r="BC215" s="3" t="s">
        <v>2757</v>
      </c>
      <c r="BD215" s="3" t="s">
        <v>2758</v>
      </c>
    </row>
    <row r="216" spans="1:56" ht="40.5" customHeight="1" x14ac:dyDescent="0.25">
      <c r="A216" s="7" t="s">
        <v>58</v>
      </c>
      <c r="B216" s="2" t="s">
        <v>2759</v>
      </c>
      <c r="C216" s="2" t="s">
        <v>2760</v>
      </c>
      <c r="D216" s="2" t="s">
        <v>2761</v>
      </c>
      <c r="F216" s="3" t="s">
        <v>58</v>
      </c>
      <c r="G216" s="3" t="s">
        <v>59</v>
      </c>
      <c r="H216" s="3" t="s">
        <v>58</v>
      </c>
      <c r="I216" s="3" t="s">
        <v>58</v>
      </c>
      <c r="J216" s="3" t="s">
        <v>59</v>
      </c>
      <c r="K216" s="2" t="s">
        <v>2762</v>
      </c>
      <c r="L216" s="2" t="s">
        <v>2763</v>
      </c>
      <c r="M216" s="3" t="s">
        <v>2764</v>
      </c>
      <c r="O216" s="3" t="s">
        <v>64</v>
      </c>
      <c r="P216" s="3" t="s">
        <v>117</v>
      </c>
      <c r="R216" s="3" t="s">
        <v>66</v>
      </c>
      <c r="S216" s="4">
        <v>5</v>
      </c>
      <c r="T216" s="4">
        <v>5</v>
      </c>
      <c r="U216" s="5" t="s">
        <v>2765</v>
      </c>
      <c r="V216" s="5" t="s">
        <v>2765</v>
      </c>
      <c r="W216" s="5" t="s">
        <v>2766</v>
      </c>
      <c r="X216" s="5" t="s">
        <v>2766</v>
      </c>
      <c r="Y216" s="4">
        <v>290</v>
      </c>
      <c r="Z216" s="4">
        <v>193</v>
      </c>
      <c r="AA216" s="4">
        <v>382</v>
      </c>
      <c r="AB216" s="4">
        <v>3</v>
      </c>
      <c r="AC216" s="4">
        <v>4</v>
      </c>
      <c r="AD216" s="4">
        <v>10</v>
      </c>
      <c r="AE216" s="4">
        <v>15</v>
      </c>
      <c r="AF216" s="4">
        <v>1</v>
      </c>
      <c r="AG216" s="4">
        <v>3</v>
      </c>
      <c r="AH216" s="4">
        <v>4</v>
      </c>
      <c r="AI216" s="4">
        <v>6</v>
      </c>
      <c r="AJ216" s="4">
        <v>5</v>
      </c>
      <c r="AK216" s="4">
        <v>10</v>
      </c>
      <c r="AL216" s="4">
        <v>2</v>
      </c>
      <c r="AM216" s="4">
        <v>2</v>
      </c>
      <c r="AN216" s="4">
        <v>0</v>
      </c>
      <c r="AO216" s="4">
        <v>0</v>
      </c>
      <c r="AP216" s="3" t="s">
        <v>58</v>
      </c>
      <c r="AQ216" s="3" t="s">
        <v>58</v>
      </c>
      <c r="AS216" s="6" t="str">
        <f>HYPERLINK("https://creighton-primo.hosted.exlibrisgroup.com/primo-explore/search?tab=default_tab&amp;search_scope=EVERYTHING&amp;vid=01CRU&amp;lang=en_US&amp;offset=0&amp;query=any,contains,991000587299702656","Catalog Record")</f>
        <v>Catalog Record</v>
      </c>
      <c r="AT216" s="6" t="str">
        <f>HYPERLINK("http://www.worldcat.org/oclc/56880311","WorldCat Record")</f>
        <v>WorldCat Record</v>
      </c>
      <c r="AU216" s="3" t="s">
        <v>2767</v>
      </c>
      <c r="AV216" s="3" t="s">
        <v>2768</v>
      </c>
      <c r="AW216" s="3" t="s">
        <v>2769</v>
      </c>
      <c r="AX216" s="3" t="s">
        <v>2769</v>
      </c>
      <c r="AY216" s="3" t="s">
        <v>2770</v>
      </c>
      <c r="AZ216" s="3" t="s">
        <v>73</v>
      </c>
      <c r="BB216" s="3" t="s">
        <v>2771</v>
      </c>
      <c r="BC216" s="3" t="s">
        <v>2772</v>
      </c>
      <c r="BD216" s="3" t="s">
        <v>2773</v>
      </c>
    </row>
    <row r="217" spans="1:56" ht="40.5" customHeight="1" x14ac:dyDescent="0.25">
      <c r="A217" s="7" t="s">
        <v>58</v>
      </c>
      <c r="B217" s="2" t="s">
        <v>2774</v>
      </c>
      <c r="C217" s="2" t="s">
        <v>2775</v>
      </c>
      <c r="D217" s="2" t="s">
        <v>2776</v>
      </c>
      <c r="F217" s="3" t="s">
        <v>58</v>
      </c>
      <c r="G217" s="3" t="s">
        <v>59</v>
      </c>
      <c r="H217" s="3" t="s">
        <v>58</v>
      </c>
      <c r="I217" s="3" t="s">
        <v>58</v>
      </c>
      <c r="J217" s="3" t="s">
        <v>60</v>
      </c>
      <c r="L217" s="2" t="s">
        <v>1535</v>
      </c>
      <c r="M217" s="3" t="s">
        <v>1536</v>
      </c>
      <c r="O217" s="3" t="s">
        <v>64</v>
      </c>
      <c r="P217" s="3" t="s">
        <v>366</v>
      </c>
      <c r="Q217" s="2" t="s">
        <v>2777</v>
      </c>
      <c r="R217" s="3" t="s">
        <v>66</v>
      </c>
      <c r="S217" s="4">
        <v>1</v>
      </c>
      <c r="T217" s="4">
        <v>1</v>
      </c>
      <c r="U217" s="5" t="s">
        <v>2778</v>
      </c>
      <c r="V217" s="5" t="s">
        <v>2778</v>
      </c>
      <c r="W217" s="5" t="s">
        <v>2779</v>
      </c>
      <c r="X217" s="5" t="s">
        <v>2779</v>
      </c>
      <c r="Y217" s="4">
        <v>205</v>
      </c>
      <c r="Z217" s="4">
        <v>132</v>
      </c>
      <c r="AA217" s="4">
        <v>207</v>
      </c>
      <c r="AB217" s="4">
        <v>1</v>
      </c>
      <c r="AC217" s="4">
        <v>3</v>
      </c>
      <c r="AD217" s="4">
        <v>5</v>
      </c>
      <c r="AE217" s="4">
        <v>9</v>
      </c>
      <c r="AF217" s="4">
        <v>1</v>
      </c>
      <c r="AG217" s="4">
        <v>2</v>
      </c>
      <c r="AH217" s="4">
        <v>4</v>
      </c>
      <c r="AI217" s="4">
        <v>5</v>
      </c>
      <c r="AJ217" s="4">
        <v>2</v>
      </c>
      <c r="AK217" s="4">
        <v>3</v>
      </c>
      <c r="AL217" s="4">
        <v>0</v>
      </c>
      <c r="AM217" s="4">
        <v>2</v>
      </c>
      <c r="AN217" s="4">
        <v>0</v>
      </c>
      <c r="AO217" s="4">
        <v>0</v>
      </c>
      <c r="AP217" s="3" t="s">
        <v>58</v>
      </c>
      <c r="AQ217" s="3" t="s">
        <v>58</v>
      </c>
      <c r="AS217" s="6" t="str">
        <f>HYPERLINK("https://creighton-primo.hosted.exlibrisgroup.com/primo-explore/search?tab=default_tab&amp;search_scope=EVERYTHING&amp;vid=01CRU&amp;lang=en_US&amp;offset=0&amp;query=any,contains,991000406279702656","Catalog Record")</f>
        <v>Catalog Record</v>
      </c>
      <c r="AT217" s="6" t="str">
        <f>HYPERLINK("http://www.worldcat.org/oclc/54034861","WorldCat Record")</f>
        <v>WorldCat Record</v>
      </c>
      <c r="AU217" s="3" t="s">
        <v>2780</v>
      </c>
      <c r="AV217" s="3" t="s">
        <v>2781</v>
      </c>
      <c r="AW217" s="3" t="s">
        <v>2782</v>
      </c>
      <c r="AX217" s="3" t="s">
        <v>2782</v>
      </c>
      <c r="AY217" s="3" t="s">
        <v>2783</v>
      </c>
      <c r="AZ217" s="3" t="s">
        <v>73</v>
      </c>
      <c r="BB217" s="3" t="s">
        <v>2784</v>
      </c>
      <c r="BC217" s="3" t="s">
        <v>2785</v>
      </c>
      <c r="BD217" s="3" t="s">
        <v>2786</v>
      </c>
    </row>
    <row r="218" spans="1:56" ht="40.5" customHeight="1" x14ac:dyDescent="0.25">
      <c r="A218" s="7" t="s">
        <v>58</v>
      </c>
      <c r="B218" s="2" t="s">
        <v>2787</v>
      </c>
      <c r="C218" s="2" t="s">
        <v>2788</v>
      </c>
      <c r="D218" s="2" t="s">
        <v>2789</v>
      </c>
      <c r="F218" s="3" t="s">
        <v>58</v>
      </c>
      <c r="G218" s="3" t="s">
        <v>59</v>
      </c>
      <c r="H218" s="3" t="s">
        <v>58</v>
      </c>
      <c r="I218" s="3" t="s">
        <v>58</v>
      </c>
      <c r="J218" s="3" t="s">
        <v>60</v>
      </c>
      <c r="K218" s="2" t="s">
        <v>2790</v>
      </c>
      <c r="L218" s="2" t="s">
        <v>2791</v>
      </c>
      <c r="M218" s="3" t="s">
        <v>2126</v>
      </c>
      <c r="O218" s="3" t="s">
        <v>64</v>
      </c>
      <c r="P218" s="3" t="s">
        <v>886</v>
      </c>
      <c r="R218" s="3" t="s">
        <v>66</v>
      </c>
      <c r="S218" s="4">
        <v>0</v>
      </c>
      <c r="T218" s="4">
        <v>0</v>
      </c>
      <c r="U218" s="5" t="s">
        <v>2127</v>
      </c>
      <c r="V218" s="5" t="s">
        <v>2127</v>
      </c>
      <c r="W218" s="5" t="s">
        <v>2128</v>
      </c>
      <c r="X218" s="5" t="s">
        <v>2128</v>
      </c>
      <c r="Y218" s="4">
        <v>82</v>
      </c>
      <c r="Z218" s="4">
        <v>51</v>
      </c>
      <c r="AA218" s="4">
        <v>105</v>
      </c>
      <c r="AB218" s="4">
        <v>1</v>
      </c>
      <c r="AC218" s="4">
        <v>1</v>
      </c>
      <c r="AD218" s="4">
        <v>1</v>
      </c>
      <c r="AE218" s="4">
        <v>1</v>
      </c>
      <c r="AF218" s="4">
        <v>0</v>
      </c>
      <c r="AG218" s="4">
        <v>0</v>
      </c>
      <c r="AH218" s="4">
        <v>0</v>
      </c>
      <c r="AI218" s="4">
        <v>0</v>
      </c>
      <c r="AJ218" s="4">
        <v>1</v>
      </c>
      <c r="AK218" s="4">
        <v>1</v>
      </c>
      <c r="AL218" s="4">
        <v>0</v>
      </c>
      <c r="AM218" s="4">
        <v>0</v>
      </c>
      <c r="AN218" s="4">
        <v>0</v>
      </c>
      <c r="AO218" s="4">
        <v>0</v>
      </c>
      <c r="AP218" s="3" t="s">
        <v>58</v>
      </c>
      <c r="AQ218" s="3" t="s">
        <v>58</v>
      </c>
      <c r="AS218" s="6" t="str">
        <f>HYPERLINK("https://creighton-primo.hosted.exlibrisgroup.com/primo-explore/search?tab=default_tab&amp;search_scope=EVERYTHING&amp;vid=01CRU&amp;lang=en_US&amp;offset=0&amp;query=any,contains,991000661899702656","Catalog Record")</f>
        <v>Catalog Record</v>
      </c>
      <c r="AT218" s="6" t="str">
        <f>HYPERLINK("http://www.worldcat.org/oclc/71842749","WorldCat Record")</f>
        <v>WorldCat Record</v>
      </c>
      <c r="AU218" s="3" t="s">
        <v>2792</v>
      </c>
      <c r="AV218" s="3" t="s">
        <v>2793</v>
      </c>
      <c r="AW218" s="3" t="s">
        <v>2794</v>
      </c>
      <c r="AX218" s="3" t="s">
        <v>2794</v>
      </c>
      <c r="AY218" s="3" t="s">
        <v>2795</v>
      </c>
      <c r="AZ218" s="3" t="s">
        <v>73</v>
      </c>
      <c r="BB218" s="3" t="s">
        <v>2796</v>
      </c>
      <c r="BC218" s="3" t="s">
        <v>2797</v>
      </c>
      <c r="BD218" s="3" t="s">
        <v>2798</v>
      </c>
    </row>
    <row r="219" spans="1:56" ht="40.5" customHeight="1" x14ac:dyDescent="0.25">
      <c r="A219" s="7" t="s">
        <v>58</v>
      </c>
      <c r="B219" s="2" t="s">
        <v>2799</v>
      </c>
      <c r="C219" s="2" t="s">
        <v>2800</v>
      </c>
      <c r="D219" s="2" t="s">
        <v>2801</v>
      </c>
      <c r="F219" s="3" t="s">
        <v>58</v>
      </c>
      <c r="G219" s="3" t="s">
        <v>59</v>
      </c>
      <c r="H219" s="3" t="s">
        <v>58</v>
      </c>
      <c r="I219" s="3" t="s">
        <v>58</v>
      </c>
      <c r="J219" s="3" t="s">
        <v>60</v>
      </c>
      <c r="K219" s="2" t="s">
        <v>2802</v>
      </c>
      <c r="L219" s="2" t="s">
        <v>212</v>
      </c>
      <c r="M219" s="3" t="s">
        <v>213</v>
      </c>
      <c r="N219" s="2" t="s">
        <v>2803</v>
      </c>
      <c r="O219" s="3" t="s">
        <v>64</v>
      </c>
      <c r="P219" s="3" t="s">
        <v>117</v>
      </c>
      <c r="Q219" s="2" t="s">
        <v>2804</v>
      </c>
      <c r="R219" s="3" t="s">
        <v>66</v>
      </c>
      <c r="S219" s="4">
        <v>7</v>
      </c>
      <c r="T219" s="4">
        <v>7</v>
      </c>
      <c r="U219" s="5" t="s">
        <v>2805</v>
      </c>
      <c r="V219" s="5" t="s">
        <v>2805</v>
      </c>
      <c r="W219" s="5" t="s">
        <v>1286</v>
      </c>
      <c r="X219" s="5" t="s">
        <v>1286</v>
      </c>
      <c r="Y219" s="4">
        <v>336</v>
      </c>
      <c r="Z219" s="4">
        <v>248</v>
      </c>
      <c r="AA219" s="4">
        <v>451</v>
      </c>
      <c r="AB219" s="4">
        <v>2</v>
      </c>
      <c r="AC219" s="4">
        <v>4</v>
      </c>
      <c r="AD219" s="4">
        <v>8</v>
      </c>
      <c r="AE219" s="4">
        <v>17</v>
      </c>
      <c r="AF219" s="4">
        <v>0</v>
      </c>
      <c r="AG219" s="4">
        <v>4</v>
      </c>
      <c r="AH219" s="4">
        <v>3</v>
      </c>
      <c r="AI219" s="4">
        <v>3</v>
      </c>
      <c r="AJ219" s="4">
        <v>5</v>
      </c>
      <c r="AK219" s="4">
        <v>8</v>
      </c>
      <c r="AL219" s="4">
        <v>1</v>
      </c>
      <c r="AM219" s="4">
        <v>3</v>
      </c>
      <c r="AN219" s="4">
        <v>0</v>
      </c>
      <c r="AO219" s="4">
        <v>0</v>
      </c>
      <c r="AP219" s="3" t="s">
        <v>58</v>
      </c>
      <c r="AQ219" s="3" t="s">
        <v>85</v>
      </c>
      <c r="AR219" s="6" t="str">
        <f>HYPERLINK("http://catalog.hathitrust.org/Record/007474940","HathiTrust Record")</f>
        <v>HathiTrust Record</v>
      </c>
      <c r="AS219" s="6" t="str">
        <f>HYPERLINK("https://creighton-primo.hosted.exlibrisgroup.com/primo-explore/search?tab=default_tab&amp;search_scope=EVERYTHING&amp;vid=01CRU&amp;lang=en_US&amp;offset=0&amp;query=any,contains,991000898149702656","Catalog Record")</f>
        <v>Catalog Record</v>
      </c>
      <c r="AT219" s="6" t="str">
        <f>HYPERLINK("http://www.worldcat.org/oclc/2213264","WorldCat Record")</f>
        <v>WorldCat Record</v>
      </c>
      <c r="AU219" s="3" t="s">
        <v>2806</v>
      </c>
      <c r="AV219" s="3" t="s">
        <v>2807</v>
      </c>
      <c r="AW219" s="3" t="s">
        <v>2808</v>
      </c>
      <c r="AX219" s="3" t="s">
        <v>2808</v>
      </c>
      <c r="AY219" s="3" t="s">
        <v>2809</v>
      </c>
      <c r="AZ219" s="3" t="s">
        <v>73</v>
      </c>
      <c r="BB219" s="3" t="s">
        <v>2810</v>
      </c>
      <c r="BC219" s="3" t="s">
        <v>2811</v>
      </c>
      <c r="BD219" s="3" t="s">
        <v>2812</v>
      </c>
    </row>
    <row r="220" spans="1:56" ht="40.5" customHeight="1" x14ac:dyDescent="0.25">
      <c r="A220" s="7" t="s">
        <v>58</v>
      </c>
      <c r="B220" s="2" t="s">
        <v>2813</v>
      </c>
      <c r="C220" s="2" t="s">
        <v>2814</v>
      </c>
      <c r="D220" s="2" t="s">
        <v>2815</v>
      </c>
      <c r="F220" s="3" t="s">
        <v>58</v>
      </c>
      <c r="G220" s="3" t="s">
        <v>59</v>
      </c>
      <c r="H220" s="3" t="s">
        <v>58</v>
      </c>
      <c r="I220" s="3" t="s">
        <v>58</v>
      </c>
      <c r="J220" s="3" t="s">
        <v>60</v>
      </c>
      <c r="L220" s="2" t="s">
        <v>2297</v>
      </c>
      <c r="M220" s="3" t="s">
        <v>303</v>
      </c>
      <c r="O220" s="3" t="s">
        <v>64</v>
      </c>
      <c r="P220" s="3" t="s">
        <v>886</v>
      </c>
      <c r="R220" s="3" t="s">
        <v>66</v>
      </c>
      <c r="S220" s="4">
        <v>2</v>
      </c>
      <c r="T220" s="4">
        <v>2</v>
      </c>
      <c r="U220" s="5" t="s">
        <v>2298</v>
      </c>
      <c r="V220" s="5" t="s">
        <v>2298</v>
      </c>
      <c r="W220" s="5" t="s">
        <v>2298</v>
      </c>
      <c r="X220" s="5" t="s">
        <v>2298</v>
      </c>
      <c r="Y220" s="4">
        <v>104</v>
      </c>
      <c r="Z220" s="4">
        <v>80</v>
      </c>
      <c r="AA220" s="4">
        <v>81</v>
      </c>
      <c r="AB220" s="4">
        <v>1</v>
      </c>
      <c r="AC220" s="4">
        <v>1</v>
      </c>
      <c r="AD220" s="4">
        <v>4</v>
      </c>
      <c r="AE220" s="4">
        <v>4</v>
      </c>
      <c r="AF220" s="4">
        <v>1</v>
      </c>
      <c r="AG220" s="4">
        <v>1</v>
      </c>
      <c r="AH220" s="4">
        <v>3</v>
      </c>
      <c r="AI220" s="4">
        <v>3</v>
      </c>
      <c r="AJ220" s="4">
        <v>1</v>
      </c>
      <c r="AK220" s="4">
        <v>1</v>
      </c>
      <c r="AL220" s="4">
        <v>0</v>
      </c>
      <c r="AM220" s="4">
        <v>0</v>
      </c>
      <c r="AN220" s="4">
        <v>0</v>
      </c>
      <c r="AO220" s="4">
        <v>0</v>
      </c>
      <c r="AP220" s="3" t="s">
        <v>58</v>
      </c>
      <c r="AQ220" s="3" t="s">
        <v>58</v>
      </c>
      <c r="AS220" s="6" t="str">
        <f>HYPERLINK("https://creighton-primo.hosted.exlibrisgroup.com/primo-explore/search?tab=default_tab&amp;search_scope=EVERYTHING&amp;vid=01CRU&amp;lang=en_US&amp;offset=0&amp;query=any,contains,991001560739702656","Catalog Record")</f>
        <v>Catalog Record</v>
      </c>
      <c r="AT220" s="6" t="str">
        <f>HYPERLINK("http://www.worldcat.org/oclc/33008055","WorldCat Record")</f>
        <v>WorldCat Record</v>
      </c>
      <c r="AU220" s="3" t="s">
        <v>2816</v>
      </c>
      <c r="AV220" s="3" t="s">
        <v>2817</v>
      </c>
      <c r="AW220" s="3" t="s">
        <v>2818</v>
      </c>
      <c r="AX220" s="3" t="s">
        <v>2818</v>
      </c>
      <c r="AY220" s="3" t="s">
        <v>2819</v>
      </c>
      <c r="AZ220" s="3" t="s">
        <v>73</v>
      </c>
      <c r="BB220" s="3" t="s">
        <v>2820</v>
      </c>
      <c r="BC220" s="3" t="s">
        <v>2821</v>
      </c>
      <c r="BD220" s="3" t="s">
        <v>2822</v>
      </c>
    </row>
    <row r="221" spans="1:56" ht="40.5" customHeight="1" x14ac:dyDescent="0.25">
      <c r="A221" s="7" t="s">
        <v>58</v>
      </c>
      <c r="B221" s="2" t="s">
        <v>2823</v>
      </c>
      <c r="C221" s="2" t="s">
        <v>2824</v>
      </c>
      <c r="D221" s="2" t="s">
        <v>2825</v>
      </c>
      <c r="E221" s="3" t="s">
        <v>628</v>
      </c>
      <c r="F221" s="3" t="s">
        <v>85</v>
      </c>
      <c r="G221" s="3" t="s">
        <v>59</v>
      </c>
      <c r="H221" s="3" t="s">
        <v>85</v>
      </c>
      <c r="I221" s="3" t="s">
        <v>58</v>
      </c>
      <c r="J221" s="3" t="s">
        <v>60</v>
      </c>
      <c r="L221" s="2" t="s">
        <v>1378</v>
      </c>
      <c r="M221" s="3" t="s">
        <v>496</v>
      </c>
      <c r="O221" s="3" t="s">
        <v>64</v>
      </c>
      <c r="P221" s="3" t="s">
        <v>65</v>
      </c>
      <c r="R221" s="3" t="s">
        <v>66</v>
      </c>
      <c r="S221" s="4">
        <v>9</v>
      </c>
      <c r="T221" s="4">
        <v>9</v>
      </c>
      <c r="U221" s="5" t="s">
        <v>2826</v>
      </c>
      <c r="V221" s="5" t="s">
        <v>2826</v>
      </c>
      <c r="W221" s="5" t="s">
        <v>2555</v>
      </c>
      <c r="X221" s="5" t="s">
        <v>2555</v>
      </c>
      <c r="Y221" s="4">
        <v>530</v>
      </c>
      <c r="Z221" s="4">
        <v>399</v>
      </c>
      <c r="AA221" s="4">
        <v>405</v>
      </c>
      <c r="AB221" s="4">
        <v>3</v>
      </c>
      <c r="AC221" s="4">
        <v>3</v>
      </c>
      <c r="AD221" s="4">
        <v>9</v>
      </c>
      <c r="AE221" s="4">
        <v>9</v>
      </c>
      <c r="AF221" s="4">
        <v>1</v>
      </c>
      <c r="AG221" s="4">
        <v>1</v>
      </c>
      <c r="AH221" s="4">
        <v>3</v>
      </c>
      <c r="AI221" s="4">
        <v>3</v>
      </c>
      <c r="AJ221" s="4">
        <v>6</v>
      </c>
      <c r="AK221" s="4">
        <v>6</v>
      </c>
      <c r="AL221" s="4">
        <v>1</v>
      </c>
      <c r="AM221" s="4">
        <v>1</v>
      </c>
      <c r="AN221" s="4">
        <v>0</v>
      </c>
      <c r="AO221" s="4">
        <v>0</v>
      </c>
      <c r="AP221" s="3" t="s">
        <v>58</v>
      </c>
      <c r="AQ221" s="3" t="s">
        <v>85</v>
      </c>
      <c r="AR221" s="6" t="str">
        <f>HYPERLINK("http://catalog.hathitrust.org/Record/000208455","HathiTrust Record")</f>
        <v>HathiTrust Record</v>
      </c>
      <c r="AS221" s="6" t="str">
        <f>HYPERLINK("https://creighton-primo.hosted.exlibrisgroup.com/primo-explore/search?tab=default_tab&amp;search_scope=EVERYTHING&amp;vid=01CRU&amp;lang=en_US&amp;offset=0&amp;query=any,contains,991000573999702656","Catalog Record")</f>
        <v>Catalog Record</v>
      </c>
      <c r="AT221" s="6" t="str">
        <f>HYPERLINK("http://www.worldcat.org/oclc/9757331","WorldCat Record")</f>
        <v>WorldCat Record</v>
      </c>
      <c r="AU221" s="3" t="s">
        <v>2827</v>
      </c>
      <c r="AV221" s="3" t="s">
        <v>2828</v>
      </c>
      <c r="AW221" s="3" t="s">
        <v>2829</v>
      </c>
      <c r="AX221" s="3" t="s">
        <v>2829</v>
      </c>
      <c r="AY221" s="3" t="s">
        <v>2830</v>
      </c>
      <c r="AZ221" s="3" t="s">
        <v>73</v>
      </c>
      <c r="BB221" s="3" t="s">
        <v>2831</v>
      </c>
      <c r="BC221" s="3" t="s">
        <v>2832</v>
      </c>
      <c r="BD221" s="3" t="s">
        <v>2833</v>
      </c>
    </row>
    <row r="222" spans="1:56" ht="40.5" customHeight="1" x14ac:dyDescent="0.25">
      <c r="A222" s="7" t="s">
        <v>58</v>
      </c>
      <c r="B222" s="2" t="s">
        <v>2834</v>
      </c>
      <c r="C222" s="2" t="s">
        <v>2835</v>
      </c>
      <c r="D222" s="2" t="s">
        <v>2836</v>
      </c>
      <c r="F222" s="3" t="s">
        <v>58</v>
      </c>
      <c r="G222" s="3" t="s">
        <v>59</v>
      </c>
      <c r="H222" s="3" t="s">
        <v>58</v>
      </c>
      <c r="I222" s="3" t="s">
        <v>58</v>
      </c>
      <c r="J222" s="3" t="s">
        <v>60</v>
      </c>
      <c r="L222" s="2" t="s">
        <v>2837</v>
      </c>
      <c r="M222" s="3" t="s">
        <v>1267</v>
      </c>
      <c r="O222" s="3" t="s">
        <v>64</v>
      </c>
      <c r="P222" s="3" t="s">
        <v>886</v>
      </c>
      <c r="Q222" s="2" t="s">
        <v>2838</v>
      </c>
      <c r="R222" s="3" t="s">
        <v>66</v>
      </c>
      <c r="S222" s="4">
        <v>0</v>
      </c>
      <c r="T222" s="4">
        <v>0</v>
      </c>
      <c r="U222" s="5" t="s">
        <v>2839</v>
      </c>
      <c r="V222" s="5" t="s">
        <v>2839</v>
      </c>
      <c r="W222" s="5" t="s">
        <v>2840</v>
      </c>
      <c r="X222" s="5" t="s">
        <v>2840</v>
      </c>
      <c r="Y222" s="4">
        <v>216</v>
      </c>
      <c r="Z222" s="4">
        <v>173</v>
      </c>
      <c r="AA222" s="4">
        <v>203</v>
      </c>
      <c r="AB222" s="4">
        <v>2</v>
      </c>
      <c r="AC222" s="4">
        <v>2</v>
      </c>
      <c r="AD222" s="4">
        <v>7</v>
      </c>
      <c r="AE222" s="4">
        <v>7</v>
      </c>
      <c r="AF222" s="4">
        <v>2</v>
      </c>
      <c r="AG222" s="4">
        <v>2</v>
      </c>
      <c r="AH222" s="4">
        <v>4</v>
      </c>
      <c r="AI222" s="4">
        <v>4</v>
      </c>
      <c r="AJ222" s="4">
        <v>3</v>
      </c>
      <c r="AK222" s="4">
        <v>3</v>
      </c>
      <c r="AL222" s="4">
        <v>1</v>
      </c>
      <c r="AM222" s="4">
        <v>1</v>
      </c>
      <c r="AN222" s="4">
        <v>0</v>
      </c>
      <c r="AO222" s="4">
        <v>0</v>
      </c>
      <c r="AP222" s="3" t="s">
        <v>58</v>
      </c>
      <c r="AQ222" s="3" t="s">
        <v>58</v>
      </c>
      <c r="AS222" s="6" t="str">
        <f>HYPERLINK("https://creighton-primo.hosted.exlibrisgroup.com/primo-explore/search?tab=default_tab&amp;search_scope=EVERYTHING&amp;vid=01CRU&amp;lang=en_US&amp;offset=0&amp;query=any,contains,991001577509702656","Catalog Record")</f>
        <v>Catalog Record</v>
      </c>
      <c r="AT222" s="6" t="str">
        <f>HYPERLINK("http://www.worldcat.org/oclc/40534144","WorldCat Record")</f>
        <v>WorldCat Record</v>
      </c>
      <c r="AU222" s="3" t="s">
        <v>2841</v>
      </c>
      <c r="AV222" s="3" t="s">
        <v>2842</v>
      </c>
      <c r="AW222" s="3" t="s">
        <v>2843</v>
      </c>
      <c r="AX222" s="3" t="s">
        <v>2843</v>
      </c>
      <c r="AY222" s="3" t="s">
        <v>2844</v>
      </c>
      <c r="AZ222" s="3" t="s">
        <v>73</v>
      </c>
      <c r="BB222" s="3" t="s">
        <v>2845</v>
      </c>
      <c r="BC222" s="3" t="s">
        <v>2846</v>
      </c>
      <c r="BD222" s="3" t="s">
        <v>2847</v>
      </c>
    </row>
    <row r="223" spans="1:56" ht="40.5" customHeight="1" x14ac:dyDescent="0.25">
      <c r="A223" s="7" t="s">
        <v>58</v>
      </c>
      <c r="B223" s="2" t="s">
        <v>2848</v>
      </c>
      <c r="C223" s="2" t="s">
        <v>2849</v>
      </c>
      <c r="D223" s="2" t="s">
        <v>2850</v>
      </c>
      <c r="F223" s="3" t="s">
        <v>58</v>
      </c>
      <c r="G223" s="3" t="s">
        <v>59</v>
      </c>
      <c r="H223" s="3" t="s">
        <v>58</v>
      </c>
      <c r="I223" s="3" t="s">
        <v>58</v>
      </c>
      <c r="J223" s="3" t="s">
        <v>60</v>
      </c>
      <c r="L223" s="2" t="s">
        <v>2851</v>
      </c>
      <c r="M223" s="3" t="s">
        <v>213</v>
      </c>
      <c r="O223" s="3" t="s">
        <v>64</v>
      </c>
      <c r="P223" s="3" t="s">
        <v>319</v>
      </c>
      <c r="R223" s="3" t="s">
        <v>66</v>
      </c>
      <c r="S223" s="4">
        <v>3</v>
      </c>
      <c r="T223" s="4">
        <v>3</v>
      </c>
      <c r="U223" s="5" t="s">
        <v>2852</v>
      </c>
      <c r="V223" s="5" t="s">
        <v>2852</v>
      </c>
      <c r="W223" s="5" t="s">
        <v>1286</v>
      </c>
      <c r="X223" s="5" t="s">
        <v>1286</v>
      </c>
      <c r="Y223" s="4">
        <v>193</v>
      </c>
      <c r="Z223" s="4">
        <v>170</v>
      </c>
      <c r="AA223" s="4">
        <v>208</v>
      </c>
      <c r="AB223" s="4">
        <v>1</v>
      </c>
      <c r="AC223" s="4">
        <v>2</v>
      </c>
      <c r="AD223" s="4">
        <v>6</v>
      </c>
      <c r="AE223" s="4">
        <v>9</v>
      </c>
      <c r="AF223" s="4">
        <v>2</v>
      </c>
      <c r="AG223" s="4">
        <v>2</v>
      </c>
      <c r="AH223" s="4">
        <v>2</v>
      </c>
      <c r="AI223" s="4">
        <v>3</v>
      </c>
      <c r="AJ223" s="4">
        <v>3</v>
      </c>
      <c r="AK223" s="4">
        <v>5</v>
      </c>
      <c r="AL223" s="4">
        <v>0</v>
      </c>
      <c r="AM223" s="4">
        <v>1</v>
      </c>
      <c r="AN223" s="4">
        <v>0</v>
      </c>
      <c r="AO223" s="4">
        <v>0</v>
      </c>
      <c r="AP223" s="3" t="s">
        <v>58</v>
      </c>
      <c r="AQ223" s="3" t="s">
        <v>85</v>
      </c>
      <c r="AR223" s="6" t="str">
        <f>HYPERLINK("http://catalog.hathitrust.org/Record/000693642","HathiTrust Record")</f>
        <v>HathiTrust Record</v>
      </c>
      <c r="AS223" s="6" t="str">
        <f>HYPERLINK("https://creighton-primo.hosted.exlibrisgroup.com/primo-explore/search?tab=default_tab&amp;search_scope=EVERYTHING&amp;vid=01CRU&amp;lang=en_US&amp;offset=0&amp;query=any,contains,991000898489702656","Catalog Record")</f>
        <v>Catalog Record</v>
      </c>
      <c r="AT223" s="6" t="str">
        <f>HYPERLINK("http://www.worldcat.org/oclc/1858465","WorldCat Record")</f>
        <v>WorldCat Record</v>
      </c>
      <c r="AU223" s="3" t="s">
        <v>2853</v>
      </c>
      <c r="AV223" s="3" t="s">
        <v>2854</v>
      </c>
      <c r="AW223" s="3" t="s">
        <v>2855</v>
      </c>
      <c r="AX223" s="3" t="s">
        <v>2855</v>
      </c>
      <c r="AY223" s="3" t="s">
        <v>2856</v>
      </c>
      <c r="AZ223" s="3" t="s">
        <v>73</v>
      </c>
      <c r="BB223" s="3" t="s">
        <v>2857</v>
      </c>
      <c r="BC223" s="3" t="s">
        <v>2858</v>
      </c>
      <c r="BD223" s="3" t="s">
        <v>2859</v>
      </c>
    </row>
    <row r="224" spans="1:56" ht="40.5" customHeight="1" x14ac:dyDescent="0.25">
      <c r="A224" s="7" t="s">
        <v>58</v>
      </c>
      <c r="B224" s="2" t="s">
        <v>2860</v>
      </c>
      <c r="C224" s="2" t="s">
        <v>2861</v>
      </c>
      <c r="D224" s="2" t="s">
        <v>2862</v>
      </c>
      <c r="E224" s="3" t="s">
        <v>96</v>
      </c>
      <c r="F224" s="3" t="s">
        <v>58</v>
      </c>
      <c r="G224" s="3" t="s">
        <v>59</v>
      </c>
      <c r="H224" s="3" t="s">
        <v>58</v>
      </c>
      <c r="I224" s="3" t="s">
        <v>58</v>
      </c>
      <c r="J224" s="3" t="s">
        <v>60</v>
      </c>
      <c r="L224" s="2" t="s">
        <v>2863</v>
      </c>
      <c r="M224" s="3" t="s">
        <v>197</v>
      </c>
      <c r="O224" s="3" t="s">
        <v>64</v>
      </c>
      <c r="P224" s="3" t="s">
        <v>65</v>
      </c>
      <c r="Q224" s="2" t="s">
        <v>2864</v>
      </c>
      <c r="R224" s="3" t="s">
        <v>66</v>
      </c>
      <c r="S224" s="4">
        <v>6</v>
      </c>
      <c r="T224" s="4">
        <v>6</v>
      </c>
      <c r="U224" s="5" t="s">
        <v>2865</v>
      </c>
      <c r="V224" s="5" t="s">
        <v>2865</v>
      </c>
      <c r="W224" s="5" t="s">
        <v>2866</v>
      </c>
      <c r="X224" s="5" t="s">
        <v>2866</v>
      </c>
      <c r="Y224" s="4">
        <v>71</v>
      </c>
      <c r="Z224" s="4">
        <v>46</v>
      </c>
      <c r="AA224" s="4">
        <v>48</v>
      </c>
      <c r="AB224" s="4">
        <v>1</v>
      </c>
      <c r="AC224" s="4">
        <v>1</v>
      </c>
      <c r="AD224" s="4">
        <v>0</v>
      </c>
      <c r="AE224" s="4">
        <v>0</v>
      </c>
      <c r="AF224" s="4">
        <v>0</v>
      </c>
      <c r="AG224" s="4">
        <v>0</v>
      </c>
      <c r="AH224" s="4">
        <v>0</v>
      </c>
      <c r="AI224" s="4">
        <v>0</v>
      </c>
      <c r="AJ224" s="4">
        <v>0</v>
      </c>
      <c r="AK224" s="4">
        <v>0</v>
      </c>
      <c r="AL224" s="4">
        <v>0</v>
      </c>
      <c r="AM224" s="4">
        <v>0</v>
      </c>
      <c r="AN224" s="4">
        <v>0</v>
      </c>
      <c r="AO224" s="4">
        <v>0</v>
      </c>
      <c r="AP224" s="3" t="s">
        <v>58</v>
      </c>
      <c r="AQ224" s="3" t="s">
        <v>85</v>
      </c>
      <c r="AR224" s="6" t="str">
        <f>HYPERLINK("http://catalog.hathitrust.org/Record/000940065","HathiTrust Record")</f>
        <v>HathiTrust Record</v>
      </c>
      <c r="AS224" s="6" t="str">
        <f>HYPERLINK("https://creighton-primo.hosted.exlibrisgroup.com/primo-explore/search?tab=default_tab&amp;search_scope=EVERYTHING&amp;vid=01CRU&amp;lang=en_US&amp;offset=0&amp;query=any,contains,991001118529702656","Catalog Record")</f>
        <v>Catalog Record</v>
      </c>
      <c r="AT224" s="6" t="str">
        <f>HYPERLINK("http://www.worldcat.org/oclc/17727409","WorldCat Record")</f>
        <v>WorldCat Record</v>
      </c>
      <c r="AU224" s="3" t="s">
        <v>2867</v>
      </c>
      <c r="AV224" s="3" t="s">
        <v>2868</v>
      </c>
      <c r="AW224" s="3" t="s">
        <v>2869</v>
      </c>
      <c r="AX224" s="3" t="s">
        <v>2869</v>
      </c>
      <c r="AY224" s="3" t="s">
        <v>2870</v>
      </c>
      <c r="AZ224" s="3" t="s">
        <v>73</v>
      </c>
      <c r="BB224" s="3" t="s">
        <v>2871</v>
      </c>
      <c r="BC224" s="3" t="s">
        <v>2872</v>
      </c>
      <c r="BD224" s="3" t="s">
        <v>2873</v>
      </c>
    </row>
    <row r="225" spans="1:56" ht="40.5" customHeight="1" x14ac:dyDescent="0.25">
      <c r="A225" s="7" t="s">
        <v>58</v>
      </c>
      <c r="B225" s="2" t="s">
        <v>2874</v>
      </c>
      <c r="C225" s="2" t="s">
        <v>2875</v>
      </c>
      <c r="D225" s="2" t="s">
        <v>2876</v>
      </c>
      <c r="F225" s="3" t="s">
        <v>58</v>
      </c>
      <c r="G225" s="3" t="s">
        <v>59</v>
      </c>
      <c r="H225" s="3" t="s">
        <v>58</v>
      </c>
      <c r="I225" s="3" t="s">
        <v>58</v>
      </c>
      <c r="J225" s="3" t="s">
        <v>60</v>
      </c>
      <c r="K225" s="2" t="s">
        <v>2877</v>
      </c>
      <c r="L225" s="2" t="s">
        <v>2878</v>
      </c>
      <c r="M225" s="3" t="s">
        <v>197</v>
      </c>
      <c r="O225" s="3" t="s">
        <v>64</v>
      </c>
      <c r="P225" s="3" t="s">
        <v>396</v>
      </c>
      <c r="R225" s="3" t="s">
        <v>66</v>
      </c>
      <c r="S225" s="4">
        <v>10</v>
      </c>
      <c r="T225" s="4">
        <v>10</v>
      </c>
      <c r="U225" s="5" t="s">
        <v>2879</v>
      </c>
      <c r="V225" s="5" t="s">
        <v>2879</v>
      </c>
      <c r="W225" s="5" t="s">
        <v>2880</v>
      </c>
      <c r="X225" s="5" t="s">
        <v>2880</v>
      </c>
      <c r="Y225" s="4">
        <v>81</v>
      </c>
      <c r="Z225" s="4">
        <v>47</v>
      </c>
      <c r="AA225" s="4">
        <v>49</v>
      </c>
      <c r="AB225" s="4">
        <v>1</v>
      </c>
      <c r="AC225" s="4">
        <v>1</v>
      </c>
      <c r="AD225" s="4">
        <v>0</v>
      </c>
      <c r="AE225" s="4">
        <v>0</v>
      </c>
      <c r="AF225" s="4">
        <v>0</v>
      </c>
      <c r="AG225" s="4">
        <v>0</v>
      </c>
      <c r="AH225" s="4">
        <v>0</v>
      </c>
      <c r="AI225" s="4">
        <v>0</v>
      </c>
      <c r="AJ225" s="4">
        <v>0</v>
      </c>
      <c r="AK225" s="4">
        <v>0</v>
      </c>
      <c r="AL225" s="4">
        <v>0</v>
      </c>
      <c r="AM225" s="4">
        <v>0</v>
      </c>
      <c r="AN225" s="4">
        <v>0</v>
      </c>
      <c r="AO225" s="4">
        <v>0</v>
      </c>
      <c r="AP225" s="3" t="s">
        <v>58</v>
      </c>
      <c r="AQ225" s="3" t="s">
        <v>85</v>
      </c>
      <c r="AR225" s="6" t="str">
        <f>HYPERLINK("http://catalog.hathitrust.org/Record/001288964","HathiTrust Record")</f>
        <v>HathiTrust Record</v>
      </c>
      <c r="AS225" s="6" t="str">
        <f>HYPERLINK("https://creighton-primo.hosted.exlibrisgroup.com/primo-explore/search?tab=default_tab&amp;search_scope=EVERYTHING&amp;vid=01CRU&amp;lang=en_US&amp;offset=0&amp;query=any,contains,991001240509702656","Catalog Record")</f>
        <v>Catalog Record</v>
      </c>
      <c r="AT225" s="6" t="str">
        <f>HYPERLINK("http://www.worldcat.org/oclc/17918365","WorldCat Record")</f>
        <v>WorldCat Record</v>
      </c>
      <c r="AU225" s="3" t="s">
        <v>2881</v>
      </c>
      <c r="AV225" s="3" t="s">
        <v>2882</v>
      </c>
      <c r="AW225" s="3" t="s">
        <v>2883</v>
      </c>
      <c r="AX225" s="3" t="s">
        <v>2883</v>
      </c>
      <c r="AY225" s="3" t="s">
        <v>2884</v>
      </c>
      <c r="AZ225" s="3" t="s">
        <v>73</v>
      </c>
      <c r="BB225" s="3" t="s">
        <v>2885</v>
      </c>
      <c r="BC225" s="3" t="s">
        <v>2886</v>
      </c>
      <c r="BD225" s="3" t="s">
        <v>2887</v>
      </c>
    </row>
    <row r="226" spans="1:56" ht="40.5" customHeight="1" x14ac:dyDescent="0.25">
      <c r="A226" s="7" t="s">
        <v>58</v>
      </c>
      <c r="B226" s="2" t="s">
        <v>2888</v>
      </c>
      <c r="C226" s="2" t="s">
        <v>2889</v>
      </c>
      <c r="D226" s="2" t="s">
        <v>2890</v>
      </c>
      <c r="F226" s="3" t="s">
        <v>58</v>
      </c>
      <c r="G226" s="3" t="s">
        <v>59</v>
      </c>
      <c r="H226" s="3" t="s">
        <v>58</v>
      </c>
      <c r="I226" s="3" t="s">
        <v>58</v>
      </c>
      <c r="J226" s="3" t="s">
        <v>60</v>
      </c>
      <c r="L226" s="2" t="s">
        <v>2891</v>
      </c>
      <c r="M226" s="3" t="s">
        <v>614</v>
      </c>
      <c r="O226" s="3" t="s">
        <v>64</v>
      </c>
      <c r="P226" s="3" t="s">
        <v>65</v>
      </c>
      <c r="R226" s="3" t="s">
        <v>66</v>
      </c>
      <c r="S226" s="4">
        <v>5</v>
      </c>
      <c r="T226" s="4">
        <v>5</v>
      </c>
      <c r="U226" s="5" t="s">
        <v>2892</v>
      </c>
      <c r="V226" s="5" t="s">
        <v>2892</v>
      </c>
      <c r="W226" s="5" t="s">
        <v>2893</v>
      </c>
      <c r="X226" s="5" t="s">
        <v>2893</v>
      </c>
      <c r="Y226" s="4">
        <v>88</v>
      </c>
      <c r="Z226" s="4">
        <v>59</v>
      </c>
      <c r="AA226" s="4">
        <v>62</v>
      </c>
      <c r="AB226" s="4">
        <v>1</v>
      </c>
      <c r="AC226" s="4">
        <v>1</v>
      </c>
      <c r="AD226" s="4">
        <v>4</v>
      </c>
      <c r="AE226" s="4">
        <v>4</v>
      </c>
      <c r="AF226" s="4">
        <v>2</v>
      </c>
      <c r="AG226" s="4">
        <v>2</v>
      </c>
      <c r="AH226" s="4">
        <v>2</v>
      </c>
      <c r="AI226" s="4">
        <v>2</v>
      </c>
      <c r="AJ226" s="4">
        <v>2</v>
      </c>
      <c r="AK226" s="4">
        <v>2</v>
      </c>
      <c r="AL226" s="4">
        <v>0</v>
      </c>
      <c r="AM226" s="4">
        <v>0</v>
      </c>
      <c r="AN226" s="4">
        <v>0</v>
      </c>
      <c r="AO226" s="4">
        <v>0</v>
      </c>
      <c r="AP226" s="3" t="s">
        <v>58</v>
      </c>
      <c r="AQ226" s="3" t="s">
        <v>85</v>
      </c>
      <c r="AR226" s="6" t="str">
        <f>HYPERLINK("http://catalog.hathitrust.org/Record/009492080","HathiTrust Record")</f>
        <v>HathiTrust Record</v>
      </c>
      <c r="AS226" s="6" t="str">
        <f>HYPERLINK("https://creighton-primo.hosted.exlibrisgroup.com/primo-explore/search?tab=default_tab&amp;search_scope=EVERYTHING&amp;vid=01CRU&amp;lang=en_US&amp;offset=0&amp;query=any,contains,991001251719702656","Catalog Record")</f>
        <v>Catalog Record</v>
      </c>
      <c r="AT226" s="6" t="str">
        <f>HYPERLINK("http://www.worldcat.org/oclc/19125894","WorldCat Record")</f>
        <v>WorldCat Record</v>
      </c>
      <c r="AU226" s="3" t="s">
        <v>2894</v>
      </c>
      <c r="AV226" s="3" t="s">
        <v>2895</v>
      </c>
      <c r="AW226" s="3" t="s">
        <v>2896</v>
      </c>
      <c r="AX226" s="3" t="s">
        <v>2896</v>
      </c>
      <c r="AY226" s="3" t="s">
        <v>2897</v>
      </c>
      <c r="AZ226" s="3" t="s">
        <v>73</v>
      </c>
      <c r="BB226" s="3" t="s">
        <v>2898</v>
      </c>
      <c r="BC226" s="3" t="s">
        <v>2899</v>
      </c>
      <c r="BD226" s="3" t="s">
        <v>2900</v>
      </c>
    </row>
    <row r="227" spans="1:56" ht="40.5" customHeight="1" x14ac:dyDescent="0.25">
      <c r="A227" s="7" t="s">
        <v>58</v>
      </c>
      <c r="B227" s="2" t="s">
        <v>2901</v>
      </c>
      <c r="C227" s="2" t="s">
        <v>2902</v>
      </c>
      <c r="D227" s="2" t="s">
        <v>2903</v>
      </c>
      <c r="F227" s="3" t="s">
        <v>58</v>
      </c>
      <c r="G227" s="3" t="s">
        <v>59</v>
      </c>
      <c r="H227" s="3" t="s">
        <v>58</v>
      </c>
      <c r="I227" s="3" t="s">
        <v>58</v>
      </c>
      <c r="J227" s="3" t="s">
        <v>60</v>
      </c>
      <c r="L227" s="2" t="s">
        <v>2904</v>
      </c>
      <c r="M227" s="3" t="s">
        <v>1067</v>
      </c>
      <c r="O227" s="3" t="s">
        <v>64</v>
      </c>
      <c r="P227" s="3" t="s">
        <v>117</v>
      </c>
      <c r="Q227" s="2" t="s">
        <v>2905</v>
      </c>
      <c r="R227" s="3" t="s">
        <v>66</v>
      </c>
      <c r="S227" s="4">
        <v>8</v>
      </c>
      <c r="T227" s="4">
        <v>8</v>
      </c>
      <c r="U227" s="5" t="s">
        <v>2906</v>
      </c>
      <c r="V227" s="5" t="s">
        <v>2906</v>
      </c>
      <c r="W227" s="5" t="s">
        <v>2907</v>
      </c>
      <c r="X227" s="5" t="s">
        <v>2907</v>
      </c>
      <c r="Y227" s="4">
        <v>71</v>
      </c>
      <c r="Z227" s="4">
        <v>57</v>
      </c>
      <c r="AA227" s="4">
        <v>59</v>
      </c>
      <c r="AB227" s="4">
        <v>1</v>
      </c>
      <c r="AC227" s="4">
        <v>1</v>
      </c>
      <c r="AD227" s="4">
        <v>2</v>
      </c>
      <c r="AE227" s="4">
        <v>2</v>
      </c>
      <c r="AF227" s="4">
        <v>1</v>
      </c>
      <c r="AG227" s="4">
        <v>1</v>
      </c>
      <c r="AH227" s="4">
        <v>0</v>
      </c>
      <c r="AI227" s="4">
        <v>0</v>
      </c>
      <c r="AJ227" s="4">
        <v>1</v>
      </c>
      <c r="AK227" s="4">
        <v>1</v>
      </c>
      <c r="AL227" s="4">
        <v>0</v>
      </c>
      <c r="AM227" s="4">
        <v>0</v>
      </c>
      <c r="AN227" s="4">
        <v>0</v>
      </c>
      <c r="AO227" s="4">
        <v>0</v>
      </c>
      <c r="AP227" s="3" t="s">
        <v>58</v>
      </c>
      <c r="AQ227" s="3" t="s">
        <v>85</v>
      </c>
      <c r="AR227" s="6" t="str">
        <f>HYPERLINK("http://catalog.hathitrust.org/Record/002448202","HathiTrust Record")</f>
        <v>HathiTrust Record</v>
      </c>
      <c r="AS227" s="6" t="str">
        <f>HYPERLINK("https://creighton-primo.hosted.exlibrisgroup.com/primo-explore/search?tab=default_tab&amp;search_scope=EVERYTHING&amp;vid=01CRU&amp;lang=en_US&amp;offset=0&amp;query=any,contains,991000821439702656","Catalog Record")</f>
        <v>Catalog Record</v>
      </c>
      <c r="AT227" s="6" t="str">
        <f>HYPERLINK("http://www.worldcat.org/oclc/22345212","WorldCat Record")</f>
        <v>WorldCat Record</v>
      </c>
      <c r="AU227" s="3" t="s">
        <v>2908</v>
      </c>
      <c r="AV227" s="3" t="s">
        <v>2909</v>
      </c>
      <c r="AW227" s="3" t="s">
        <v>2910</v>
      </c>
      <c r="AX227" s="3" t="s">
        <v>2910</v>
      </c>
      <c r="AY227" s="3" t="s">
        <v>2911</v>
      </c>
      <c r="AZ227" s="3" t="s">
        <v>73</v>
      </c>
      <c r="BB227" s="3" t="s">
        <v>2912</v>
      </c>
      <c r="BC227" s="3" t="s">
        <v>2913</v>
      </c>
      <c r="BD227" s="3" t="s">
        <v>2914</v>
      </c>
    </row>
    <row r="228" spans="1:56" ht="40.5" customHeight="1" x14ac:dyDescent="0.25">
      <c r="A228" s="7" t="s">
        <v>58</v>
      </c>
      <c r="B228" s="2" t="s">
        <v>2915</v>
      </c>
      <c r="C228" s="2" t="s">
        <v>2916</v>
      </c>
      <c r="D228" s="2" t="s">
        <v>2917</v>
      </c>
      <c r="F228" s="3" t="s">
        <v>58</v>
      </c>
      <c r="G228" s="3" t="s">
        <v>59</v>
      </c>
      <c r="H228" s="3" t="s">
        <v>58</v>
      </c>
      <c r="I228" s="3" t="s">
        <v>58</v>
      </c>
      <c r="J228" s="3" t="s">
        <v>60</v>
      </c>
      <c r="L228" s="2" t="s">
        <v>1799</v>
      </c>
      <c r="M228" s="3" t="s">
        <v>831</v>
      </c>
      <c r="O228" s="3" t="s">
        <v>64</v>
      </c>
      <c r="P228" s="3" t="s">
        <v>366</v>
      </c>
      <c r="Q228" s="2" t="s">
        <v>2918</v>
      </c>
      <c r="R228" s="3" t="s">
        <v>66</v>
      </c>
      <c r="S228" s="4">
        <v>2</v>
      </c>
      <c r="T228" s="4">
        <v>2</v>
      </c>
      <c r="U228" s="5" t="s">
        <v>2919</v>
      </c>
      <c r="V228" s="5" t="s">
        <v>2919</v>
      </c>
      <c r="W228" s="5" t="s">
        <v>2920</v>
      </c>
      <c r="X228" s="5" t="s">
        <v>2920</v>
      </c>
      <c r="Y228" s="4">
        <v>155</v>
      </c>
      <c r="Z228" s="4">
        <v>103</v>
      </c>
      <c r="AA228" s="4">
        <v>169</v>
      </c>
      <c r="AB228" s="4">
        <v>2</v>
      </c>
      <c r="AC228" s="4">
        <v>3</v>
      </c>
      <c r="AD228" s="4">
        <v>2</v>
      </c>
      <c r="AE228" s="4">
        <v>5</v>
      </c>
      <c r="AF228" s="4">
        <v>0</v>
      </c>
      <c r="AG228" s="4">
        <v>1</v>
      </c>
      <c r="AH228" s="4">
        <v>0</v>
      </c>
      <c r="AI228" s="4">
        <v>1</v>
      </c>
      <c r="AJ228" s="4">
        <v>1</v>
      </c>
      <c r="AK228" s="4">
        <v>2</v>
      </c>
      <c r="AL228" s="4">
        <v>1</v>
      </c>
      <c r="AM228" s="4">
        <v>2</v>
      </c>
      <c r="AN228" s="4">
        <v>0</v>
      </c>
      <c r="AO228" s="4">
        <v>0</v>
      </c>
      <c r="AP228" s="3" t="s">
        <v>58</v>
      </c>
      <c r="AQ228" s="3" t="s">
        <v>58</v>
      </c>
      <c r="AS228" s="6" t="str">
        <f>HYPERLINK("https://creighton-primo.hosted.exlibrisgroup.com/primo-explore/search?tab=default_tab&amp;search_scope=EVERYTHING&amp;vid=01CRU&amp;lang=en_US&amp;offset=0&amp;query=any,contains,991001409099702656","Catalog Record")</f>
        <v>Catalog Record</v>
      </c>
      <c r="AT228" s="6" t="str">
        <f>HYPERLINK("http://www.worldcat.org/oclc/37480679","WorldCat Record")</f>
        <v>WorldCat Record</v>
      </c>
      <c r="AU228" s="3" t="s">
        <v>2921</v>
      </c>
      <c r="AV228" s="3" t="s">
        <v>2922</v>
      </c>
      <c r="AW228" s="3" t="s">
        <v>2923</v>
      </c>
      <c r="AX228" s="3" t="s">
        <v>2923</v>
      </c>
      <c r="AY228" s="3" t="s">
        <v>2924</v>
      </c>
      <c r="AZ228" s="3" t="s">
        <v>73</v>
      </c>
      <c r="BB228" s="3" t="s">
        <v>2925</v>
      </c>
      <c r="BC228" s="3" t="s">
        <v>2926</v>
      </c>
      <c r="BD228" s="3" t="s">
        <v>2927</v>
      </c>
    </row>
    <row r="229" spans="1:56" ht="40.5" customHeight="1" x14ac:dyDescent="0.25">
      <c r="A229" s="7" t="s">
        <v>58</v>
      </c>
      <c r="B229" s="2" t="s">
        <v>2928</v>
      </c>
      <c r="C229" s="2" t="s">
        <v>2929</v>
      </c>
      <c r="D229" s="2" t="s">
        <v>2930</v>
      </c>
      <c r="F229" s="3" t="s">
        <v>58</v>
      </c>
      <c r="G229" s="3" t="s">
        <v>59</v>
      </c>
      <c r="H229" s="3" t="s">
        <v>58</v>
      </c>
      <c r="I229" s="3" t="s">
        <v>58</v>
      </c>
      <c r="J229" s="3" t="s">
        <v>60</v>
      </c>
      <c r="K229" s="2" t="s">
        <v>2931</v>
      </c>
      <c r="L229" s="2" t="s">
        <v>2932</v>
      </c>
      <c r="M229" s="3" t="s">
        <v>496</v>
      </c>
      <c r="O229" s="3" t="s">
        <v>64</v>
      </c>
      <c r="P229" s="3" t="s">
        <v>230</v>
      </c>
      <c r="Q229" s="2" t="s">
        <v>2933</v>
      </c>
      <c r="R229" s="3" t="s">
        <v>66</v>
      </c>
      <c r="S229" s="4">
        <v>5</v>
      </c>
      <c r="T229" s="4">
        <v>5</v>
      </c>
      <c r="U229" s="5" t="s">
        <v>2934</v>
      </c>
      <c r="V229" s="5" t="s">
        <v>2934</v>
      </c>
      <c r="W229" s="5" t="s">
        <v>2555</v>
      </c>
      <c r="X229" s="5" t="s">
        <v>2555</v>
      </c>
      <c r="Y229" s="4">
        <v>117</v>
      </c>
      <c r="Z229" s="4">
        <v>92</v>
      </c>
      <c r="AA229" s="4">
        <v>94</v>
      </c>
      <c r="AB229" s="4">
        <v>2</v>
      </c>
      <c r="AC229" s="4">
        <v>2</v>
      </c>
      <c r="AD229" s="4">
        <v>1</v>
      </c>
      <c r="AE229" s="4">
        <v>1</v>
      </c>
      <c r="AF229" s="4">
        <v>0</v>
      </c>
      <c r="AG229" s="4">
        <v>0</v>
      </c>
      <c r="AH229" s="4">
        <v>0</v>
      </c>
      <c r="AI229" s="4">
        <v>0</v>
      </c>
      <c r="AJ229" s="4">
        <v>0</v>
      </c>
      <c r="AK229" s="4">
        <v>0</v>
      </c>
      <c r="AL229" s="4">
        <v>1</v>
      </c>
      <c r="AM229" s="4">
        <v>1</v>
      </c>
      <c r="AN229" s="4">
        <v>0</v>
      </c>
      <c r="AO229" s="4">
        <v>0</v>
      </c>
      <c r="AP229" s="3" t="s">
        <v>58</v>
      </c>
      <c r="AQ229" s="3" t="s">
        <v>85</v>
      </c>
      <c r="AR229" s="6" t="str">
        <f>HYPERLINK("http://catalog.hathitrust.org/Record/000460999","HathiTrust Record")</f>
        <v>HathiTrust Record</v>
      </c>
      <c r="AS229" s="6" t="str">
        <f>HYPERLINK("https://creighton-primo.hosted.exlibrisgroup.com/primo-explore/search?tab=default_tab&amp;search_scope=EVERYTHING&amp;vid=01CRU&amp;lang=en_US&amp;offset=0&amp;query=any,contains,991000898519702656","Catalog Record")</f>
        <v>Catalog Record</v>
      </c>
      <c r="AT229" s="6" t="str">
        <f>HYPERLINK("http://www.worldcat.org/oclc/11187843","WorldCat Record")</f>
        <v>WorldCat Record</v>
      </c>
      <c r="AU229" s="3" t="s">
        <v>2935</v>
      </c>
      <c r="AV229" s="3" t="s">
        <v>2936</v>
      </c>
      <c r="AW229" s="3" t="s">
        <v>2937</v>
      </c>
      <c r="AX229" s="3" t="s">
        <v>2937</v>
      </c>
      <c r="AY229" s="3" t="s">
        <v>2938</v>
      </c>
      <c r="AZ229" s="3" t="s">
        <v>73</v>
      </c>
      <c r="BB229" s="3" t="s">
        <v>2939</v>
      </c>
      <c r="BC229" s="3" t="s">
        <v>2940</v>
      </c>
      <c r="BD229" s="3" t="s">
        <v>2941</v>
      </c>
    </row>
    <row r="230" spans="1:56" ht="40.5" customHeight="1" x14ac:dyDescent="0.25">
      <c r="A230" s="7" t="s">
        <v>58</v>
      </c>
      <c r="B230" s="2" t="s">
        <v>2942</v>
      </c>
      <c r="C230" s="2" t="s">
        <v>2943</v>
      </c>
      <c r="D230" s="2" t="s">
        <v>2944</v>
      </c>
      <c r="F230" s="3" t="s">
        <v>58</v>
      </c>
      <c r="G230" s="3" t="s">
        <v>59</v>
      </c>
      <c r="H230" s="3" t="s">
        <v>58</v>
      </c>
      <c r="I230" s="3" t="s">
        <v>58</v>
      </c>
      <c r="J230" s="3" t="s">
        <v>60</v>
      </c>
      <c r="K230" s="2" t="s">
        <v>2945</v>
      </c>
      <c r="L230" s="2" t="s">
        <v>2946</v>
      </c>
      <c r="M230" s="3" t="s">
        <v>197</v>
      </c>
      <c r="O230" s="3" t="s">
        <v>64</v>
      </c>
      <c r="P230" s="3" t="s">
        <v>117</v>
      </c>
      <c r="R230" s="3" t="s">
        <v>66</v>
      </c>
      <c r="S230" s="4">
        <v>12</v>
      </c>
      <c r="T230" s="4">
        <v>12</v>
      </c>
      <c r="U230" s="5" t="s">
        <v>2947</v>
      </c>
      <c r="V230" s="5" t="s">
        <v>2947</v>
      </c>
      <c r="W230" s="5" t="s">
        <v>2948</v>
      </c>
      <c r="X230" s="5" t="s">
        <v>2948</v>
      </c>
      <c r="Y230" s="4">
        <v>60</v>
      </c>
      <c r="Z230" s="4">
        <v>45</v>
      </c>
      <c r="AA230" s="4">
        <v>57</v>
      </c>
      <c r="AB230" s="4">
        <v>2</v>
      </c>
      <c r="AC230" s="4">
        <v>2</v>
      </c>
      <c r="AD230" s="4">
        <v>2</v>
      </c>
      <c r="AE230" s="4">
        <v>2</v>
      </c>
      <c r="AF230" s="4">
        <v>0</v>
      </c>
      <c r="AG230" s="4">
        <v>0</v>
      </c>
      <c r="AH230" s="4">
        <v>1</v>
      </c>
      <c r="AI230" s="4">
        <v>1</v>
      </c>
      <c r="AJ230" s="4">
        <v>0</v>
      </c>
      <c r="AK230" s="4">
        <v>0</v>
      </c>
      <c r="AL230" s="4">
        <v>1</v>
      </c>
      <c r="AM230" s="4">
        <v>1</v>
      </c>
      <c r="AN230" s="4">
        <v>0</v>
      </c>
      <c r="AO230" s="4">
        <v>0</v>
      </c>
      <c r="AP230" s="3" t="s">
        <v>58</v>
      </c>
      <c r="AQ230" s="3" t="s">
        <v>85</v>
      </c>
      <c r="AR230" s="6" t="str">
        <f>HYPERLINK("http://catalog.hathitrust.org/Record/001536682","HathiTrust Record")</f>
        <v>HathiTrust Record</v>
      </c>
      <c r="AS230" s="6" t="str">
        <f>HYPERLINK("https://creighton-primo.hosted.exlibrisgroup.com/primo-explore/search?tab=default_tab&amp;search_scope=EVERYTHING&amp;vid=01CRU&amp;lang=en_US&amp;offset=0&amp;query=any,contains,991001254979702656","Catalog Record")</f>
        <v>Catalog Record</v>
      </c>
      <c r="AT230" s="6" t="str">
        <f>HYPERLINK("http://www.worldcat.org/oclc/19352703","WorldCat Record")</f>
        <v>WorldCat Record</v>
      </c>
      <c r="AU230" s="3" t="s">
        <v>2949</v>
      </c>
      <c r="AV230" s="3" t="s">
        <v>2950</v>
      </c>
      <c r="AW230" s="3" t="s">
        <v>2951</v>
      </c>
      <c r="AX230" s="3" t="s">
        <v>2951</v>
      </c>
      <c r="AY230" s="3" t="s">
        <v>2952</v>
      </c>
      <c r="AZ230" s="3" t="s">
        <v>73</v>
      </c>
      <c r="BB230" s="3" t="s">
        <v>2953</v>
      </c>
      <c r="BC230" s="3" t="s">
        <v>2954</v>
      </c>
      <c r="BD230" s="3" t="s">
        <v>2955</v>
      </c>
    </row>
    <row r="231" spans="1:56" ht="40.5" customHeight="1" x14ac:dyDescent="0.25">
      <c r="A231" s="7" t="s">
        <v>58</v>
      </c>
      <c r="B231" s="2" t="s">
        <v>2956</v>
      </c>
      <c r="C231" s="2" t="s">
        <v>2957</v>
      </c>
      <c r="D231" s="2" t="s">
        <v>2958</v>
      </c>
      <c r="F231" s="3" t="s">
        <v>58</v>
      </c>
      <c r="G231" s="3" t="s">
        <v>59</v>
      </c>
      <c r="H231" s="3" t="s">
        <v>58</v>
      </c>
      <c r="I231" s="3" t="s">
        <v>58</v>
      </c>
      <c r="J231" s="3" t="s">
        <v>60</v>
      </c>
      <c r="K231" s="2" t="s">
        <v>2959</v>
      </c>
      <c r="L231" s="2" t="s">
        <v>2960</v>
      </c>
      <c r="M231" s="3" t="s">
        <v>614</v>
      </c>
      <c r="O231" s="3" t="s">
        <v>64</v>
      </c>
      <c r="P231" s="3" t="s">
        <v>2961</v>
      </c>
      <c r="R231" s="3" t="s">
        <v>66</v>
      </c>
      <c r="S231" s="4">
        <v>2</v>
      </c>
      <c r="T231" s="4">
        <v>2</v>
      </c>
      <c r="U231" s="5" t="s">
        <v>2962</v>
      </c>
      <c r="V231" s="5" t="s">
        <v>2962</v>
      </c>
      <c r="W231" s="5" t="s">
        <v>1194</v>
      </c>
      <c r="X231" s="5" t="s">
        <v>1194</v>
      </c>
      <c r="Y231" s="4">
        <v>1</v>
      </c>
      <c r="Z231" s="4">
        <v>1</v>
      </c>
      <c r="AA231" s="4">
        <v>1</v>
      </c>
      <c r="AB231" s="4">
        <v>1</v>
      </c>
      <c r="AC231" s="4">
        <v>1</v>
      </c>
      <c r="AD231" s="4">
        <v>0</v>
      </c>
      <c r="AE231" s="4">
        <v>0</v>
      </c>
      <c r="AF231" s="4">
        <v>0</v>
      </c>
      <c r="AG231" s="4">
        <v>0</v>
      </c>
      <c r="AH231" s="4">
        <v>0</v>
      </c>
      <c r="AI231" s="4">
        <v>0</v>
      </c>
      <c r="AJ231" s="4">
        <v>0</v>
      </c>
      <c r="AK231" s="4">
        <v>0</v>
      </c>
      <c r="AL231" s="4">
        <v>0</v>
      </c>
      <c r="AM231" s="4">
        <v>0</v>
      </c>
      <c r="AN231" s="4">
        <v>0</v>
      </c>
      <c r="AO231" s="4">
        <v>0</v>
      </c>
      <c r="AP231" s="3" t="s">
        <v>58</v>
      </c>
      <c r="AQ231" s="3" t="s">
        <v>58</v>
      </c>
      <c r="AS231" s="6" t="str">
        <f>HYPERLINK("https://creighton-primo.hosted.exlibrisgroup.com/primo-explore/search?tab=default_tab&amp;search_scope=EVERYTHING&amp;vid=01CRU&amp;lang=en_US&amp;offset=0&amp;query=any,contains,991001453039702656","Catalog Record")</f>
        <v>Catalog Record</v>
      </c>
      <c r="AT231" s="6" t="str">
        <f>HYPERLINK("http://www.worldcat.org/oclc/23717622","WorldCat Record")</f>
        <v>WorldCat Record</v>
      </c>
      <c r="AU231" s="3" t="s">
        <v>2963</v>
      </c>
      <c r="AV231" s="3" t="s">
        <v>2964</v>
      </c>
      <c r="AW231" s="3" t="s">
        <v>2965</v>
      </c>
      <c r="AX231" s="3" t="s">
        <v>2965</v>
      </c>
      <c r="AY231" s="3" t="s">
        <v>2966</v>
      </c>
      <c r="AZ231" s="3" t="s">
        <v>73</v>
      </c>
      <c r="BC231" s="3" t="s">
        <v>2967</v>
      </c>
      <c r="BD231" s="3" t="s">
        <v>2968</v>
      </c>
    </row>
    <row r="232" spans="1:56" ht="40.5" customHeight="1" x14ac:dyDescent="0.25">
      <c r="A232" s="7" t="s">
        <v>58</v>
      </c>
      <c r="B232" s="2" t="s">
        <v>2969</v>
      </c>
      <c r="C232" s="2" t="s">
        <v>2970</v>
      </c>
      <c r="D232" s="2" t="s">
        <v>2971</v>
      </c>
      <c r="F232" s="3" t="s">
        <v>58</v>
      </c>
      <c r="G232" s="3" t="s">
        <v>59</v>
      </c>
      <c r="H232" s="3" t="s">
        <v>58</v>
      </c>
      <c r="I232" s="3" t="s">
        <v>58</v>
      </c>
      <c r="J232" s="3" t="s">
        <v>60</v>
      </c>
      <c r="K232" s="2" t="s">
        <v>2972</v>
      </c>
      <c r="L232" s="2" t="s">
        <v>2973</v>
      </c>
      <c r="M232" s="3" t="s">
        <v>614</v>
      </c>
      <c r="O232" s="3" t="s">
        <v>64</v>
      </c>
      <c r="P232" s="3" t="s">
        <v>135</v>
      </c>
      <c r="R232" s="3" t="s">
        <v>66</v>
      </c>
      <c r="S232" s="4">
        <v>7</v>
      </c>
      <c r="T232" s="4">
        <v>7</v>
      </c>
      <c r="U232" s="5" t="s">
        <v>2974</v>
      </c>
      <c r="V232" s="5" t="s">
        <v>2974</v>
      </c>
      <c r="W232" s="5" t="s">
        <v>2893</v>
      </c>
      <c r="X232" s="5" t="s">
        <v>2893</v>
      </c>
      <c r="Y232" s="4">
        <v>20</v>
      </c>
      <c r="Z232" s="4">
        <v>13</v>
      </c>
      <c r="AA232" s="4">
        <v>13</v>
      </c>
      <c r="AB232" s="4">
        <v>1</v>
      </c>
      <c r="AC232" s="4">
        <v>1</v>
      </c>
      <c r="AD232" s="4">
        <v>0</v>
      </c>
      <c r="AE232" s="4">
        <v>0</v>
      </c>
      <c r="AF232" s="4">
        <v>0</v>
      </c>
      <c r="AG232" s="4">
        <v>0</v>
      </c>
      <c r="AH232" s="4">
        <v>0</v>
      </c>
      <c r="AI232" s="4">
        <v>0</v>
      </c>
      <c r="AJ232" s="4">
        <v>0</v>
      </c>
      <c r="AK232" s="4">
        <v>0</v>
      </c>
      <c r="AL232" s="4">
        <v>0</v>
      </c>
      <c r="AM232" s="4">
        <v>0</v>
      </c>
      <c r="AN232" s="4">
        <v>0</v>
      </c>
      <c r="AO232" s="4">
        <v>0</v>
      </c>
      <c r="AP232" s="3" t="s">
        <v>58</v>
      </c>
      <c r="AQ232" s="3" t="s">
        <v>58</v>
      </c>
      <c r="AS232" s="6" t="str">
        <f>HYPERLINK("https://creighton-primo.hosted.exlibrisgroup.com/primo-explore/search?tab=default_tab&amp;search_scope=EVERYTHING&amp;vid=01CRU&amp;lang=en_US&amp;offset=0&amp;query=any,contains,991001251749702656","Catalog Record")</f>
        <v>Catalog Record</v>
      </c>
      <c r="AT232" s="6" t="str">
        <f>HYPERLINK("http://www.worldcat.org/oclc/19263888","WorldCat Record")</f>
        <v>WorldCat Record</v>
      </c>
      <c r="AU232" s="3" t="s">
        <v>2975</v>
      </c>
      <c r="AV232" s="3" t="s">
        <v>2976</v>
      </c>
      <c r="AW232" s="3" t="s">
        <v>2977</v>
      </c>
      <c r="AX232" s="3" t="s">
        <v>2977</v>
      </c>
      <c r="AY232" s="3" t="s">
        <v>2978</v>
      </c>
      <c r="AZ232" s="3" t="s">
        <v>73</v>
      </c>
      <c r="BB232" s="3" t="s">
        <v>2979</v>
      </c>
      <c r="BC232" s="3" t="s">
        <v>2980</v>
      </c>
      <c r="BD232" s="3" t="s">
        <v>2981</v>
      </c>
    </row>
    <row r="233" spans="1:56" ht="40.5" customHeight="1" x14ac:dyDescent="0.25">
      <c r="A233" s="7" t="s">
        <v>58</v>
      </c>
      <c r="B233" s="2" t="s">
        <v>2982</v>
      </c>
      <c r="C233" s="2" t="s">
        <v>2983</v>
      </c>
      <c r="D233" s="2" t="s">
        <v>2984</v>
      </c>
      <c r="F233" s="3" t="s">
        <v>58</v>
      </c>
      <c r="G233" s="3" t="s">
        <v>59</v>
      </c>
      <c r="H233" s="3" t="s">
        <v>58</v>
      </c>
      <c r="I233" s="3" t="s">
        <v>58</v>
      </c>
      <c r="J233" s="3" t="s">
        <v>60</v>
      </c>
      <c r="L233" s="2" t="s">
        <v>2985</v>
      </c>
      <c r="M233" s="3" t="s">
        <v>197</v>
      </c>
      <c r="O233" s="3" t="s">
        <v>64</v>
      </c>
      <c r="P233" s="3" t="s">
        <v>65</v>
      </c>
      <c r="R233" s="3" t="s">
        <v>66</v>
      </c>
      <c r="S233" s="4">
        <v>2</v>
      </c>
      <c r="T233" s="4">
        <v>2</v>
      </c>
      <c r="U233" s="5" t="s">
        <v>2986</v>
      </c>
      <c r="V233" s="5" t="s">
        <v>2986</v>
      </c>
      <c r="W233" s="5" t="s">
        <v>2987</v>
      </c>
      <c r="X233" s="5" t="s">
        <v>2987</v>
      </c>
      <c r="Y233" s="4">
        <v>229</v>
      </c>
      <c r="Z233" s="4">
        <v>180</v>
      </c>
      <c r="AA233" s="4">
        <v>187</v>
      </c>
      <c r="AB233" s="4">
        <v>3</v>
      </c>
      <c r="AC233" s="4">
        <v>3</v>
      </c>
      <c r="AD233" s="4">
        <v>8</v>
      </c>
      <c r="AE233" s="4">
        <v>8</v>
      </c>
      <c r="AF233" s="4">
        <v>1</v>
      </c>
      <c r="AG233" s="4">
        <v>1</v>
      </c>
      <c r="AH233" s="4">
        <v>3</v>
      </c>
      <c r="AI233" s="4">
        <v>3</v>
      </c>
      <c r="AJ233" s="4">
        <v>4</v>
      </c>
      <c r="AK233" s="4">
        <v>4</v>
      </c>
      <c r="AL233" s="4">
        <v>2</v>
      </c>
      <c r="AM233" s="4">
        <v>2</v>
      </c>
      <c r="AN233" s="4">
        <v>0</v>
      </c>
      <c r="AO233" s="4">
        <v>0</v>
      </c>
      <c r="AP233" s="3" t="s">
        <v>58</v>
      </c>
      <c r="AQ233" s="3" t="s">
        <v>85</v>
      </c>
      <c r="AR233" s="6" t="str">
        <f>HYPERLINK("http://catalog.hathitrust.org/Record/000846704","HathiTrust Record")</f>
        <v>HathiTrust Record</v>
      </c>
      <c r="AS233" s="6" t="str">
        <f>HYPERLINK("https://creighton-primo.hosted.exlibrisgroup.com/primo-explore/search?tab=default_tab&amp;search_scope=EVERYTHING&amp;vid=01CRU&amp;lang=en_US&amp;offset=0&amp;query=any,contains,991001418219702656","Catalog Record")</f>
        <v>Catalog Record</v>
      </c>
      <c r="AT233" s="6" t="str">
        <f>HYPERLINK("http://www.worldcat.org/oclc/17233889","WorldCat Record")</f>
        <v>WorldCat Record</v>
      </c>
      <c r="AU233" s="3" t="s">
        <v>2988</v>
      </c>
      <c r="AV233" s="3" t="s">
        <v>2989</v>
      </c>
      <c r="AW233" s="3" t="s">
        <v>2990</v>
      </c>
      <c r="AX233" s="3" t="s">
        <v>2990</v>
      </c>
      <c r="AY233" s="3" t="s">
        <v>2991</v>
      </c>
      <c r="AZ233" s="3" t="s">
        <v>73</v>
      </c>
      <c r="BB233" s="3" t="s">
        <v>2992</v>
      </c>
      <c r="BC233" s="3" t="s">
        <v>2993</v>
      </c>
      <c r="BD233" s="3" t="s">
        <v>2994</v>
      </c>
    </row>
    <row r="234" spans="1:56" ht="40.5" customHeight="1" x14ac:dyDescent="0.25">
      <c r="A234" s="7" t="s">
        <v>58</v>
      </c>
      <c r="B234" s="2" t="s">
        <v>2995</v>
      </c>
      <c r="C234" s="2" t="s">
        <v>2996</v>
      </c>
      <c r="D234" s="2" t="s">
        <v>2997</v>
      </c>
      <c r="F234" s="3" t="s">
        <v>58</v>
      </c>
      <c r="G234" s="3" t="s">
        <v>59</v>
      </c>
      <c r="H234" s="3" t="s">
        <v>58</v>
      </c>
      <c r="I234" s="3" t="s">
        <v>58</v>
      </c>
      <c r="J234" s="3" t="s">
        <v>60</v>
      </c>
      <c r="L234" s="2" t="s">
        <v>2998</v>
      </c>
      <c r="M234" s="3" t="s">
        <v>1067</v>
      </c>
      <c r="O234" s="3" t="s">
        <v>64</v>
      </c>
      <c r="P234" s="3" t="s">
        <v>65</v>
      </c>
      <c r="R234" s="3" t="s">
        <v>66</v>
      </c>
      <c r="S234" s="4">
        <v>8</v>
      </c>
      <c r="T234" s="4">
        <v>8</v>
      </c>
      <c r="U234" s="5" t="s">
        <v>2999</v>
      </c>
      <c r="V234" s="5" t="s">
        <v>2999</v>
      </c>
      <c r="W234" s="5" t="s">
        <v>2027</v>
      </c>
      <c r="X234" s="5" t="s">
        <v>2027</v>
      </c>
      <c r="Y234" s="4">
        <v>131</v>
      </c>
      <c r="Z234" s="4">
        <v>102</v>
      </c>
      <c r="AA234" s="4">
        <v>107</v>
      </c>
      <c r="AB234" s="4">
        <v>1</v>
      </c>
      <c r="AC234" s="4">
        <v>1</v>
      </c>
      <c r="AD234" s="4">
        <v>4</v>
      </c>
      <c r="AE234" s="4">
        <v>4</v>
      </c>
      <c r="AF234" s="4">
        <v>1</v>
      </c>
      <c r="AG234" s="4">
        <v>1</v>
      </c>
      <c r="AH234" s="4">
        <v>2</v>
      </c>
      <c r="AI234" s="4">
        <v>2</v>
      </c>
      <c r="AJ234" s="4">
        <v>3</v>
      </c>
      <c r="AK234" s="4">
        <v>3</v>
      </c>
      <c r="AL234" s="4">
        <v>0</v>
      </c>
      <c r="AM234" s="4">
        <v>0</v>
      </c>
      <c r="AN234" s="4">
        <v>0</v>
      </c>
      <c r="AO234" s="4">
        <v>0</v>
      </c>
      <c r="AP234" s="3" t="s">
        <v>58</v>
      </c>
      <c r="AQ234" s="3" t="s">
        <v>58</v>
      </c>
      <c r="AS234" s="6" t="str">
        <f>HYPERLINK("https://creighton-primo.hosted.exlibrisgroup.com/primo-explore/search?tab=default_tab&amp;search_scope=EVERYTHING&amp;vid=01CRU&amp;lang=en_US&amp;offset=0&amp;query=any,contains,991001014339702656","Catalog Record")</f>
        <v>Catalog Record</v>
      </c>
      <c r="AT234" s="6" t="str">
        <f>HYPERLINK("http://www.worldcat.org/oclc/23216592","WorldCat Record")</f>
        <v>WorldCat Record</v>
      </c>
      <c r="AU234" s="3" t="s">
        <v>3000</v>
      </c>
      <c r="AV234" s="3" t="s">
        <v>3001</v>
      </c>
      <c r="AW234" s="3" t="s">
        <v>3002</v>
      </c>
      <c r="AX234" s="3" t="s">
        <v>3002</v>
      </c>
      <c r="AY234" s="3" t="s">
        <v>3003</v>
      </c>
      <c r="AZ234" s="3" t="s">
        <v>73</v>
      </c>
      <c r="BB234" s="3" t="s">
        <v>3004</v>
      </c>
      <c r="BC234" s="3" t="s">
        <v>3005</v>
      </c>
      <c r="BD234" s="3" t="s">
        <v>3006</v>
      </c>
    </row>
    <row r="235" spans="1:56" ht="40.5" customHeight="1" x14ac:dyDescent="0.25">
      <c r="A235" s="7" t="s">
        <v>58</v>
      </c>
      <c r="B235" s="2" t="s">
        <v>3007</v>
      </c>
      <c r="C235" s="2" t="s">
        <v>3008</v>
      </c>
      <c r="D235" s="2" t="s">
        <v>3009</v>
      </c>
      <c r="F235" s="3" t="s">
        <v>58</v>
      </c>
      <c r="G235" s="3" t="s">
        <v>59</v>
      </c>
      <c r="H235" s="3" t="s">
        <v>85</v>
      </c>
      <c r="I235" s="3" t="s">
        <v>58</v>
      </c>
      <c r="J235" s="3" t="s">
        <v>60</v>
      </c>
      <c r="L235" s="2" t="s">
        <v>3010</v>
      </c>
      <c r="M235" s="3" t="s">
        <v>2567</v>
      </c>
      <c r="O235" s="3" t="s">
        <v>64</v>
      </c>
      <c r="P235" s="3" t="s">
        <v>366</v>
      </c>
      <c r="Q235" s="2" t="s">
        <v>3011</v>
      </c>
      <c r="R235" s="3" t="s">
        <v>66</v>
      </c>
      <c r="S235" s="4">
        <v>0</v>
      </c>
      <c r="T235" s="4">
        <v>0</v>
      </c>
      <c r="U235" s="5" t="s">
        <v>3012</v>
      </c>
      <c r="V235" s="5" t="s">
        <v>3012</v>
      </c>
      <c r="W235" s="5" t="s">
        <v>3013</v>
      </c>
      <c r="X235" s="5" t="s">
        <v>3013</v>
      </c>
      <c r="Y235" s="4">
        <v>125</v>
      </c>
      <c r="Z235" s="4">
        <v>90</v>
      </c>
      <c r="AA235" s="4">
        <v>145</v>
      </c>
      <c r="AB235" s="4">
        <v>1</v>
      </c>
      <c r="AC235" s="4">
        <v>3</v>
      </c>
      <c r="AD235" s="4">
        <v>3</v>
      </c>
      <c r="AE235" s="4">
        <v>6</v>
      </c>
      <c r="AF235" s="4">
        <v>1</v>
      </c>
      <c r="AG235" s="4">
        <v>2</v>
      </c>
      <c r="AH235" s="4">
        <v>1</v>
      </c>
      <c r="AI235" s="4">
        <v>1</v>
      </c>
      <c r="AJ235" s="4">
        <v>2</v>
      </c>
      <c r="AK235" s="4">
        <v>2</v>
      </c>
      <c r="AL235" s="4">
        <v>0</v>
      </c>
      <c r="AM235" s="4">
        <v>2</v>
      </c>
      <c r="AN235" s="4">
        <v>0</v>
      </c>
      <c r="AO235" s="4">
        <v>0</v>
      </c>
      <c r="AP235" s="3" t="s">
        <v>58</v>
      </c>
      <c r="AQ235" s="3" t="s">
        <v>58</v>
      </c>
      <c r="AS235" s="6" t="str">
        <f>HYPERLINK("https://creighton-primo.hosted.exlibrisgroup.com/primo-explore/search?tab=default_tab&amp;search_scope=EVERYTHING&amp;vid=01CRU&amp;lang=en_US&amp;offset=0&amp;query=any,contains,991001369789702656","Catalog Record")</f>
        <v>Catalog Record</v>
      </c>
      <c r="AT235" s="6" t="str">
        <f>HYPERLINK("http://www.worldcat.org/oclc/227032711","WorldCat Record")</f>
        <v>WorldCat Record</v>
      </c>
      <c r="AU235" s="3" t="s">
        <v>3014</v>
      </c>
      <c r="AV235" s="3" t="s">
        <v>3015</v>
      </c>
      <c r="AW235" s="3" t="s">
        <v>3016</v>
      </c>
      <c r="AX235" s="3" t="s">
        <v>3016</v>
      </c>
      <c r="AY235" s="3" t="s">
        <v>3017</v>
      </c>
      <c r="AZ235" s="3" t="s">
        <v>73</v>
      </c>
      <c r="BB235" s="3" t="s">
        <v>3018</v>
      </c>
      <c r="BC235" s="3" t="s">
        <v>3019</v>
      </c>
      <c r="BD235" s="3" t="s">
        <v>3020</v>
      </c>
    </row>
    <row r="236" spans="1:56" ht="40.5" customHeight="1" x14ac:dyDescent="0.25">
      <c r="A236" s="7" t="s">
        <v>58</v>
      </c>
      <c r="B236" s="2" t="s">
        <v>3021</v>
      </c>
      <c r="C236" s="2" t="s">
        <v>3022</v>
      </c>
      <c r="D236" s="2" t="s">
        <v>3023</v>
      </c>
      <c r="F236" s="3" t="s">
        <v>58</v>
      </c>
      <c r="G236" s="3" t="s">
        <v>59</v>
      </c>
      <c r="H236" s="3" t="s">
        <v>58</v>
      </c>
      <c r="I236" s="3" t="s">
        <v>58</v>
      </c>
      <c r="J236" s="3" t="s">
        <v>60</v>
      </c>
      <c r="L236" s="2" t="s">
        <v>2357</v>
      </c>
      <c r="M236" s="3" t="s">
        <v>365</v>
      </c>
      <c r="O236" s="3" t="s">
        <v>64</v>
      </c>
      <c r="P236" s="3" t="s">
        <v>2358</v>
      </c>
      <c r="R236" s="3" t="s">
        <v>66</v>
      </c>
      <c r="S236" s="4">
        <v>9</v>
      </c>
      <c r="T236" s="4">
        <v>9</v>
      </c>
      <c r="U236" s="5" t="s">
        <v>3024</v>
      </c>
      <c r="V236" s="5" t="s">
        <v>3024</v>
      </c>
      <c r="W236" s="5" t="s">
        <v>2373</v>
      </c>
      <c r="X236" s="5" t="s">
        <v>2373</v>
      </c>
      <c r="Y236" s="4">
        <v>211</v>
      </c>
      <c r="Z236" s="4">
        <v>150</v>
      </c>
      <c r="AA236" s="4">
        <v>168</v>
      </c>
      <c r="AB236" s="4">
        <v>2</v>
      </c>
      <c r="AC236" s="4">
        <v>2</v>
      </c>
      <c r="AD236" s="4">
        <v>6</v>
      </c>
      <c r="AE236" s="4">
        <v>6</v>
      </c>
      <c r="AF236" s="4">
        <v>0</v>
      </c>
      <c r="AG236" s="4">
        <v>0</v>
      </c>
      <c r="AH236" s="4">
        <v>2</v>
      </c>
      <c r="AI236" s="4">
        <v>2</v>
      </c>
      <c r="AJ236" s="4">
        <v>4</v>
      </c>
      <c r="AK236" s="4">
        <v>4</v>
      </c>
      <c r="AL236" s="4">
        <v>1</v>
      </c>
      <c r="AM236" s="4">
        <v>1</v>
      </c>
      <c r="AN236" s="4">
        <v>0</v>
      </c>
      <c r="AO236" s="4">
        <v>0</v>
      </c>
      <c r="AP236" s="3" t="s">
        <v>58</v>
      </c>
      <c r="AQ236" s="3" t="s">
        <v>85</v>
      </c>
      <c r="AR236" s="6" t="str">
        <f>HYPERLINK("http://catalog.hathitrust.org/Record/002886426","HathiTrust Record")</f>
        <v>HathiTrust Record</v>
      </c>
      <c r="AS236" s="6" t="str">
        <f>HYPERLINK("https://creighton-primo.hosted.exlibrisgroup.com/primo-explore/search?tab=default_tab&amp;search_scope=EVERYTHING&amp;vid=01CRU&amp;lang=en_US&amp;offset=0&amp;query=any,contains,991000686179702656","Catalog Record")</f>
        <v>Catalog Record</v>
      </c>
      <c r="AT236" s="6" t="str">
        <f>HYPERLINK("http://www.worldcat.org/oclc/29029580","WorldCat Record")</f>
        <v>WorldCat Record</v>
      </c>
      <c r="AU236" s="3" t="s">
        <v>3025</v>
      </c>
      <c r="AV236" s="3" t="s">
        <v>3026</v>
      </c>
      <c r="AW236" s="3" t="s">
        <v>3027</v>
      </c>
      <c r="AX236" s="3" t="s">
        <v>3027</v>
      </c>
      <c r="AY236" s="3" t="s">
        <v>3028</v>
      </c>
      <c r="AZ236" s="3" t="s">
        <v>73</v>
      </c>
      <c r="BB236" s="3" t="s">
        <v>3029</v>
      </c>
      <c r="BC236" s="3" t="s">
        <v>3030</v>
      </c>
      <c r="BD236" s="3" t="s">
        <v>3031</v>
      </c>
    </row>
    <row r="237" spans="1:56" ht="40.5" customHeight="1" x14ac:dyDescent="0.25">
      <c r="A237" s="7" t="s">
        <v>58</v>
      </c>
      <c r="B237" s="2" t="s">
        <v>3032</v>
      </c>
      <c r="C237" s="2" t="s">
        <v>3033</v>
      </c>
      <c r="D237" s="2" t="s">
        <v>3034</v>
      </c>
      <c r="F237" s="3" t="s">
        <v>58</v>
      </c>
      <c r="G237" s="3" t="s">
        <v>59</v>
      </c>
      <c r="H237" s="3" t="s">
        <v>58</v>
      </c>
      <c r="I237" s="3" t="s">
        <v>58</v>
      </c>
      <c r="J237" s="3" t="s">
        <v>60</v>
      </c>
      <c r="L237" s="2" t="s">
        <v>3035</v>
      </c>
      <c r="M237" s="3" t="s">
        <v>759</v>
      </c>
      <c r="O237" s="3" t="s">
        <v>64</v>
      </c>
      <c r="P237" s="3" t="s">
        <v>152</v>
      </c>
      <c r="R237" s="3" t="s">
        <v>66</v>
      </c>
      <c r="S237" s="4">
        <v>19</v>
      </c>
      <c r="T237" s="4">
        <v>19</v>
      </c>
      <c r="U237" s="5" t="s">
        <v>3024</v>
      </c>
      <c r="V237" s="5" t="s">
        <v>3024</v>
      </c>
      <c r="W237" s="5" t="s">
        <v>3036</v>
      </c>
      <c r="X237" s="5" t="s">
        <v>3036</v>
      </c>
      <c r="Y237" s="4">
        <v>266</v>
      </c>
      <c r="Z237" s="4">
        <v>195</v>
      </c>
      <c r="AA237" s="4">
        <v>298</v>
      </c>
      <c r="AB237" s="4">
        <v>2</v>
      </c>
      <c r="AC237" s="4">
        <v>3</v>
      </c>
      <c r="AD237" s="4">
        <v>10</v>
      </c>
      <c r="AE237" s="4">
        <v>13</v>
      </c>
      <c r="AF237" s="4">
        <v>1</v>
      </c>
      <c r="AG237" s="4">
        <v>3</v>
      </c>
      <c r="AH237" s="4">
        <v>3</v>
      </c>
      <c r="AI237" s="4">
        <v>4</v>
      </c>
      <c r="AJ237" s="4">
        <v>7</v>
      </c>
      <c r="AK237" s="4">
        <v>7</v>
      </c>
      <c r="AL237" s="4">
        <v>1</v>
      </c>
      <c r="AM237" s="4">
        <v>2</v>
      </c>
      <c r="AN237" s="4">
        <v>0</v>
      </c>
      <c r="AO237" s="4">
        <v>0</v>
      </c>
      <c r="AP237" s="3" t="s">
        <v>58</v>
      </c>
      <c r="AQ237" s="3" t="s">
        <v>58</v>
      </c>
      <c r="AS237" s="6" t="str">
        <f>HYPERLINK("https://creighton-primo.hosted.exlibrisgroup.com/primo-explore/search?tab=default_tab&amp;search_scope=EVERYTHING&amp;vid=01CRU&amp;lang=en_US&amp;offset=0&amp;query=any,contains,991000826189702656","Catalog Record")</f>
        <v>Catalog Record</v>
      </c>
      <c r="AT237" s="6" t="str">
        <f>HYPERLINK("http://www.worldcat.org/oclc/32348975","WorldCat Record")</f>
        <v>WorldCat Record</v>
      </c>
      <c r="AU237" s="3" t="s">
        <v>3037</v>
      </c>
      <c r="AV237" s="3" t="s">
        <v>3038</v>
      </c>
      <c r="AW237" s="3" t="s">
        <v>3039</v>
      </c>
      <c r="AX237" s="3" t="s">
        <v>3039</v>
      </c>
      <c r="AY237" s="3" t="s">
        <v>3040</v>
      </c>
      <c r="AZ237" s="3" t="s">
        <v>73</v>
      </c>
      <c r="BB237" s="3" t="s">
        <v>3041</v>
      </c>
      <c r="BC237" s="3" t="s">
        <v>3042</v>
      </c>
      <c r="BD237" s="3" t="s">
        <v>3043</v>
      </c>
    </row>
    <row r="238" spans="1:56" ht="40.5" customHeight="1" x14ac:dyDescent="0.25">
      <c r="A238" s="7" t="s">
        <v>58</v>
      </c>
      <c r="B238" s="2" t="s">
        <v>3044</v>
      </c>
      <c r="C238" s="2" t="s">
        <v>3045</v>
      </c>
      <c r="D238" s="2" t="s">
        <v>3046</v>
      </c>
      <c r="F238" s="3" t="s">
        <v>58</v>
      </c>
      <c r="G238" s="3" t="s">
        <v>59</v>
      </c>
      <c r="H238" s="3" t="s">
        <v>58</v>
      </c>
      <c r="I238" s="3" t="s">
        <v>58</v>
      </c>
      <c r="J238" s="3" t="s">
        <v>60</v>
      </c>
      <c r="L238" s="2" t="s">
        <v>3047</v>
      </c>
      <c r="M238" s="3" t="s">
        <v>1267</v>
      </c>
      <c r="O238" s="3" t="s">
        <v>64</v>
      </c>
      <c r="P238" s="3" t="s">
        <v>366</v>
      </c>
      <c r="Q238" s="2" t="s">
        <v>3048</v>
      </c>
      <c r="R238" s="3" t="s">
        <v>66</v>
      </c>
      <c r="S238" s="4">
        <v>3</v>
      </c>
      <c r="T238" s="4">
        <v>3</v>
      </c>
      <c r="U238" s="5" t="s">
        <v>3049</v>
      </c>
      <c r="V238" s="5" t="s">
        <v>3049</v>
      </c>
      <c r="W238" s="5" t="s">
        <v>3050</v>
      </c>
      <c r="X238" s="5" t="s">
        <v>3050</v>
      </c>
      <c r="Y238" s="4">
        <v>88</v>
      </c>
      <c r="Z238" s="4">
        <v>66</v>
      </c>
      <c r="AA238" s="4">
        <v>143</v>
      </c>
      <c r="AB238" s="4">
        <v>1</v>
      </c>
      <c r="AC238" s="4">
        <v>3</v>
      </c>
      <c r="AD238" s="4">
        <v>2</v>
      </c>
      <c r="AE238" s="4">
        <v>6</v>
      </c>
      <c r="AF238" s="4">
        <v>0</v>
      </c>
      <c r="AG238" s="4">
        <v>1</v>
      </c>
      <c r="AH238" s="4">
        <v>1</v>
      </c>
      <c r="AI238" s="4">
        <v>2</v>
      </c>
      <c r="AJ238" s="4">
        <v>1</v>
      </c>
      <c r="AK238" s="4">
        <v>2</v>
      </c>
      <c r="AL238" s="4">
        <v>0</v>
      </c>
      <c r="AM238" s="4">
        <v>2</v>
      </c>
      <c r="AN238" s="4">
        <v>0</v>
      </c>
      <c r="AO238" s="4">
        <v>0</v>
      </c>
      <c r="AP238" s="3" t="s">
        <v>58</v>
      </c>
      <c r="AQ238" s="3" t="s">
        <v>85</v>
      </c>
      <c r="AR238" s="6" t="str">
        <f>HYPERLINK("http://catalog.hathitrust.org/Record/004022562","HathiTrust Record")</f>
        <v>HathiTrust Record</v>
      </c>
      <c r="AS238" s="6" t="str">
        <f>HYPERLINK("https://creighton-primo.hosted.exlibrisgroup.com/primo-explore/search?tab=default_tab&amp;search_scope=EVERYTHING&amp;vid=01CRU&amp;lang=en_US&amp;offset=0&amp;query=any,contains,991001391229702656","Catalog Record")</f>
        <v>Catalog Record</v>
      </c>
      <c r="AT238" s="6" t="str">
        <f>HYPERLINK("http://www.worldcat.org/oclc/39282400","WorldCat Record")</f>
        <v>WorldCat Record</v>
      </c>
      <c r="AU238" s="3" t="s">
        <v>3051</v>
      </c>
      <c r="AV238" s="3" t="s">
        <v>3052</v>
      </c>
      <c r="AW238" s="3" t="s">
        <v>3053</v>
      </c>
      <c r="AX238" s="3" t="s">
        <v>3053</v>
      </c>
      <c r="AY238" s="3" t="s">
        <v>3054</v>
      </c>
      <c r="AZ238" s="3" t="s">
        <v>73</v>
      </c>
      <c r="BB238" s="3" t="s">
        <v>3055</v>
      </c>
      <c r="BC238" s="3" t="s">
        <v>3056</v>
      </c>
      <c r="BD238" s="3" t="s">
        <v>3057</v>
      </c>
    </row>
    <row r="239" spans="1:56" ht="40.5" customHeight="1" x14ac:dyDescent="0.25">
      <c r="A239" s="7" t="s">
        <v>58</v>
      </c>
      <c r="B239" s="2" t="s">
        <v>3058</v>
      </c>
      <c r="C239" s="2" t="s">
        <v>3059</v>
      </c>
      <c r="D239" s="2" t="s">
        <v>3060</v>
      </c>
      <c r="E239" s="3" t="s">
        <v>3061</v>
      </c>
      <c r="F239" s="3" t="s">
        <v>58</v>
      </c>
      <c r="G239" s="3" t="s">
        <v>59</v>
      </c>
      <c r="H239" s="3" t="s">
        <v>58</v>
      </c>
      <c r="I239" s="3" t="s">
        <v>58</v>
      </c>
      <c r="J239" s="3" t="s">
        <v>60</v>
      </c>
      <c r="K239" s="2" t="s">
        <v>3062</v>
      </c>
      <c r="L239" s="2" t="s">
        <v>2985</v>
      </c>
      <c r="M239" s="3" t="s">
        <v>197</v>
      </c>
      <c r="O239" s="3" t="s">
        <v>64</v>
      </c>
      <c r="P239" s="3" t="s">
        <v>65</v>
      </c>
      <c r="Q239" s="2" t="s">
        <v>3063</v>
      </c>
      <c r="R239" s="3" t="s">
        <v>66</v>
      </c>
      <c r="S239" s="4">
        <v>3</v>
      </c>
      <c r="T239" s="4">
        <v>3</v>
      </c>
      <c r="U239" s="5" t="s">
        <v>3064</v>
      </c>
      <c r="V239" s="5" t="s">
        <v>3064</v>
      </c>
      <c r="W239" s="5" t="s">
        <v>3065</v>
      </c>
      <c r="X239" s="5" t="s">
        <v>3065</v>
      </c>
      <c r="Y239" s="4">
        <v>149</v>
      </c>
      <c r="Z239" s="4">
        <v>124</v>
      </c>
      <c r="AA239" s="4">
        <v>127</v>
      </c>
      <c r="AB239" s="4">
        <v>2</v>
      </c>
      <c r="AC239" s="4">
        <v>2</v>
      </c>
      <c r="AD239" s="4">
        <v>6</v>
      </c>
      <c r="AE239" s="4">
        <v>6</v>
      </c>
      <c r="AF239" s="4">
        <v>0</v>
      </c>
      <c r="AG239" s="4">
        <v>0</v>
      </c>
      <c r="AH239" s="4">
        <v>2</v>
      </c>
      <c r="AI239" s="4">
        <v>2</v>
      </c>
      <c r="AJ239" s="4">
        <v>4</v>
      </c>
      <c r="AK239" s="4">
        <v>4</v>
      </c>
      <c r="AL239" s="4">
        <v>1</v>
      </c>
      <c r="AM239" s="4">
        <v>1</v>
      </c>
      <c r="AN239" s="4">
        <v>0</v>
      </c>
      <c r="AO239" s="4">
        <v>0</v>
      </c>
      <c r="AP239" s="3" t="s">
        <v>58</v>
      </c>
      <c r="AQ239" s="3" t="s">
        <v>85</v>
      </c>
      <c r="AR239" s="6" t="str">
        <f>HYPERLINK("http://catalog.hathitrust.org/Record/001085574","HathiTrust Record")</f>
        <v>HathiTrust Record</v>
      </c>
      <c r="AS239" s="6" t="str">
        <f>HYPERLINK("https://creighton-primo.hosted.exlibrisgroup.com/primo-explore/search?tab=default_tab&amp;search_scope=EVERYTHING&amp;vid=01CRU&amp;lang=en_US&amp;offset=0&amp;query=any,contains,991001253739702656","Catalog Record")</f>
        <v>Catalog Record</v>
      </c>
      <c r="AT239" s="6" t="str">
        <f>HYPERLINK("http://www.worldcat.org/oclc/18350728","WorldCat Record")</f>
        <v>WorldCat Record</v>
      </c>
      <c r="AU239" s="3" t="s">
        <v>3066</v>
      </c>
      <c r="AV239" s="3" t="s">
        <v>3067</v>
      </c>
      <c r="AW239" s="3" t="s">
        <v>3068</v>
      </c>
      <c r="AX239" s="3" t="s">
        <v>3068</v>
      </c>
      <c r="AY239" s="3" t="s">
        <v>3069</v>
      </c>
      <c r="AZ239" s="3" t="s">
        <v>73</v>
      </c>
      <c r="BB239" s="3" t="s">
        <v>3070</v>
      </c>
      <c r="BC239" s="3" t="s">
        <v>3071</v>
      </c>
      <c r="BD239" s="3" t="s">
        <v>3072</v>
      </c>
    </row>
    <row r="240" spans="1:56" ht="40.5" customHeight="1" x14ac:dyDescent="0.25">
      <c r="A240" s="7" t="s">
        <v>58</v>
      </c>
      <c r="B240" s="2" t="s">
        <v>3073</v>
      </c>
      <c r="C240" s="2" t="s">
        <v>3074</v>
      </c>
      <c r="D240" s="2" t="s">
        <v>3075</v>
      </c>
      <c r="F240" s="3" t="s">
        <v>58</v>
      </c>
      <c r="G240" s="3" t="s">
        <v>59</v>
      </c>
      <c r="H240" s="3" t="s">
        <v>58</v>
      </c>
      <c r="I240" s="3" t="s">
        <v>58</v>
      </c>
      <c r="J240" s="3" t="s">
        <v>60</v>
      </c>
      <c r="L240" s="2" t="s">
        <v>2195</v>
      </c>
      <c r="M240" s="3" t="s">
        <v>726</v>
      </c>
      <c r="O240" s="3" t="s">
        <v>64</v>
      </c>
      <c r="P240" s="3" t="s">
        <v>65</v>
      </c>
      <c r="R240" s="3" t="s">
        <v>66</v>
      </c>
      <c r="S240" s="4">
        <v>3</v>
      </c>
      <c r="T240" s="4">
        <v>3</v>
      </c>
      <c r="U240" s="5" t="s">
        <v>2197</v>
      </c>
      <c r="V240" s="5" t="s">
        <v>2197</v>
      </c>
      <c r="W240" s="5" t="s">
        <v>3076</v>
      </c>
      <c r="X240" s="5" t="s">
        <v>3076</v>
      </c>
      <c r="Y240" s="4">
        <v>98</v>
      </c>
      <c r="Z240" s="4">
        <v>79</v>
      </c>
      <c r="AA240" s="4">
        <v>81</v>
      </c>
      <c r="AB240" s="4">
        <v>2</v>
      </c>
      <c r="AC240" s="4">
        <v>2</v>
      </c>
      <c r="AD240" s="4">
        <v>4</v>
      </c>
      <c r="AE240" s="4">
        <v>4</v>
      </c>
      <c r="AF240" s="4">
        <v>0</v>
      </c>
      <c r="AG240" s="4">
        <v>0</v>
      </c>
      <c r="AH240" s="4">
        <v>3</v>
      </c>
      <c r="AI240" s="4">
        <v>3</v>
      </c>
      <c r="AJ240" s="4">
        <v>1</v>
      </c>
      <c r="AK240" s="4">
        <v>1</v>
      </c>
      <c r="AL240" s="4">
        <v>1</v>
      </c>
      <c r="AM240" s="4">
        <v>1</v>
      </c>
      <c r="AN240" s="4">
        <v>0</v>
      </c>
      <c r="AO240" s="4">
        <v>0</v>
      </c>
      <c r="AP240" s="3" t="s">
        <v>58</v>
      </c>
      <c r="AQ240" s="3" t="s">
        <v>85</v>
      </c>
      <c r="AR240" s="6" t="str">
        <f>HYPERLINK("http://catalog.hathitrust.org/Record/002237860","HathiTrust Record")</f>
        <v>HathiTrust Record</v>
      </c>
      <c r="AS240" s="6" t="str">
        <f>HYPERLINK("https://creighton-primo.hosted.exlibrisgroup.com/primo-explore/search?tab=default_tab&amp;search_scope=EVERYTHING&amp;vid=01CRU&amp;lang=en_US&amp;offset=0&amp;query=any,contains,991001324079702656","Catalog Record")</f>
        <v>Catalog Record</v>
      </c>
      <c r="AT240" s="6" t="str">
        <f>HYPERLINK("http://www.worldcat.org/oclc/20294298","WorldCat Record")</f>
        <v>WorldCat Record</v>
      </c>
      <c r="AU240" s="3" t="s">
        <v>3077</v>
      </c>
      <c r="AV240" s="3" t="s">
        <v>3078</v>
      </c>
      <c r="AW240" s="3" t="s">
        <v>3079</v>
      </c>
      <c r="AX240" s="3" t="s">
        <v>3079</v>
      </c>
      <c r="AY240" s="3" t="s">
        <v>3080</v>
      </c>
      <c r="AZ240" s="3" t="s">
        <v>73</v>
      </c>
      <c r="BB240" s="3" t="s">
        <v>3081</v>
      </c>
      <c r="BC240" s="3" t="s">
        <v>3082</v>
      </c>
      <c r="BD240" s="3" t="s">
        <v>3083</v>
      </c>
    </row>
    <row r="241" spans="1:56" ht="40.5" customHeight="1" x14ac:dyDescent="0.25">
      <c r="A241" s="7" t="s">
        <v>58</v>
      </c>
      <c r="B241" s="2" t="s">
        <v>3084</v>
      </c>
      <c r="C241" s="2" t="s">
        <v>3085</v>
      </c>
      <c r="D241" s="2" t="s">
        <v>3086</v>
      </c>
      <c r="F241" s="3" t="s">
        <v>58</v>
      </c>
      <c r="G241" s="3" t="s">
        <v>59</v>
      </c>
      <c r="H241" s="3" t="s">
        <v>58</v>
      </c>
      <c r="I241" s="3" t="s">
        <v>58</v>
      </c>
      <c r="J241" s="3" t="s">
        <v>60</v>
      </c>
      <c r="K241" s="2" t="s">
        <v>3087</v>
      </c>
      <c r="L241" s="2" t="s">
        <v>2623</v>
      </c>
      <c r="M241" s="3" t="s">
        <v>831</v>
      </c>
      <c r="O241" s="3" t="s">
        <v>64</v>
      </c>
      <c r="P241" s="3" t="s">
        <v>152</v>
      </c>
      <c r="R241" s="3" t="s">
        <v>66</v>
      </c>
      <c r="S241" s="4">
        <v>3</v>
      </c>
      <c r="T241" s="4">
        <v>3</v>
      </c>
      <c r="U241" s="5" t="s">
        <v>3088</v>
      </c>
      <c r="V241" s="5" t="s">
        <v>3088</v>
      </c>
      <c r="W241" s="5" t="s">
        <v>3036</v>
      </c>
      <c r="X241" s="5" t="s">
        <v>3036</v>
      </c>
      <c r="Y241" s="4">
        <v>186</v>
      </c>
      <c r="Z241" s="4">
        <v>138</v>
      </c>
      <c r="AA241" s="4">
        <v>199</v>
      </c>
      <c r="AB241" s="4">
        <v>2</v>
      </c>
      <c r="AC241" s="4">
        <v>3</v>
      </c>
      <c r="AD241" s="4">
        <v>6</v>
      </c>
      <c r="AE241" s="4">
        <v>9</v>
      </c>
      <c r="AF241" s="4">
        <v>0</v>
      </c>
      <c r="AG241" s="4">
        <v>1</v>
      </c>
      <c r="AH241" s="4">
        <v>3</v>
      </c>
      <c r="AI241" s="4">
        <v>4</v>
      </c>
      <c r="AJ241" s="4">
        <v>3</v>
      </c>
      <c r="AK241" s="4">
        <v>3</v>
      </c>
      <c r="AL241" s="4">
        <v>1</v>
      </c>
      <c r="AM241" s="4">
        <v>2</v>
      </c>
      <c r="AN241" s="4">
        <v>0</v>
      </c>
      <c r="AO241" s="4">
        <v>0</v>
      </c>
      <c r="AP241" s="3" t="s">
        <v>58</v>
      </c>
      <c r="AQ241" s="3" t="s">
        <v>58</v>
      </c>
      <c r="AS241" s="6" t="str">
        <f>HYPERLINK("https://creighton-primo.hosted.exlibrisgroup.com/primo-explore/search?tab=default_tab&amp;search_scope=EVERYTHING&amp;vid=01CRU&amp;lang=en_US&amp;offset=0&amp;query=any,contains,991001569909702656","Catalog Record")</f>
        <v>Catalog Record</v>
      </c>
      <c r="AT241" s="6" t="str">
        <f>HYPERLINK("http://www.worldcat.org/oclc/37179642","WorldCat Record")</f>
        <v>WorldCat Record</v>
      </c>
      <c r="AU241" s="3" t="s">
        <v>3089</v>
      </c>
      <c r="AV241" s="3" t="s">
        <v>3090</v>
      </c>
      <c r="AW241" s="3" t="s">
        <v>3091</v>
      </c>
      <c r="AX241" s="3" t="s">
        <v>3091</v>
      </c>
      <c r="AY241" s="3" t="s">
        <v>3092</v>
      </c>
      <c r="AZ241" s="3" t="s">
        <v>73</v>
      </c>
      <c r="BB241" s="3" t="s">
        <v>3093</v>
      </c>
      <c r="BC241" s="3" t="s">
        <v>3094</v>
      </c>
      <c r="BD241" s="3" t="s">
        <v>3095</v>
      </c>
    </row>
    <row r="242" spans="1:56" ht="40.5" customHeight="1" x14ac:dyDescent="0.25">
      <c r="A242" s="7" t="s">
        <v>58</v>
      </c>
      <c r="B242" s="2" t="s">
        <v>3096</v>
      </c>
      <c r="C242" s="2" t="s">
        <v>3097</v>
      </c>
      <c r="D242" s="2" t="s">
        <v>3098</v>
      </c>
      <c r="F242" s="3" t="s">
        <v>58</v>
      </c>
      <c r="G242" s="3" t="s">
        <v>59</v>
      </c>
      <c r="H242" s="3" t="s">
        <v>58</v>
      </c>
      <c r="I242" s="3" t="s">
        <v>58</v>
      </c>
      <c r="J242" s="3" t="s">
        <v>60</v>
      </c>
      <c r="K242" s="2" t="s">
        <v>3099</v>
      </c>
      <c r="L242" s="2" t="s">
        <v>3100</v>
      </c>
      <c r="M242" s="3" t="s">
        <v>1365</v>
      </c>
      <c r="N242" s="2" t="s">
        <v>198</v>
      </c>
      <c r="O242" s="3" t="s">
        <v>64</v>
      </c>
      <c r="P242" s="3" t="s">
        <v>135</v>
      </c>
      <c r="R242" s="3" t="s">
        <v>66</v>
      </c>
      <c r="S242" s="4">
        <v>1</v>
      </c>
      <c r="T242" s="4">
        <v>1</v>
      </c>
      <c r="U242" s="5" t="s">
        <v>3101</v>
      </c>
      <c r="V242" s="5" t="s">
        <v>3101</v>
      </c>
      <c r="W242" s="5" t="s">
        <v>3102</v>
      </c>
      <c r="X242" s="5" t="s">
        <v>3102</v>
      </c>
      <c r="Y242" s="4">
        <v>337</v>
      </c>
      <c r="Z242" s="4">
        <v>256</v>
      </c>
      <c r="AA242" s="4">
        <v>302</v>
      </c>
      <c r="AB242" s="4">
        <v>4</v>
      </c>
      <c r="AC242" s="4">
        <v>4</v>
      </c>
      <c r="AD242" s="4">
        <v>12</v>
      </c>
      <c r="AE242" s="4">
        <v>14</v>
      </c>
      <c r="AF242" s="4">
        <v>3</v>
      </c>
      <c r="AG242" s="4">
        <v>3</v>
      </c>
      <c r="AH242" s="4">
        <v>3</v>
      </c>
      <c r="AI242" s="4">
        <v>4</v>
      </c>
      <c r="AJ242" s="4">
        <v>7</v>
      </c>
      <c r="AK242" s="4">
        <v>8</v>
      </c>
      <c r="AL242" s="4">
        <v>3</v>
      </c>
      <c r="AM242" s="4">
        <v>3</v>
      </c>
      <c r="AN242" s="4">
        <v>0</v>
      </c>
      <c r="AO242" s="4">
        <v>0</v>
      </c>
      <c r="AP242" s="3" t="s">
        <v>58</v>
      </c>
      <c r="AQ242" s="3" t="s">
        <v>58</v>
      </c>
      <c r="AS242" s="6" t="str">
        <f>HYPERLINK("https://creighton-primo.hosted.exlibrisgroup.com/primo-explore/search?tab=default_tab&amp;search_scope=EVERYTHING&amp;vid=01CRU&amp;lang=en_US&amp;offset=0&amp;query=any,contains,991000425749702656","Catalog Record")</f>
        <v>Catalog Record</v>
      </c>
      <c r="AT242" s="6" t="str">
        <f>HYPERLINK("http://www.worldcat.org/oclc/52090799","WorldCat Record")</f>
        <v>WorldCat Record</v>
      </c>
      <c r="AU242" s="3" t="s">
        <v>3103</v>
      </c>
      <c r="AV242" s="3" t="s">
        <v>3104</v>
      </c>
      <c r="AW242" s="3" t="s">
        <v>3105</v>
      </c>
      <c r="AX242" s="3" t="s">
        <v>3105</v>
      </c>
      <c r="AY242" s="3" t="s">
        <v>3106</v>
      </c>
      <c r="AZ242" s="3" t="s">
        <v>73</v>
      </c>
      <c r="BB242" s="3" t="s">
        <v>3107</v>
      </c>
      <c r="BC242" s="3" t="s">
        <v>3108</v>
      </c>
      <c r="BD242" s="3" t="s">
        <v>3109</v>
      </c>
    </row>
    <row r="243" spans="1:56" ht="40.5" customHeight="1" x14ac:dyDescent="0.25">
      <c r="A243" s="7" t="s">
        <v>58</v>
      </c>
      <c r="B243" s="2" t="s">
        <v>3110</v>
      </c>
      <c r="C243" s="2" t="s">
        <v>3111</v>
      </c>
      <c r="D243" s="2" t="s">
        <v>3112</v>
      </c>
      <c r="F243" s="3" t="s">
        <v>58</v>
      </c>
      <c r="G243" s="3" t="s">
        <v>59</v>
      </c>
      <c r="H243" s="3" t="s">
        <v>58</v>
      </c>
      <c r="I243" s="3" t="s">
        <v>58</v>
      </c>
      <c r="J243" s="3" t="s">
        <v>60</v>
      </c>
      <c r="L243" s="2" t="s">
        <v>3113</v>
      </c>
      <c r="M243" s="3" t="s">
        <v>644</v>
      </c>
      <c r="O243" s="3" t="s">
        <v>64</v>
      </c>
      <c r="P243" s="3" t="s">
        <v>117</v>
      </c>
      <c r="R243" s="3" t="s">
        <v>66</v>
      </c>
      <c r="S243" s="4">
        <v>2</v>
      </c>
      <c r="T243" s="4">
        <v>2</v>
      </c>
      <c r="U243" s="5" t="s">
        <v>3114</v>
      </c>
      <c r="V243" s="5" t="s">
        <v>3114</v>
      </c>
      <c r="W243" s="5" t="s">
        <v>3114</v>
      </c>
      <c r="X243" s="5" t="s">
        <v>3114</v>
      </c>
      <c r="Y243" s="4">
        <v>222</v>
      </c>
      <c r="Z243" s="4">
        <v>142</v>
      </c>
      <c r="AA243" s="4">
        <v>724</v>
      </c>
      <c r="AB243" s="4">
        <v>1</v>
      </c>
      <c r="AC243" s="4">
        <v>2</v>
      </c>
      <c r="AD243" s="4">
        <v>5</v>
      </c>
      <c r="AE243" s="4">
        <v>13</v>
      </c>
      <c r="AF243" s="4">
        <v>3</v>
      </c>
      <c r="AG243" s="4">
        <v>9</v>
      </c>
      <c r="AH243" s="4">
        <v>1</v>
      </c>
      <c r="AI243" s="4">
        <v>2</v>
      </c>
      <c r="AJ243" s="4">
        <v>3</v>
      </c>
      <c r="AK243" s="4">
        <v>5</v>
      </c>
      <c r="AL243" s="4">
        <v>0</v>
      </c>
      <c r="AM243" s="4">
        <v>1</v>
      </c>
      <c r="AN243" s="4">
        <v>0</v>
      </c>
      <c r="AO243" s="4">
        <v>0</v>
      </c>
      <c r="AP243" s="3" t="s">
        <v>58</v>
      </c>
      <c r="AQ243" s="3" t="s">
        <v>58</v>
      </c>
      <c r="AS243" s="6" t="str">
        <f>HYPERLINK("https://creighton-primo.hosted.exlibrisgroup.com/primo-explore/search?tab=default_tab&amp;search_scope=EVERYTHING&amp;vid=01CRU&amp;lang=en_US&amp;offset=0&amp;query=any,contains,991001226359702656","Catalog Record")</f>
        <v>Catalog Record</v>
      </c>
      <c r="AT243" s="6" t="str">
        <f>HYPERLINK("http://www.worldcat.org/oclc/35829027","WorldCat Record")</f>
        <v>WorldCat Record</v>
      </c>
      <c r="AU243" s="3" t="s">
        <v>3115</v>
      </c>
      <c r="AV243" s="3" t="s">
        <v>3116</v>
      </c>
      <c r="AW243" s="3" t="s">
        <v>3117</v>
      </c>
      <c r="AX243" s="3" t="s">
        <v>3117</v>
      </c>
      <c r="AY243" s="3" t="s">
        <v>3118</v>
      </c>
      <c r="AZ243" s="3" t="s">
        <v>73</v>
      </c>
      <c r="BB243" s="3" t="s">
        <v>3119</v>
      </c>
      <c r="BC243" s="3" t="s">
        <v>3120</v>
      </c>
      <c r="BD243" s="3" t="s">
        <v>3121</v>
      </c>
    </row>
    <row r="244" spans="1:56" ht="40.5" customHeight="1" x14ac:dyDescent="0.25">
      <c r="A244" s="7" t="s">
        <v>58</v>
      </c>
      <c r="B244" s="2" t="s">
        <v>3122</v>
      </c>
      <c r="C244" s="2" t="s">
        <v>3123</v>
      </c>
      <c r="D244" s="2" t="s">
        <v>3124</v>
      </c>
      <c r="F244" s="3" t="s">
        <v>58</v>
      </c>
      <c r="G244" s="3" t="s">
        <v>59</v>
      </c>
      <c r="H244" s="3" t="s">
        <v>58</v>
      </c>
      <c r="I244" s="3" t="s">
        <v>58</v>
      </c>
      <c r="J244" s="3" t="s">
        <v>60</v>
      </c>
      <c r="K244" s="2" t="s">
        <v>3125</v>
      </c>
      <c r="L244" s="2" t="s">
        <v>3126</v>
      </c>
      <c r="M244" s="3" t="s">
        <v>831</v>
      </c>
      <c r="O244" s="3" t="s">
        <v>64</v>
      </c>
      <c r="P244" s="3" t="s">
        <v>117</v>
      </c>
      <c r="Q244" s="2" t="s">
        <v>1253</v>
      </c>
      <c r="R244" s="3" t="s">
        <v>66</v>
      </c>
      <c r="S244" s="4">
        <v>1</v>
      </c>
      <c r="T244" s="4">
        <v>1</v>
      </c>
      <c r="U244" s="5" t="s">
        <v>3101</v>
      </c>
      <c r="V244" s="5" t="s">
        <v>3101</v>
      </c>
      <c r="W244" s="5" t="s">
        <v>3102</v>
      </c>
      <c r="X244" s="5" t="s">
        <v>3102</v>
      </c>
      <c r="Y244" s="4">
        <v>474</v>
      </c>
      <c r="Z244" s="4">
        <v>366</v>
      </c>
      <c r="AA244" s="4">
        <v>383</v>
      </c>
      <c r="AB244" s="4">
        <v>6</v>
      </c>
      <c r="AC244" s="4">
        <v>6</v>
      </c>
      <c r="AD244" s="4">
        <v>26</v>
      </c>
      <c r="AE244" s="4">
        <v>28</v>
      </c>
      <c r="AF244" s="4">
        <v>9</v>
      </c>
      <c r="AG244" s="4">
        <v>10</v>
      </c>
      <c r="AH244" s="4">
        <v>7</v>
      </c>
      <c r="AI244" s="4">
        <v>7</v>
      </c>
      <c r="AJ244" s="4">
        <v>9</v>
      </c>
      <c r="AK244" s="4">
        <v>11</v>
      </c>
      <c r="AL244" s="4">
        <v>5</v>
      </c>
      <c r="AM244" s="4">
        <v>5</v>
      </c>
      <c r="AN244" s="4">
        <v>0</v>
      </c>
      <c r="AO244" s="4">
        <v>0</v>
      </c>
      <c r="AP244" s="3" t="s">
        <v>58</v>
      </c>
      <c r="AQ244" s="3" t="s">
        <v>58</v>
      </c>
      <c r="AS244" s="6" t="str">
        <f>HYPERLINK("https://creighton-primo.hosted.exlibrisgroup.com/primo-explore/search?tab=default_tab&amp;search_scope=EVERYTHING&amp;vid=01CRU&amp;lang=en_US&amp;offset=0&amp;query=any,contains,991000425699702656","Catalog Record")</f>
        <v>Catalog Record</v>
      </c>
      <c r="AT244" s="6" t="str">
        <f>HYPERLINK("http://www.worldcat.org/oclc/36858098","WorldCat Record")</f>
        <v>WorldCat Record</v>
      </c>
      <c r="AU244" s="3" t="s">
        <v>3127</v>
      </c>
      <c r="AV244" s="3" t="s">
        <v>3128</v>
      </c>
      <c r="AW244" s="3" t="s">
        <v>3129</v>
      </c>
      <c r="AX244" s="3" t="s">
        <v>3129</v>
      </c>
      <c r="AY244" s="3" t="s">
        <v>3130</v>
      </c>
      <c r="AZ244" s="3" t="s">
        <v>73</v>
      </c>
      <c r="BB244" s="3" t="s">
        <v>3131</v>
      </c>
      <c r="BC244" s="3" t="s">
        <v>3132</v>
      </c>
      <c r="BD244" s="3" t="s">
        <v>3133</v>
      </c>
    </row>
    <row r="245" spans="1:56" ht="40.5" customHeight="1" x14ac:dyDescent="0.25">
      <c r="A245" s="7" t="s">
        <v>58</v>
      </c>
      <c r="B245" s="2" t="s">
        <v>3134</v>
      </c>
      <c r="C245" s="2" t="s">
        <v>3135</v>
      </c>
      <c r="D245" s="2" t="s">
        <v>3136</v>
      </c>
      <c r="F245" s="3" t="s">
        <v>58</v>
      </c>
      <c r="G245" s="3" t="s">
        <v>59</v>
      </c>
      <c r="H245" s="3" t="s">
        <v>58</v>
      </c>
      <c r="I245" s="3" t="s">
        <v>58</v>
      </c>
      <c r="J245" s="3" t="s">
        <v>60</v>
      </c>
      <c r="K245" s="2" t="s">
        <v>3137</v>
      </c>
      <c r="L245" s="2" t="s">
        <v>3138</v>
      </c>
      <c r="M245" s="3" t="s">
        <v>167</v>
      </c>
      <c r="O245" s="3" t="s">
        <v>64</v>
      </c>
      <c r="P245" s="3" t="s">
        <v>3139</v>
      </c>
      <c r="R245" s="3" t="s">
        <v>66</v>
      </c>
      <c r="S245" s="4">
        <v>2</v>
      </c>
      <c r="T245" s="4">
        <v>2</v>
      </c>
      <c r="U245" s="5" t="s">
        <v>3140</v>
      </c>
      <c r="V245" s="5" t="s">
        <v>3140</v>
      </c>
      <c r="W245" s="5" t="s">
        <v>2090</v>
      </c>
      <c r="X245" s="5" t="s">
        <v>2090</v>
      </c>
      <c r="Y245" s="4">
        <v>263</v>
      </c>
      <c r="Z245" s="4">
        <v>192</v>
      </c>
      <c r="AA245" s="4">
        <v>194</v>
      </c>
      <c r="AB245" s="4">
        <v>3</v>
      </c>
      <c r="AC245" s="4">
        <v>3</v>
      </c>
      <c r="AD245" s="4">
        <v>2</v>
      </c>
      <c r="AE245" s="4">
        <v>2</v>
      </c>
      <c r="AF245" s="4">
        <v>0</v>
      </c>
      <c r="AG245" s="4">
        <v>0</v>
      </c>
      <c r="AH245" s="4">
        <v>0</v>
      </c>
      <c r="AI245" s="4">
        <v>0</v>
      </c>
      <c r="AJ245" s="4">
        <v>0</v>
      </c>
      <c r="AK245" s="4">
        <v>0</v>
      </c>
      <c r="AL245" s="4">
        <v>2</v>
      </c>
      <c r="AM245" s="4">
        <v>2</v>
      </c>
      <c r="AN245" s="4">
        <v>0</v>
      </c>
      <c r="AO245" s="4">
        <v>0</v>
      </c>
      <c r="AP245" s="3" t="s">
        <v>58</v>
      </c>
      <c r="AQ245" s="3" t="s">
        <v>85</v>
      </c>
      <c r="AR245" s="6" t="str">
        <f>HYPERLINK("http://catalog.hathitrust.org/Record/007972919","HathiTrust Record")</f>
        <v>HathiTrust Record</v>
      </c>
      <c r="AS245" s="6" t="str">
        <f>HYPERLINK("https://creighton-primo.hosted.exlibrisgroup.com/primo-explore/search?tab=default_tab&amp;search_scope=EVERYTHING&amp;vid=01CRU&amp;lang=en_US&amp;offset=0&amp;query=any,contains,991000898269702656","Catalog Record")</f>
        <v>Catalog Record</v>
      </c>
      <c r="AT245" s="6" t="str">
        <f>HYPERLINK("http://www.worldcat.org/oclc/1360899","WorldCat Record")</f>
        <v>WorldCat Record</v>
      </c>
      <c r="AU245" s="3" t="s">
        <v>3141</v>
      </c>
      <c r="AV245" s="3" t="s">
        <v>3142</v>
      </c>
      <c r="AW245" s="3" t="s">
        <v>3143</v>
      </c>
      <c r="AX245" s="3" t="s">
        <v>3143</v>
      </c>
      <c r="AY245" s="3" t="s">
        <v>3144</v>
      </c>
      <c r="AZ245" s="3" t="s">
        <v>73</v>
      </c>
      <c r="BB245" s="3" t="s">
        <v>3145</v>
      </c>
      <c r="BC245" s="3" t="s">
        <v>3146</v>
      </c>
      <c r="BD245" s="3" t="s">
        <v>3147</v>
      </c>
    </row>
    <row r="246" spans="1:56" ht="40.5" customHeight="1" x14ac:dyDescent="0.25">
      <c r="A246" s="7" t="s">
        <v>58</v>
      </c>
      <c r="B246" s="2" t="s">
        <v>3148</v>
      </c>
      <c r="C246" s="2" t="s">
        <v>3149</v>
      </c>
      <c r="D246" s="2" t="s">
        <v>3150</v>
      </c>
      <c r="F246" s="3" t="s">
        <v>58</v>
      </c>
      <c r="G246" s="3" t="s">
        <v>59</v>
      </c>
      <c r="H246" s="3" t="s">
        <v>58</v>
      </c>
      <c r="I246" s="3" t="s">
        <v>58</v>
      </c>
      <c r="J246" s="3" t="s">
        <v>60</v>
      </c>
      <c r="L246" s="2" t="s">
        <v>3151</v>
      </c>
      <c r="M246" s="3" t="s">
        <v>614</v>
      </c>
      <c r="O246" s="3" t="s">
        <v>64</v>
      </c>
      <c r="P246" s="3" t="s">
        <v>135</v>
      </c>
      <c r="R246" s="3" t="s">
        <v>66</v>
      </c>
      <c r="S246" s="4">
        <v>2</v>
      </c>
      <c r="T246" s="4">
        <v>2</v>
      </c>
      <c r="U246" s="5" t="s">
        <v>3152</v>
      </c>
      <c r="V246" s="5" t="s">
        <v>3152</v>
      </c>
      <c r="W246" s="5" t="s">
        <v>3153</v>
      </c>
      <c r="X246" s="5" t="s">
        <v>3153</v>
      </c>
      <c r="Y246" s="4">
        <v>69</v>
      </c>
      <c r="Z246" s="4">
        <v>33</v>
      </c>
      <c r="AA246" s="4">
        <v>35</v>
      </c>
      <c r="AB246" s="4">
        <v>1</v>
      </c>
      <c r="AC246" s="4">
        <v>1</v>
      </c>
      <c r="AD246" s="4">
        <v>0</v>
      </c>
      <c r="AE246" s="4">
        <v>0</v>
      </c>
      <c r="AF246" s="4">
        <v>0</v>
      </c>
      <c r="AG246" s="4">
        <v>0</v>
      </c>
      <c r="AH246" s="4">
        <v>0</v>
      </c>
      <c r="AI246" s="4">
        <v>0</v>
      </c>
      <c r="AJ246" s="4">
        <v>0</v>
      </c>
      <c r="AK246" s="4">
        <v>0</v>
      </c>
      <c r="AL246" s="4">
        <v>0</v>
      </c>
      <c r="AM246" s="4">
        <v>0</v>
      </c>
      <c r="AN246" s="4">
        <v>0</v>
      </c>
      <c r="AO246" s="4">
        <v>0</v>
      </c>
      <c r="AP246" s="3" t="s">
        <v>58</v>
      </c>
      <c r="AQ246" s="3" t="s">
        <v>85</v>
      </c>
      <c r="AR246" s="6" t="str">
        <f>HYPERLINK("http://catalog.hathitrust.org/Record/006248103","HathiTrust Record")</f>
        <v>HathiTrust Record</v>
      </c>
      <c r="AS246" s="6" t="str">
        <f>HYPERLINK("https://creighton-primo.hosted.exlibrisgroup.com/primo-explore/search?tab=default_tab&amp;search_scope=EVERYTHING&amp;vid=01CRU&amp;lang=en_US&amp;offset=0&amp;query=any,contains,991000827779702656","Catalog Record")</f>
        <v>Catalog Record</v>
      </c>
      <c r="AT246" s="6" t="str">
        <f>HYPERLINK("http://www.worldcat.org/oclc/22862636","WorldCat Record")</f>
        <v>WorldCat Record</v>
      </c>
      <c r="AU246" s="3" t="s">
        <v>3154</v>
      </c>
      <c r="AV246" s="3" t="s">
        <v>3155</v>
      </c>
      <c r="AW246" s="3" t="s">
        <v>3156</v>
      </c>
      <c r="AX246" s="3" t="s">
        <v>3156</v>
      </c>
      <c r="AY246" s="3" t="s">
        <v>3157</v>
      </c>
      <c r="AZ246" s="3" t="s">
        <v>73</v>
      </c>
      <c r="BB246" s="3" t="s">
        <v>3158</v>
      </c>
      <c r="BC246" s="3" t="s">
        <v>3159</v>
      </c>
      <c r="BD246" s="3" t="s">
        <v>3160</v>
      </c>
    </row>
    <row r="247" spans="1:56" ht="40.5" customHeight="1" x14ac:dyDescent="0.25">
      <c r="A247" s="7" t="s">
        <v>58</v>
      </c>
      <c r="B247" s="2" t="s">
        <v>3161</v>
      </c>
      <c r="C247" s="2" t="s">
        <v>3162</v>
      </c>
      <c r="D247" s="2" t="s">
        <v>3163</v>
      </c>
      <c r="F247" s="3" t="s">
        <v>58</v>
      </c>
      <c r="G247" s="3" t="s">
        <v>59</v>
      </c>
      <c r="H247" s="3" t="s">
        <v>58</v>
      </c>
      <c r="I247" s="3" t="s">
        <v>58</v>
      </c>
      <c r="J247" s="3" t="s">
        <v>60</v>
      </c>
      <c r="K247" s="2" t="s">
        <v>3164</v>
      </c>
      <c r="L247" s="2" t="s">
        <v>3165</v>
      </c>
      <c r="M247" s="3" t="s">
        <v>150</v>
      </c>
      <c r="O247" s="3" t="s">
        <v>64</v>
      </c>
      <c r="P247" s="3" t="s">
        <v>886</v>
      </c>
      <c r="R247" s="3" t="s">
        <v>66</v>
      </c>
      <c r="S247" s="4">
        <v>0</v>
      </c>
      <c r="T247" s="4">
        <v>0</v>
      </c>
      <c r="U247" s="5" t="s">
        <v>3166</v>
      </c>
      <c r="V247" s="5" t="s">
        <v>3166</v>
      </c>
      <c r="W247" s="5" t="s">
        <v>3167</v>
      </c>
      <c r="X247" s="5" t="s">
        <v>3167</v>
      </c>
      <c r="Y247" s="4">
        <v>40</v>
      </c>
      <c r="Z247" s="4">
        <v>21</v>
      </c>
      <c r="AA247" s="4">
        <v>58</v>
      </c>
      <c r="AB247" s="4">
        <v>1</v>
      </c>
      <c r="AC247" s="4">
        <v>1</v>
      </c>
      <c r="AD247" s="4">
        <v>0</v>
      </c>
      <c r="AE247" s="4">
        <v>0</v>
      </c>
      <c r="AF247" s="4">
        <v>0</v>
      </c>
      <c r="AG247" s="4">
        <v>0</v>
      </c>
      <c r="AH247" s="4">
        <v>0</v>
      </c>
      <c r="AI247" s="4">
        <v>0</v>
      </c>
      <c r="AJ247" s="4">
        <v>0</v>
      </c>
      <c r="AK247" s="4">
        <v>0</v>
      </c>
      <c r="AL247" s="4">
        <v>0</v>
      </c>
      <c r="AM247" s="4">
        <v>0</v>
      </c>
      <c r="AN247" s="4">
        <v>0</v>
      </c>
      <c r="AO247" s="4">
        <v>0</v>
      </c>
      <c r="AP247" s="3" t="s">
        <v>58</v>
      </c>
      <c r="AQ247" s="3" t="s">
        <v>58</v>
      </c>
      <c r="AS247" s="6" t="str">
        <f>HYPERLINK("https://creighton-primo.hosted.exlibrisgroup.com/primo-explore/search?tab=default_tab&amp;search_scope=EVERYTHING&amp;vid=01CRU&amp;lang=en_US&amp;offset=0&amp;query=any,contains,991000593479702656","Catalog Record")</f>
        <v>Catalog Record</v>
      </c>
      <c r="AT247" s="6" t="str">
        <f>HYPERLINK("http://www.worldcat.org/oclc/59280353","WorldCat Record")</f>
        <v>WorldCat Record</v>
      </c>
      <c r="AU247" s="3" t="s">
        <v>3168</v>
      </c>
      <c r="AV247" s="3" t="s">
        <v>3169</v>
      </c>
      <c r="AW247" s="3" t="s">
        <v>3170</v>
      </c>
      <c r="AX247" s="3" t="s">
        <v>3170</v>
      </c>
      <c r="AY247" s="3" t="s">
        <v>3171</v>
      </c>
      <c r="AZ247" s="3" t="s">
        <v>73</v>
      </c>
      <c r="BB247" s="3" t="s">
        <v>3172</v>
      </c>
      <c r="BC247" s="3" t="s">
        <v>3173</v>
      </c>
      <c r="BD247" s="3" t="s">
        <v>3174</v>
      </c>
    </row>
    <row r="248" spans="1:56" ht="40.5" customHeight="1" x14ac:dyDescent="0.25">
      <c r="A248" s="7" t="s">
        <v>58</v>
      </c>
      <c r="B248" s="2" t="s">
        <v>3175</v>
      </c>
      <c r="C248" s="2" t="s">
        <v>3176</v>
      </c>
      <c r="D248" s="2" t="s">
        <v>3177</v>
      </c>
      <c r="F248" s="3" t="s">
        <v>58</v>
      </c>
      <c r="G248" s="3" t="s">
        <v>59</v>
      </c>
      <c r="H248" s="3" t="s">
        <v>58</v>
      </c>
      <c r="I248" s="3" t="s">
        <v>58</v>
      </c>
      <c r="J248" s="3" t="s">
        <v>60</v>
      </c>
      <c r="L248" s="2" t="s">
        <v>3178</v>
      </c>
      <c r="M248" s="3" t="s">
        <v>1067</v>
      </c>
      <c r="O248" s="3" t="s">
        <v>64</v>
      </c>
      <c r="P248" s="3" t="s">
        <v>230</v>
      </c>
      <c r="Q248" s="2" t="s">
        <v>3179</v>
      </c>
      <c r="R248" s="3" t="s">
        <v>66</v>
      </c>
      <c r="S248" s="4">
        <v>10</v>
      </c>
      <c r="T248" s="4">
        <v>10</v>
      </c>
      <c r="U248" s="5" t="s">
        <v>3180</v>
      </c>
      <c r="V248" s="5" t="s">
        <v>3180</v>
      </c>
      <c r="W248" s="5" t="s">
        <v>3181</v>
      </c>
      <c r="X248" s="5" t="s">
        <v>3181</v>
      </c>
      <c r="Y248" s="4">
        <v>305</v>
      </c>
      <c r="Z248" s="4">
        <v>200</v>
      </c>
      <c r="AA248" s="4">
        <v>445</v>
      </c>
      <c r="AB248" s="4">
        <v>1</v>
      </c>
      <c r="AC248" s="4">
        <v>4</v>
      </c>
      <c r="AD248" s="4">
        <v>9</v>
      </c>
      <c r="AE248" s="4">
        <v>21</v>
      </c>
      <c r="AF248" s="4">
        <v>4</v>
      </c>
      <c r="AG248" s="4">
        <v>7</v>
      </c>
      <c r="AH248" s="4">
        <v>3</v>
      </c>
      <c r="AI248" s="4">
        <v>8</v>
      </c>
      <c r="AJ248" s="4">
        <v>7</v>
      </c>
      <c r="AK248" s="4">
        <v>10</v>
      </c>
      <c r="AL248" s="4">
        <v>0</v>
      </c>
      <c r="AM248" s="4">
        <v>3</v>
      </c>
      <c r="AN248" s="4">
        <v>0</v>
      </c>
      <c r="AO248" s="4">
        <v>0</v>
      </c>
      <c r="AP248" s="3" t="s">
        <v>58</v>
      </c>
      <c r="AQ248" s="3" t="s">
        <v>85</v>
      </c>
      <c r="AR248" s="6" t="str">
        <f>HYPERLINK("http://catalog.hathitrust.org/Record/002514771","HathiTrust Record")</f>
        <v>HathiTrust Record</v>
      </c>
      <c r="AS248" s="6" t="str">
        <f>HYPERLINK("https://creighton-primo.hosted.exlibrisgroup.com/primo-explore/search?tab=default_tab&amp;search_scope=EVERYTHING&amp;vid=01CRU&amp;lang=en_US&amp;offset=0&amp;query=any,contains,991001302279702656","Catalog Record")</f>
        <v>Catalog Record</v>
      </c>
      <c r="AT248" s="6" t="str">
        <f>HYPERLINK("http://www.worldcat.org/oclc/24848546","WorldCat Record")</f>
        <v>WorldCat Record</v>
      </c>
      <c r="AU248" s="3" t="s">
        <v>3182</v>
      </c>
      <c r="AV248" s="3" t="s">
        <v>3183</v>
      </c>
      <c r="AW248" s="3" t="s">
        <v>3184</v>
      </c>
      <c r="AX248" s="3" t="s">
        <v>3184</v>
      </c>
      <c r="AY248" s="3" t="s">
        <v>3185</v>
      </c>
      <c r="AZ248" s="3" t="s">
        <v>73</v>
      </c>
      <c r="BB248" s="3" t="s">
        <v>3186</v>
      </c>
      <c r="BC248" s="3" t="s">
        <v>3187</v>
      </c>
      <c r="BD248" s="3" t="s">
        <v>3188</v>
      </c>
    </row>
    <row r="249" spans="1:56" ht="40.5" customHeight="1" x14ac:dyDescent="0.25">
      <c r="A249" s="7" t="s">
        <v>58</v>
      </c>
      <c r="B249" s="2" t="s">
        <v>3189</v>
      </c>
      <c r="C249" s="2" t="s">
        <v>3190</v>
      </c>
      <c r="D249" s="2" t="s">
        <v>3191</v>
      </c>
      <c r="F249" s="3" t="s">
        <v>58</v>
      </c>
      <c r="G249" s="3" t="s">
        <v>59</v>
      </c>
      <c r="H249" s="3" t="s">
        <v>58</v>
      </c>
      <c r="I249" s="3" t="s">
        <v>58</v>
      </c>
      <c r="J249" s="3" t="s">
        <v>60</v>
      </c>
      <c r="L249" s="2" t="s">
        <v>3192</v>
      </c>
      <c r="M249" s="3" t="s">
        <v>1027</v>
      </c>
      <c r="O249" s="3" t="s">
        <v>64</v>
      </c>
      <c r="P249" s="3" t="s">
        <v>152</v>
      </c>
      <c r="Q249" s="2" t="s">
        <v>3193</v>
      </c>
      <c r="R249" s="3" t="s">
        <v>66</v>
      </c>
      <c r="S249" s="4">
        <v>6</v>
      </c>
      <c r="T249" s="4">
        <v>6</v>
      </c>
      <c r="U249" s="5" t="s">
        <v>119</v>
      </c>
      <c r="V249" s="5" t="s">
        <v>119</v>
      </c>
      <c r="W249" s="5" t="s">
        <v>2555</v>
      </c>
      <c r="X249" s="5" t="s">
        <v>2555</v>
      </c>
      <c r="Y249" s="4">
        <v>100</v>
      </c>
      <c r="Z249" s="4">
        <v>79</v>
      </c>
      <c r="AA249" s="4">
        <v>88</v>
      </c>
      <c r="AB249" s="4">
        <v>1</v>
      </c>
      <c r="AC249" s="4">
        <v>1</v>
      </c>
      <c r="AD249" s="4">
        <v>1</v>
      </c>
      <c r="AE249" s="4">
        <v>1</v>
      </c>
      <c r="AF249" s="4">
        <v>0</v>
      </c>
      <c r="AG249" s="4">
        <v>0</v>
      </c>
      <c r="AH249" s="4">
        <v>1</v>
      </c>
      <c r="AI249" s="4">
        <v>1</v>
      </c>
      <c r="AJ249" s="4">
        <v>0</v>
      </c>
      <c r="AK249" s="4">
        <v>0</v>
      </c>
      <c r="AL249" s="4">
        <v>0</v>
      </c>
      <c r="AM249" s="4">
        <v>0</v>
      </c>
      <c r="AN249" s="4">
        <v>0</v>
      </c>
      <c r="AO249" s="4">
        <v>0</v>
      </c>
      <c r="AP249" s="3" t="s">
        <v>58</v>
      </c>
      <c r="AQ249" s="3" t="s">
        <v>85</v>
      </c>
      <c r="AR249" s="6" t="str">
        <f>HYPERLINK("http://catalog.hathitrust.org/Record/001423488","HathiTrust Record")</f>
        <v>HathiTrust Record</v>
      </c>
      <c r="AS249" s="6" t="str">
        <f>HYPERLINK("https://creighton-primo.hosted.exlibrisgroup.com/primo-explore/search?tab=default_tab&amp;search_scope=EVERYTHING&amp;vid=01CRU&amp;lang=en_US&amp;offset=0&amp;query=any,contains,991000898729702656","Catalog Record")</f>
        <v>Catalog Record</v>
      </c>
      <c r="AT249" s="6" t="str">
        <f>HYPERLINK("http://www.worldcat.org/oclc/55840","WorldCat Record")</f>
        <v>WorldCat Record</v>
      </c>
      <c r="AU249" s="3" t="s">
        <v>3194</v>
      </c>
      <c r="AV249" s="3" t="s">
        <v>3195</v>
      </c>
      <c r="AW249" s="3" t="s">
        <v>3196</v>
      </c>
      <c r="AX249" s="3" t="s">
        <v>3196</v>
      </c>
      <c r="AY249" s="3" t="s">
        <v>3197</v>
      </c>
      <c r="AZ249" s="3" t="s">
        <v>73</v>
      </c>
      <c r="BC249" s="3" t="s">
        <v>3198</v>
      </c>
      <c r="BD249" s="3" t="s">
        <v>3199</v>
      </c>
    </row>
    <row r="250" spans="1:56" ht="40.5" customHeight="1" x14ac:dyDescent="0.25">
      <c r="A250" s="7" t="s">
        <v>58</v>
      </c>
      <c r="B250" s="2" t="s">
        <v>3200</v>
      </c>
      <c r="C250" s="2" t="s">
        <v>3201</v>
      </c>
      <c r="D250" s="2" t="s">
        <v>3202</v>
      </c>
      <c r="F250" s="3" t="s">
        <v>58</v>
      </c>
      <c r="G250" s="3" t="s">
        <v>59</v>
      </c>
      <c r="H250" s="3" t="s">
        <v>58</v>
      </c>
      <c r="I250" s="3" t="s">
        <v>58</v>
      </c>
      <c r="J250" s="3" t="s">
        <v>60</v>
      </c>
      <c r="L250" s="2" t="s">
        <v>3203</v>
      </c>
      <c r="M250" s="3" t="s">
        <v>98</v>
      </c>
      <c r="O250" s="3" t="s">
        <v>64</v>
      </c>
      <c r="P250" s="3" t="s">
        <v>3204</v>
      </c>
      <c r="Q250" s="2" t="s">
        <v>3205</v>
      </c>
      <c r="R250" s="3" t="s">
        <v>66</v>
      </c>
      <c r="S250" s="4">
        <v>1</v>
      </c>
      <c r="T250" s="4">
        <v>1</v>
      </c>
      <c r="U250" s="5" t="s">
        <v>3206</v>
      </c>
      <c r="V250" s="5" t="s">
        <v>3206</v>
      </c>
      <c r="W250" s="5" t="s">
        <v>2555</v>
      </c>
      <c r="X250" s="5" t="s">
        <v>2555</v>
      </c>
      <c r="Y250" s="4">
        <v>197</v>
      </c>
      <c r="Z250" s="4">
        <v>162</v>
      </c>
      <c r="AA250" s="4">
        <v>163</v>
      </c>
      <c r="AB250" s="4">
        <v>1</v>
      </c>
      <c r="AC250" s="4">
        <v>1</v>
      </c>
      <c r="AD250" s="4">
        <v>3</v>
      </c>
      <c r="AE250" s="4">
        <v>3</v>
      </c>
      <c r="AF250" s="4">
        <v>1</v>
      </c>
      <c r="AG250" s="4">
        <v>1</v>
      </c>
      <c r="AH250" s="4">
        <v>2</v>
      </c>
      <c r="AI250" s="4">
        <v>2</v>
      </c>
      <c r="AJ250" s="4">
        <v>1</v>
      </c>
      <c r="AK250" s="4">
        <v>1</v>
      </c>
      <c r="AL250" s="4">
        <v>0</v>
      </c>
      <c r="AM250" s="4">
        <v>0</v>
      </c>
      <c r="AN250" s="4">
        <v>0</v>
      </c>
      <c r="AO250" s="4">
        <v>0</v>
      </c>
      <c r="AP250" s="3" t="s">
        <v>58</v>
      </c>
      <c r="AQ250" s="3" t="s">
        <v>85</v>
      </c>
      <c r="AR250" s="6" t="str">
        <f>HYPERLINK("http://catalog.hathitrust.org/Record/000205199","HathiTrust Record")</f>
        <v>HathiTrust Record</v>
      </c>
      <c r="AS250" s="6" t="str">
        <f>HYPERLINK("https://creighton-primo.hosted.exlibrisgroup.com/primo-explore/search?tab=default_tab&amp;search_scope=EVERYTHING&amp;vid=01CRU&amp;lang=en_US&amp;offset=0&amp;query=any,contains,991000898779702656","Catalog Record")</f>
        <v>Catalog Record</v>
      </c>
      <c r="AT250" s="6" t="str">
        <f>HYPERLINK("http://www.worldcat.org/oclc/9464455","WorldCat Record")</f>
        <v>WorldCat Record</v>
      </c>
      <c r="AU250" s="3" t="s">
        <v>3207</v>
      </c>
      <c r="AV250" s="3" t="s">
        <v>3208</v>
      </c>
      <c r="AW250" s="3" t="s">
        <v>3209</v>
      </c>
      <c r="AX250" s="3" t="s">
        <v>3209</v>
      </c>
      <c r="AY250" s="3" t="s">
        <v>3210</v>
      </c>
      <c r="AZ250" s="3" t="s">
        <v>73</v>
      </c>
      <c r="BC250" s="3" t="s">
        <v>3211</v>
      </c>
      <c r="BD250" s="3" t="s">
        <v>3212</v>
      </c>
    </row>
    <row r="251" spans="1:56" ht="40.5" customHeight="1" x14ac:dyDescent="0.25">
      <c r="A251" s="7" t="s">
        <v>58</v>
      </c>
      <c r="B251" s="2" t="s">
        <v>3213</v>
      </c>
      <c r="C251" s="2" t="s">
        <v>3214</v>
      </c>
      <c r="D251" s="2" t="s">
        <v>3215</v>
      </c>
      <c r="F251" s="3" t="s">
        <v>58</v>
      </c>
      <c r="G251" s="3" t="s">
        <v>59</v>
      </c>
      <c r="H251" s="3" t="s">
        <v>58</v>
      </c>
      <c r="I251" s="3" t="s">
        <v>58</v>
      </c>
      <c r="J251" s="3" t="s">
        <v>60</v>
      </c>
      <c r="L251" s="2" t="s">
        <v>3216</v>
      </c>
      <c r="M251" s="3" t="s">
        <v>365</v>
      </c>
      <c r="O251" s="3" t="s">
        <v>64</v>
      </c>
      <c r="P251" s="3" t="s">
        <v>396</v>
      </c>
      <c r="Q251" s="2" t="s">
        <v>3217</v>
      </c>
      <c r="R251" s="3" t="s">
        <v>66</v>
      </c>
      <c r="S251" s="4">
        <v>3</v>
      </c>
      <c r="T251" s="4">
        <v>3</v>
      </c>
      <c r="U251" s="5" t="s">
        <v>3218</v>
      </c>
      <c r="V251" s="5" t="s">
        <v>3218</v>
      </c>
      <c r="W251" s="5" t="s">
        <v>3219</v>
      </c>
      <c r="X251" s="5" t="s">
        <v>3219</v>
      </c>
      <c r="Y251" s="4">
        <v>122</v>
      </c>
      <c r="Z251" s="4">
        <v>77</v>
      </c>
      <c r="AA251" s="4">
        <v>89</v>
      </c>
      <c r="AB251" s="4">
        <v>2</v>
      </c>
      <c r="AC251" s="4">
        <v>2</v>
      </c>
      <c r="AD251" s="4">
        <v>2</v>
      </c>
      <c r="AE251" s="4">
        <v>2</v>
      </c>
      <c r="AF251" s="4">
        <v>0</v>
      </c>
      <c r="AG251" s="4">
        <v>0</v>
      </c>
      <c r="AH251" s="4">
        <v>1</v>
      </c>
      <c r="AI251" s="4">
        <v>1</v>
      </c>
      <c r="AJ251" s="4">
        <v>0</v>
      </c>
      <c r="AK251" s="4">
        <v>0</v>
      </c>
      <c r="AL251" s="4">
        <v>1</v>
      </c>
      <c r="AM251" s="4">
        <v>1</v>
      </c>
      <c r="AN251" s="4">
        <v>0</v>
      </c>
      <c r="AO251" s="4">
        <v>0</v>
      </c>
      <c r="AP251" s="3" t="s">
        <v>58</v>
      </c>
      <c r="AQ251" s="3" t="s">
        <v>58</v>
      </c>
      <c r="AS251" s="6" t="str">
        <f>HYPERLINK("https://creighton-primo.hosted.exlibrisgroup.com/primo-explore/search?tab=default_tab&amp;search_scope=EVERYTHING&amp;vid=01CRU&amp;lang=en_US&amp;offset=0&amp;query=any,contains,991000684989702656","Catalog Record")</f>
        <v>Catalog Record</v>
      </c>
      <c r="AT251" s="6" t="str">
        <f>HYPERLINK("http://www.worldcat.org/oclc/30895162","WorldCat Record")</f>
        <v>WorldCat Record</v>
      </c>
      <c r="AU251" s="3" t="s">
        <v>3220</v>
      </c>
      <c r="AV251" s="3" t="s">
        <v>3221</v>
      </c>
      <c r="AW251" s="3" t="s">
        <v>3222</v>
      </c>
      <c r="AX251" s="3" t="s">
        <v>3222</v>
      </c>
      <c r="AY251" s="3" t="s">
        <v>3223</v>
      </c>
      <c r="AZ251" s="3" t="s">
        <v>73</v>
      </c>
      <c r="BB251" s="3" t="s">
        <v>3224</v>
      </c>
      <c r="BC251" s="3" t="s">
        <v>3225</v>
      </c>
      <c r="BD251" s="3" t="s">
        <v>3226</v>
      </c>
    </row>
    <row r="252" spans="1:56" ht="40.5" customHeight="1" x14ac:dyDescent="0.25">
      <c r="A252" s="7" t="s">
        <v>58</v>
      </c>
      <c r="B252" s="2" t="s">
        <v>3227</v>
      </c>
      <c r="C252" s="2" t="s">
        <v>3228</v>
      </c>
      <c r="D252" s="2" t="s">
        <v>3229</v>
      </c>
      <c r="F252" s="3" t="s">
        <v>58</v>
      </c>
      <c r="G252" s="3" t="s">
        <v>59</v>
      </c>
      <c r="H252" s="3" t="s">
        <v>58</v>
      </c>
      <c r="I252" s="3" t="s">
        <v>58</v>
      </c>
      <c r="J252" s="3" t="s">
        <v>60</v>
      </c>
      <c r="K252" s="2" t="s">
        <v>3230</v>
      </c>
      <c r="L252" s="2" t="s">
        <v>3231</v>
      </c>
      <c r="M252" s="3" t="s">
        <v>1067</v>
      </c>
      <c r="N252" s="2" t="s">
        <v>134</v>
      </c>
      <c r="O252" s="3" t="s">
        <v>64</v>
      </c>
      <c r="P252" s="3" t="s">
        <v>135</v>
      </c>
      <c r="R252" s="3" t="s">
        <v>66</v>
      </c>
      <c r="S252" s="4">
        <v>16</v>
      </c>
      <c r="T252" s="4">
        <v>16</v>
      </c>
      <c r="U252" s="5" t="s">
        <v>119</v>
      </c>
      <c r="V252" s="5" t="s">
        <v>119</v>
      </c>
      <c r="W252" s="5" t="s">
        <v>3232</v>
      </c>
      <c r="X252" s="5" t="s">
        <v>3232</v>
      </c>
      <c r="Y252" s="4">
        <v>352</v>
      </c>
      <c r="Z252" s="4">
        <v>180</v>
      </c>
      <c r="AA252" s="4">
        <v>650</v>
      </c>
      <c r="AB252" s="4">
        <v>2</v>
      </c>
      <c r="AC252" s="4">
        <v>5</v>
      </c>
      <c r="AD252" s="4">
        <v>8</v>
      </c>
      <c r="AE252" s="4">
        <v>23</v>
      </c>
      <c r="AF252" s="4">
        <v>3</v>
      </c>
      <c r="AG252" s="4">
        <v>8</v>
      </c>
      <c r="AH252" s="4">
        <v>3</v>
      </c>
      <c r="AI252" s="4">
        <v>7</v>
      </c>
      <c r="AJ252" s="4">
        <v>5</v>
      </c>
      <c r="AK252" s="4">
        <v>12</v>
      </c>
      <c r="AL252" s="4">
        <v>1</v>
      </c>
      <c r="AM252" s="4">
        <v>4</v>
      </c>
      <c r="AN252" s="4">
        <v>0</v>
      </c>
      <c r="AO252" s="4">
        <v>0</v>
      </c>
      <c r="AP252" s="3" t="s">
        <v>58</v>
      </c>
      <c r="AQ252" s="3" t="s">
        <v>85</v>
      </c>
      <c r="AR252" s="6" t="str">
        <f>HYPERLINK("http://catalog.hathitrust.org/Record/002463629","HathiTrust Record")</f>
        <v>HathiTrust Record</v>
      </c>
      <c r="AS252" s="6" t="str">
        <f>HYPERLINK("https://creighton-primo.hosted.exlibrisgroup.com/primo-explore/search?tab=default_tab&amp;search_scope=EVERYTHING&amp;vid=01CRU&amp;lang=en_US&amp;offset=0&amp;query=any,contains,991000764769702656","Catalog Record")</f>
        <v>Catalog Record</v>
      </c>
      <c r="AT252" s="6" t="str">
        <f>HYPERLINK("http://www.worldcat.org/oclc/23179955","WorldCat Record")</f>
        <v>WorldCat Record</v>
      </c>
      <c r="AU252" s="3" t="s">
        <v>3233</v>
      </c>
      <c r="AV252" s="3" t="s">
        <v>3234</v>
      </c>
      <c r="AW252" s="3" t="s">
        <v>3235</v>
      </c>
      <c r="AX252" s="3" t="s">
        <v>3235</v>
      </c>
      <c r="AY252" s="3" t="s">
        <v>3236</v>
      </c>
      <c r="AZ252" s="3" t="s">
        <v>73</v>
      </c>
      <c r="BB252" s="3" t="s">
        <v>3237</v>
      </c>
      <c r="BC252" s="3" t="s">
        <v>3238</v>
      </c>
      <c r="BD252" s="3" t="s">
        <v>3239</v>
      </c>
    </row>
    <row r="253" spans="1:56" ht="40.5" customHeight="1" x14ac:dyDescent="0.25">
      <c r="A253" s="7" t="s">
        <v>58</v>
      </c>
      <c r="B253" s="2" t="s">
        <v>3240</v>
      </c>
      <c r="C253" s="2" t="s">
        <v>3241</v>
      </c>
      <c r="D253" s="2" t="s">
        <v>3242</v>
      </c>
      <c r="E253" s="3" t="s">
        <v>3243</v>
      </c>
      <c r="F253" s="3" t="s">
        <v>58</v>
      </c>
      <c r="G253" s="3" t="s">
        <v>59</v>
      </c>
      <c r="H253" s="3" t="s">
        <v>58</v>
      </c>
      <c r="I253" s="3" t="s">
        <v>58</v>
      </c>
      <c r="J253" s="3" t="s">
        <v>60</v>
      </c>
      <c r="K253" s="2" t="s">
        <v>3244</v>
      </c>
      <c r="L253" s="2" t="s">
        <v>1947</v>
      </c>
      <c r="M253" s="3" t="s">
        <v>182</v>
      </c>
      <c r="O253" s="3" t="s">
        <v>64</v>
      </c>
      <c r="P253" s="3" t="s">
        <v>65</v>
      </c>
      <c r="Q253" s="2" t="s">
        <v>3245</v>
      </c>
      <c r="R253" s="3" t="s">
        <v>66</v>
      </c>
      <c r="S253" s="4">
        <v>5</v>
      </c>
      <c r="T253" s="4">
        <v>5</v>
      </c>
      <c r="U253" s="5" t="s">
        <v>1550</v>
      </c>
      <c r="V253" s="5" t="s">
        <v>1550</v>
      </c>
      <c r="W253" s="5" t="s">
        <v>3246</v>
      </c>
      <c r="X253" s="5" t="s">
        <v>3246</v>
      </c>
      <c r="Y253" s="4">
        <v>197</v>
      </c>
      <c r="Z253" s="4">
        <v>144</v>
      </c>
      <c r="AA253" s="4">
        <v>160</v>
      </c>
      <c r="AB253" s="4">
        <v>3</v>
      </c>
      <c r="AC253" s="4">
        <v>3</v>
      </c>
      <c r="AD253" s="4">
        <v>8</v>
      </c>
      <c r="AE253" s="4">
        <v>9</v>
      </c>
      <c r="AF253" s="4">
        <v>0</v>
      </c>
      <c r="AG253" s="4">
        <v>1</v>
      </c>
      <c r="AH253" s="4">
        <v>4</v>
      </c>
      <c r="AI253" s="4">
        <v>4</v>
      </c>
      <c r="AJ253" s="4">
        <v>4</v>
      </c>
      <c r="AK253" s="4">
        <v>5</v>
      </c>
      <c r="AL253" s="4">
        <v>2</v>
      </c>
      <c r="AM253" s="4">
        <v>2</v>
      </c>
      <c r="AN253" s="4">
        <v>0</v>
      </c>
      <c r="AO253" s="4">
        <v>0</v>
      </c>
      <c r="AP253" s="3" t="s">
        <v>58</v>
      </c>
      <c r="AQ253" s="3" t="s">
        <v>58</v>
      </c>
      <c r="AS253" s="6" t="str">
        <f>HYPERLINK("https://creighton-primo.hosted.exlibrisgroup.com/primo-explore/search?tab=default_tab&amp;search_scope=EVERYTHING&amp;vid=01CRU&amp;lang=en_US&amp;offset=0&amp;query=any,contains,991001183369702656","Catalog Record")</f>
        <v>Catalog Record</v>
      </c>
      <c r="AT253" s="6" t="str">
        <f>HYPERLINK("http://www.worldcat.org/oclc/15790355","WorldCat Record")</f>
        <v>WorldCat Record</v>
      </c>
      <c r="AU253" s="3" t="s">
        <v>3247</v>
      </c>
      <c r="AV253" s="3" t="s">
        <v>3248</v>
      </c>
      <c r="AW253" s="3" t="s">
        <v>3249</v>
      </c>
      <c r="AX253" s="3" t="s">
        <v>3249</v>
      </c>
      <c r="AY253" s="3" t="s">
        <v>3250</v>
      </c>
      <c r="AZ253" s="3" t="s">
        <v>73</v>
      </c>
      <c r="BB253" s="3" t="s">
        <v>3251</v>
      </c>
      <c r="BC253" s="3" t="s">
        <v>3252</v>
      </c>
      <c r="BD253" s="3" t="s">
        <v>3253</v>
      </c>
    </row>
    <row r="254" spans="1:56" ht="40.5" customHeight="1" x14ac:dyDescent="0.25">
      <c r="A254" s="7" t="s">
        <v>58</v>
      </c>
      <c r="B254" s="2" t="s">
        <v>3254</v>
      </c>
      <c r="C254" s="2" t="s">
        <v>3255</v>
      </c>
      <c r="D254" s="2" t="s">
        <v>3256</v>
      </c>
      <c r="E254" s="3" t="s">
        <v>1447</v>
      </c>
      <c r="F254" s="3" t="s">
        <v>58</v>
      </c>
      <c r="G254" s="3" t="s">
        <v>59</v>
      </c>
      <c r="H254" s="3" t="s">
        <v>58</v>
      </c>
      <c r="I254" s="3" t="s">
        <v>58</v>
      </c>
      <c r="J254" s="3" t="s">
        <v>60</v>
      </c>
      <c r="L254" s="2" t="s">
        <v>3257</v>
      </c>
      <c r="M254" s="3" t="s">
        <v>726</v>
      </c>
      <c r="O254" s="3" t="s">
        <v>64</v>
      </c>
      <c r="P254" s="3" t="s">
        <v>65</v>
      </c>
      <c r="Q254" s="2" t="s">
        <v>3258</v>
      </c>
      <c r="R254" s="3" t="s">
        <v>66</v>
      </c>
      <c r="S254" s="4">
        <v>5</v>
      </c>
      <c r="T254" s="4">
        <v>5</v>
      </c>
      <c r="U254" s="5" t="s">
        <v>3259</v>
      </c>
      <c r="V254" s="5" t="s">
        <v>3259</v>
      </c>
      <c r="W254" s="5" t="s">
        <v>3260</v>
      </c>
      <c r="X254" s="5" t="s">
        <v>3260</v>
      </c>
      <c r="Y254" s="4">
        <v>160</v>
      </c>
      <c r="Z254" s="4">
        <v>110</v>
      </c>
      <c r="AA254" s="4">
        <v>127</v>
      </c>
      <c r="AB254" s="4">
        <v>1</v>
      </c>
      <c r="AC254" s="4">
        <v>1</v>
      </c>
      <c r="AD254" s="4">
        <v>5</v>
      </c>
      <c r="AE254" s="4">
        <v>6</v>
      </c>
      <c r="AF254" s="4">
        <v>1</v>
      </c>
      <c r="AG254" s="4">
        <v>2</v>
      </c>
      <c r="AH254" s="4">
        <v>4</v>
      </c>
      <c r="AI254" s="4">
        <v>4</v>
      </c>
      <c r="AJ254" s="4">
        <v>3</v>
      </c>
      <c r="AK254" s="4">
        <v>4</v>
      </c>
      <c r="AL254" s="4">
        <v>0</v>
      </c>
      <c r="AM254" s="4">
        <v>0</v>
      </c>
      <c r="AN254" s="4">
        <v>0</v>
      </c>
      <c r="AO254" s="4">
        <v>0</v>
      </c>
      <c r="AP254" s="3" t="s">
        <v>58</v>
      </c>
      <c r="AQ254" s="3" t="s">
        <v>58</v>
      </c>
      <c r="AS254" s="6" t="str">
        <f>HYPERLINK("https://creighton-primo.hosted.exlibrisgroup.com/primo-explore/search?tab=default_tab&amp;search_scope=EVERYTHING&amp;vid=01CRU&amp;lang=en_US&amp;offset=0&amp;query=any,contains,991001372679702656","Catalog Record")</f>
        <v>Catalog Record</v>
      </c>
      <c r="AT254" s="6" t="str">
        <f>HYPERLINK("http://www.worldcat.org/oclc/21195405","WorldCat Record")</f>
        <v>WorldCat Record</v>
      </c>
      <c r="AU254" s="3" t="s">
        <v>3261</v>
      </c>
      <c r="AV254" s="3" t="s">
        <v>3262</v>
      </c>
      <c r="AW254" s="3" t="s">
        <v>3263</v>
      </c>
      <c r="AX254" s="3" t="s">
        <v>3263</v>
      </c>
      <c r="AY254" s="3" t="s">
        <v>3264</v>
      </c>
      <c r="AZ254" s="3" t="s">
        <v>73</v>
      </c>
      <c r="BB254" s="3" t="s">
        <v>3265</v>
      </c>
      <c r="BC254" s="3" t="s">
        <v>3266</v>
      </c>
      <c r="BD254" s="3" t="s">
        <v>3267</v>
      </c>
    </row>
    <row r="255" spans="1:56" ht="40.5" customHeight="1" x14ac:dyDescent="0.25">
      <c r="A255" s="7" t="s">
        <v>58</v>
      </c>
      <c r="B255" s="2" t="s">
        <v>3268</v>
      </c>
      <c r="C255" s="2" t="s">
        <v>3269</v>
      </c>
      <c r="D255" s="2" t="s">
        <v>3270</v>
      </c>
      <c r="E255" s="3" t="s">
        <v>1707</v>
      </c>
      <c r="F255" s="3" t="s">
        <v>58</v>
      </c>
      <c r="G255" s="3" t="s">
        <v>59</v>
      </c>
      <c r="H255" s="3" t="s">
        <v>58</v>
      </c>
      <c r="I255" s="3" t="s">
        <v>58</v>
      </c>
      <c r="J255" s="3" t="s">
        <v>60</v>
      </c>
      <c r="K255" s="2" t="s">
        <v>3271</v>
      </c>
      <c r="L255" s="2" t="s">
        <v>3272</v>
      </c>
      <c r="M255" s="3" t="s">
        <v>2552</v>
      </c>
      <c r="O255" s="3" t="s">
        <v>64</v>
      </c>
      <c r="P255" s="3" t="s">
        <v>117</v>
      </c>
      <c r="Q255" s="2" t="s">
        <v>3273</v>
      </c>
      <c r="R255" s="3" t="s">
        <v>66</v>
      </c>
      <c r="S255" s="4">
        <v>1</v>
      </c>
      <c r="T255" s="4">
        <v>1</v>
      </c>
      <c r="U255" s="5" t="s">
        <v>3274</v>
      </c>
      <c r="V255" s="5" t="s">
        <v>3274</v>
      </c>
      <c r="W255" s="5" t="s">
        <v>2555</v>
      </c>
      <c r="X255" s="5" t="s">
        <v>2555</v>
      </c>
      <c r="Y255" s="4">
        <v>254</v>
      </c>
      <c r="Z255" s="4">
        <v>198</v>
      </c>
      <c r="AA255" s="4">
        <v>198</v>
      </c>
      <c r="AB255" s="4">
        <v>1</v>
      </c>
      <c r="AC255" s="4">
        <v>1</v>
      </c>
      <c r="AD255" s="4">
        <v>9</v>
      </c>
      <c r="AE255" s="4">
        <v>9</v>
      </c>
      <c r="AF255" s="4">
        <v>3</v>
      </c>
      <c r="AG255" s="4">
        <v>3</v>
      </c>
      <c r="AH255" s="4">
        <v>5</v>
      </c>
      <c r="AI255" s="4">
        <v>5</v>
      </c>
      <c r="AJ255" s="4">
        <v>4</v>
      </c>
      <c r="AK255" s="4">
        <v>4</v>
      </c>
      <c r="AL255" s="4">
        <v>0</v>
      </c>
      <c r="AM255" s="4">
        <v>0</v>
      </c>
      <c r="AN255" s="4">
        <v>0</v>
      </c>
      <c r="AO255" s="4">
        <v>0</v>
      </c>
      <c r="AP255" s="3" t="s">
        <v>58</v>
      </c>
      <c r="AQ255" s="3" t="s">
        <v>58</v>
      </c>
      <c r="AS255" s="6" t="str">
        <f>HYPERLINK("https://creighton-primo.hosted.exlibrisgroup.com/primo-explore/search?tab=default_tab&amp;search_scope=EVERYTHING&amp;vid=01CRU&amp;lang=en_US&amp;offset=0&amp;query=any,contains,991000898959702656","Catalog Record")</f>
        <v>Catalog Record</v>
      </c>
      <c r="AT255" s="6" t="str">
        <f>HYPERLINK("http://www.worldcat.org/oclc/12586927","WorldCat Record")</f>
        <v>WorldCat Record</v>
      </c>
      <c r="AU255" s="3" t="s">
        <v>3275</v>
      </c>
      <c r="AV255" s="3" t="s">
        <v>3276</v>
      </c>
      <c r="AW255" s="3" t="s">
        <v>3277</v>
      </c>
      <c r="AX255" s="3" t="s">
        <v>3277</v>
      </c>
      <c r="AY255" s="3" t="s">
        <v>3278</v>
      </c>
      <c r="AZ255" s="3" t="s">
        <v>73</v>
      </c>
      <c r="BB255" s="3" t="s">
        <v>3279</v>
      </c>
      <c r="BC255" s="3" t="s">
        <v>3280</v>
      </c>
      <c r="BD255" s="3" t="s">
        <v>3281</v>
      </c>
    </row>
    <row r="256" spans="1:56" ht="40.5" customHeight="1" x14ac:dyDescent="0.25">
      <c r="A256" s="7" t="s">
        <v>58</v>
      </c>
      <c r="B256" s="2" t="s">
        <v>3282</v>
      </c>
      <c r="C256" s="2" t="s">
        <v>3283</v>
      </c>
      <c r="D256" s="2" t="s">
        <v>3284</v>
      </c>
      <c r="E256" s="3" t="s">
        <v>1434</v>
      </c>
      <c r="F256" s="3" t="s">
        <v>58</v>
      </c>
      <c r="G256" s="3" t="s">
        <v>59</v>
      </c>
      <c r="H256" s="3" t="s">
        <v>58</v>
      </c>
      <c r="I256" s="3" t="s">
        <v>58</v>
      </c>
      <c r="J256" s="3" t="s">
        <v>60</v>
      </c>
      <c r="K256" s="2" t="s">
        <v>3285</v>
      </c>
      <c r="L256" s="2" t="s">
        <v>3286</v>
      </c>
      <c r="M256" s="3" t="s">
        <v>98</v>
      </c>
      <c r="O256" s="3" t="s">
        <v>64</v>
      </c>
      <c r="P256" s="3" t="s">
        <v>117</v>
      </c>
      <c r="Q256" s="2" t="s">
        <v>3287</v>
      </c>
      <c r="R256" s="3" t="s">
        <v>66</v>
      </c>
      <c r="S256" s="4">
        <v>3</v>
      </c>
      <c r="T256" s="4">
        <v>3</v>
      </c>
      <c r="U256" s="5" t="s">
        <v>3288</v>
      </c>
      <c r="V256" s="5" t="s">
        <v>3288</v>
      </c>
      <c r="W256" s="5" t="s">
        <v>3289</v>
      </c>
      <c r="X256" s="5" t="s">
        <v>3289</v>
      </c>
      <c r="Y256" s="4">
        <v>185</v>
      </c>
      <c r="Z256" s="4">
        <v>144</v>
      </c>
      <c r="AA256" s="4">
        <v>160</v>
      </c>
      <c r="AB256" s="4">
        <v>2</v>
      </c>
      <c r="AC256" s="4">
        <v>2</v>
      </c>
      <c r="AD256" s="4">
        <v>6</v>
      </c>
      <c r="AE256" s="4">
        <v>7</v>
      </c>
      <c r="AF256" s="4">
        <v>1</v>
      </c>
      <c r="AG256" s="4">
        <v>2</v>
      </c>
      <c r="AH256" s="4">
        <v>5</v>
      </c>
      <c r="AI256" s="4">
        <v>5</v>
      </c>
      <c r="AJ256" s="4">
        <v>2</v>
      </c>
      <c r="AK256" s="4">
        <v>3</v>
      </c>
      <c r="AL256" s="4">
        <v>1</v>
      </c>
      <c r="AM256" s="4">
        <v>1</v>
      </c>
      <c r="AN256" s="4">
        <v>0</v>
      </c>
      <c r="AO256" s="4">
        <v>0</v>
      </c>
      <c r="AP256" s="3" t="s">
        <v>58</v>
      </c>
      <c r="AQ256" s="3" t="s">
        <v>58</v>
      </c>
      <c r="AS256" s="6" t="str">
        <f>HYPERLINK("https://creighton-primo.hosted.exlibrisgroup.com/primo-explore/search?tab=default_tab&amp;search_scope=EVERYTHING&amp;vid=01CRU&amp;lang=en_US&amp;offset=0&amp;query=any,contains,991000898919702656","Catalog Record")</f>
        <v>Catalog Record</v>
      </c>
      <c r="AT256" s="6" t="str">
        <f>HYPERLINK("http://www.worldcat.org/oclc/9557495","WorldCat Record")</f>
        <v>WorldCat Record</v>
      </c>
      <c r="AU256" s="3" t="s">
        <v>3290</v>
      </c>
      <c r="AV256" s="3" t="s">
        <v>3291</v>
      </c>
      <c r="AW256" s="3" t="s">
        <v>3292</v>
      </c>
      <c r="AX256" s="3" t="s">
        <v>3292</v>
      </c>
      <c r="AY256" s="3" t="s">
        <v>3293</v>
      </c>
      <c r="AZ256" s="3" t="s">
        <v>73</v>
      </c>
      <c r="BB256" s="3" t="s">
        <v>3294</v>
      </c>
      <c r="BC256" s="3" t="s">
        <v>3295</v>
      </c>
      <c r="BD256" s="3" t="s">
        <v>3296</v>
      </c>
    </row>
    <row r="257" spans="1:56" ht="40.5" customHeight="1" x14ac:dyDescent="0.25">
      <c r="A257" s="7" t="s">
        <v>58</v>
      </c>
      <c r="B257" s="2" t="s">
        <v>3297</v>
      </c>
      <c r="C257" s="2" t="s">
        <v>3298</v>
      </c>
      <c r="D257" s="2" t="s">
        <v>3299</v>
      </c>
      <c r="F257" s="3" t="s">
        <v>58</v>
      </c>
      <c r="G257" s="3" t="s">
        <v>59</v>
      </c>
      <c r="H257" s="3" t="s">
        <v>58</v>
      </c>
      <c r="I257" s="3" t="s">
        <v>58</v>
      </c>
      <c r="J257" s="3" t="s">
        <v>60</v>
      </c>
      <c r="K257" s="2" t="s">
        <v>3300</v>
      </c>
      <c r="L257" s="2" t="s">
        <v>2249</v>
      </c>
      <c r="M257" s="3" t="s">
        <v>424</v>
      </c>
      <c r="O257" s="3" t="s">
        <v>64</v>
      </c>
      <c r="P257" s="3" t="s">
        <v>65</v>
      </c>
      <c r="R257" s="3" t="s">
        <v>66</v>
      </c>
      <c r="S257" s="4">
        <v>4</v>
      </c>
      <c r="T257" s="4">
        <v>4</v>
      </c>
      <c r="U257" s="5" t="s">
        <v>3301</v>
      </c>
      <c r="V257" s="5" t="s">
        <v>3301</v>
      </c>
      <c r="W257" s="5" t="s">
        <v>2555</v>
      </c>
      <c r="X257" s="5" t="s">
        <v>2555</v>
      </c>
      <c r="Y257" s="4">
        <v>107</v>
      </c>
      <c r="Z257" s="4">
        <v>83</v>
      </c>
      <c r="AA257" s="4">
        <v>111</v>
      </c>
      <c r="AB257" s="4">
        <v>1</v>
      </c>
      <c r="AC257" s="4">
        <v>1</v>
      </c>
      <c r="AD257" s="4">
        <v>1</v>
      </c>
      <c r="AE257" s="4">
        <v>2</v>
      </c>
      <c r="AF257" s="4">
        <v>0</v>
      </c>
      <c r="AG257" s="4">
        <v>1</v>
      </c>
      <c r="AH257" s="4">
        <v>1</v>
      </c>
      <c r="AI257" s="4">
        <v>1</v>
      </c>
      <c r="AJ257" s="4">
        <v>0</v>
      </c>
      <c r="AK257" s="4">
        <v>1</v>
      </c>
      <c r="AL257" s="4">
        <v>0</v>
      </c>
      <c r="AM257" s="4">
        <v>0</v>
      </c>
      <c r="AN257" s="4">
        <v>0</v>
      </c>
      <c r="AO257" s="4">
        <v>0</v>
      </c>
      <c r="AP257" s="3" t="s">
        <v>58</v>
      </c>
      <c r="AQ257" s="3" t="s">
        <v>85</v>
      </c>
      <c r="AR257" s="6" t="str">
        <f>HYPERLINK("http://catalog.hathitrust.org/Record/000653753","HathiTrust Record")</f>
        <v>HathiTrust Record</v>
      </c>
      <c r="AS257" s="6" t="str">
        <f>HYPERLINK("https://creighton-primo.hosted.exlibrisgroup.com/primo-explore/search?tab=default_tab&amp;search_scope=EVERYTHING&amp;vid=01CRU&amp;lang=en_US&amp;offset=0&amp;query=any,contains,991000899059702656","Catalog Record")</f>
        <v>Catalog Record</v>
      </c>
      <c r="AT257" s="6" t="str">
        <f>HYPERLINK("http://www.worldcat.org/oclc/11532294","WorldCat Record")</f>
        <v>WorldCat Record</v>
      </c>
      <c r="AU257" s="3" t="s">
        <v>3302</v>
      </c>
      <c r="AV257" s="3" t="s">
        <v>3303</v>
      </c>
      <c r="AW257" s="3" t="s">
        <v>3304</v>
      </c>
      <c r="AX257" s="3" t="s">
        <v>3304</v>
      </c>
      <c r="AY257" s="3" t="s">
        <v>3305</v>
      </c>
      <c r="AZ257" s="3" t="s">
        <v>73</v>
      </c>
      <c r="BB257" s="3" t="s">
        <v>3306</v>
      </c>
      <c r="BC257" s="3" t="s">
        <v>3307</v>
      </c>
      <c r="BD257" s="3" t="s">
        <v>3308</v>
      </c>
    </row>
    <row r="258" spans="1:56" ht="40.5" customHeight="1" x14ac:dyDescent="0.25">
      <c r="A258" s="7" t="s">
        <v>58</v>
      </c>
      <c r="B258" s="2" t="s">
        <v>3309</v>
      </c>
      <c r="C258" s="2" t="s">
        <v>3310</v>
      </c>
      <c r="D258" s="2" t="s">
        <v>3311</v>
      </c>
      <c r="F258" s="3" t="s">
        <v>58</v>
      </c>
      <c r="G258" s="3" t="s">
        <v>59</v>
      </c>
      <c r="H258" s="3" t="s">
        <v>58</v>
      </c>
      <c r="I258" s="3" t="s">
        <v>58</v>
      </c>
      <c r="J258" s="3" t="s">
        <v>60</v>
      </c>
      <c r="K258" s="2" t="s">
        <v>3312</v>
      </c>
      <c r="L258" s="2" t="s">
        <v>3313</v>
      </c>
      <c r="M258" s="3" t="s">
        <v>726</v>
      </c>
      <c r="O258" s="3" t="s">
        <v>64</v>
      </c>
      <c r="P258" s="3" t="s">
        <v>230</v>
      </c>
      <c r="Q258" s="2" t="s">
        <v>3314</v>
      </c>
      <c r="R258" s="3" t="s">
        <v>66</v>
      </c>
      <c r="S258" s="4">
        <v>5</v>
      </c>
      <c r="T258" s="4">
        <v>5</v>
      </c>
      <c r="U258" s="5" t="s">
        <v>1208</v>
      </c>
      <c r="V258" s="5" t="s">
        <v>1208</v>
      </c>
      <c r="W258" s="5" t="s">
        <v>3315</v>
      </c>
      <c r="X258" s="5" t="s">
        <v>3315</v>
      </c>
      <c r="Y258" s="4">
        <v>63</v>
      </c>
      <c r="Z258" s="4">
        <v>52</v>
      </c>
      <c r="AA258" s="4">
        <v>55</v>
      </c>
      <c r="AB258" s="4">
        <v>1</v>
      </c>
      <c r="AC258" s="4">
        <v>1</v>
      </c>
      <c r="AD258" s="4">
        <v>0</v>
      </c>
      <c r="AE258" s="4">
        <v>0</v>
      </c>
      <c r="AF258" s="4">
        <v>0</v>
      </c>
      <c r="AG258" s="4">
        <v>0</v>
      </c>
      <c r="AH258" s="4">
        <v>0</v>
      </c>
      <c r="AI258" s="4">
        <v>0</v>
      </c>
      <c r="AJ258" s="4">
        <v>0</v>
      </c>
      <c r="AK258" s="4">
        <v>0</v>
      </c>
      <c r="AL258" s="4">
        <v>0</v>
      </c>
      <c r="AM258" s="4">
        <v>0</v>
      </c>
      <c r="AN258" s="4">
        <v>0</v>
      </c>
      <c r="AO258" s="4">
        <v>0</v>
      </c>
      <c r="AP258" s="3" t="s">
        <v>58</v>
      </c>
      <c r="AQ258" s="3" t="s">
        <v>85</v>
      </c>
      <c r="AR258" s="6" t="str">
        <f>HYPERLINK("http://catalog.hathitrust.org/Record/002443415","HathiTrust Record")</f>
        <v>HathiTrust Record</v>
      </c>
      <c r="AS258" s="6" t="str">
        <f>HYPERLINK("https://creighton-primo.hosted.exlibrisgroup.com/primo-explore/search?tab=default_tab&amp;search_scope=EVERYTHING&amp;vid=01CRU&amp;lang=en_US&amp;offset=0&amp;query=any,contains,991000827529702656","Catalog Record")</f>
        <v>Catalog Record</v>
      </c>
      <c r="AT258" s="6" t="str">
        <f>HYPERLINK("http://www.worldcat.org/oclc/22665298","WorldCat Record")</f>
        <v>WorldCat Record</v>
      </c>
      <c r="AU258" s="3" t="s">
        <v>3316</v>
      </c>
      <c r="AV258" s="3" t="s">
        <v>3317</v>
      </c>
      <c r="AW258" s="3" t="s">
        <v>3318</v>
      </c>
      <c r="AX258" s="3" t="s">
        <v>3318</v>
      </c>
      <c r="AY258" s="3" t="s">
        <v>3319</v>
      </c>
      <c r="AZ258" s="3" t="s">
        <v>73</v>
      </c>
      <c r="BB258" s="3" t="s">
        <v>3320</v>
      </c>
      <c r="BC258" s="3" t="s">
        <v>3321</v>
      </c>
      <c r="BD258" s="3" t="s">
        <v>3322</v>
      </c>
    </row>
    <row r="259" spans="1:56" ht="40.5" customHeight="1" x14ac:dyDescent="0.25">
      <c r="A259" s="7" t="s">
        <v>58</v>
      </c>
      <c r="B259" s="2" t="s">
        <v>3323</v>
      </c>
      <c r="C259" s="2" t="s">
        <v>3324</v>
      </c>
      <c r="D259" s="2" t="s">
        <v>3325</v>
      </c>
      <c r="F259" s="3" t="s">
        <v>58</v>
      </c>
      <c r="G259" s="3" t="s">
        <v>59</v>
      </c>
      <c r="H259" s="3" t="s">
        <v>58</v>
      </c>
      <c r="I259" s="3" t="s">
        <v>58</v>
      </c>
      <c r="J259" s="3" t="s">
        <v>60</v>
      </c>
      <c r="K259" s="2" t="s">
        <v>3326</v>
      </c>
      <c r="L259" s="2" t="s">
        <v>1690</v>
      </c>
      <c r="M259" s="3" t="s">
        <v>197</v>
      </c>
      <c r="O259" s="3" t="s">
        <v>64</v>
      </c>
      <c r="P259" s="3" t="s">
        <v>65</v>
      </c>
      <c r="R259" s="3" t="s">
        <v>66</v>
      </c>
      <c r="S259" s="4">
        <v>6</v>
      </c>
      <c r="T259" s="4">
        <v>6</v>
      </c>
      <c r="U259" s="5" t="s">
        <v>3327</v>
      </c>
      <c r="V259" s="5" t="s">
        <v>3327</v>
      </c>
      <c r="W259" s="5" t="s">
        <v>1551</v>
      </c>
      <c r="X259" s="5" t="s">
        <v>1551</v>
      </c>
      <c r="Y259" s="4">
        <v>147</v>
      </c>
      <c r="Z259" s="4">
        <v>107</v>
      </c>
      <c r="AA259" s="4">
        <v>147</v>
      </c>
      <c r="AB259" s="4">
        <v>2</v>
      </c>
      <c r="AC259" s="4">
        <v>2</v>
      </c>
      <c r="AD259" s="4">
        <v>5</v>
      </c>
      <c r="AE259" s="4">
        <v>5</v>
      </c>
      <c r="AF259" s="4">
        <v>1</v>
      </c>
      <c r="AG259" s="4">
        <v>1</v>
      </c>
      <c r="AH259" s="4">
        <v>2</v>
      </c>
      <c r="AI259" s="4">
        <v>2</v>
      </c>
      <c r="AJ259" s="4">
        <v>2</v>
      </c>
      <c r="AK259" s="4">
        <v>2</v>
      </c>
      <c r="AL259" s="4">
        <v>1</v>
      </c>
      <c r="AM259" s="4">
        <v>1</v>
      </c>
      <c r="AN259" s="4">
        <v>0</v>
      </c>
      <c r="AO259" s="4">
        <v>0</v>
      </c>
      <c r="AP259" s="3" t="s">
        <v>58</v>
      </c>
      <c r="AQ259" s="3" t="s">
        <v>85</v>
      </c>
      <c r="AR259" s="6" t="str">
        <f>HYPERLINK("http://catalog.hathitrust.org/Record/000917640","HathiTrust Record")</f>
        <v>HathiTrust Record</v>
      </c>
      <c r="AS259" s="6" t="str">
        <f>HYPERLINK("https://creighton-primo.hosted.exlibrisgroup.com/primo-explore/search?tab=default_tab&amp;search_scope=EVERYTHING&amp;vid=01CRU&amp;lang=en_US&amp;offset=0&amp;query=any,contains,991001314059702656","Catalog Record")</f>
        <v>Catalog Record</v>
      </c>
      <c r="AT259" s="6" t="str">
        <f>HYPERLINK("http://www.worldcat.org/oclc/16406005","WorldCat Record")</f>
        <v>WorldCat Record</v>
      </c>
      <c r="AU259" s="3" t="s">
        <v>3328</v>
      </c>
      <c r="AV259" s="3" t="s">
        <v>3329</v>
      </c>
      <c r="AW259" s="3" t="s">
        <v>3330</v>
      </c>
      <c r="AX259" s="3" t="s">
        <v>3330</v>
      </c>
      <c r="AY259" s="3" t="s">
        <v>3331</v>
      </c>
      <c r="AZ259" s="3" t="s">
        <v>73</v>
      </c>
      <c r="BB259" s="3" t="s">
        <v>3332</v>
      </c>
      <c r="BC259" s="3" t="s">
        <v>3333</v>
      </c>
      <c r="BD259" s="3" t="s">
        <v>3334</v>
      </c>
    </row>
    <row r="260" spans="1:56" ht="40.5" customHeight="1" x14ac:dyDescent="0.25">
      <c r="A260" s="7" t="s">
        <v>58</v>
      </c>
      <c r="B260" s="2" t="s">
        <v>3335</v>
      </c>
      <c r="C260" s="2" t="s">
        <v>3336</v>
      </c>
      <c r="D260" s="2" t="s">
        <v>3337</v>
      </c>
      <c r="E260" s="3" t="s">
        <v>258</v>
      </c>
      <c r="F260" s="3" t="s">
        <v>85</v>
      </c>
      <c r="G260" s="3" t="s">
        <v>59</v>
      </c>
      <c r="H260" s="3" t="s">
        <v>58</v>
      </c>
      <c r="I260" s="3" t="s">
        <v>58</v>
      </c>
      <c r="J260" s="3" t="s">
        <v>60</v>
      </c>
      <c r="L260" s="2" t="s">
        <v>409</v>
      </c>
      <c r="M260" s="3" t="s">
        <v>63</v>
      </c>
      <c r="O260" s="3" t="s">
        <v>64</v>
      </c>
      <c r="P260" s="3" t="s">
        <v>65</v>
      </c>
      <c r="Q260" s="2" t="s">
        <v>410</v>
      </c>
      <c r="R260" s="3" t="s">
        <v>66</v>
      </c>
      <c r="S260" s="4">
        <v>1</v>
      </c>
      <c r="T260" s="4">
        <v>4</v>
      </c>
      <c r="V260" s="5" t="s">
        <v>3274</v>
      </c>
      <c r="W260" s="5" t="s">
        <v>2555</v>
      </c>
      <c r="X260" s="5" t="s">
        <v>2555</v>
      </c>
      <c r="Y260" s="4">
        <v>229</v>
      </c>
      <c r="Z260" s="4">
        <v>174</v>
      </c>
      <c r="AA260" s="4">
        <v>176</v>
      </c>
      <c r="AB260" s="4">
        <v>2</v>
      </c>
      <c r="AC260" s="4">
        <v>2</v>
      </c>
      <c r="AD260" s="4">
        <v>5</v>
      </c>
      <c r="AE260" s="4">
        <v>5</v>
      </c>
      <c r="AF260" s="4">
        <v>1</v>
      </c>
      <c r="AG260" s="4">
        <v>1</v>
      </c>
      <c r="AH260" s="4">
        <v>2</v>
      </c>
      <c r="AI260" s="4">
        <v>2</v>
      </c>
      <c r="AJ260" s="4">
        <v>1</v>
      </c>
      <c r="AK260" s="4">
        <v>1</v>
      </c>
      <c r="AL260" s="4">
        <v>1</v>
      </c>
      <c r="AM260" s="4">
        <v>1</v>
      </c>
      <c r="AN260" s="4">
        <v>0</v>
      </c>
      <c r="AO260" s="4">
        <v>0</v>
      </c>
      <c r="AP260" s="3" t="s">
        <v>58</v>
      </c>
      <c r="AQ260" s="3" t="s">
        <v>85</v>
      </c>
      <c r="AR260" s="6" t="str">
        <f>HYPERLINK("http://catalog.hathitrust.org/Record/000107016","HathiTrust Record")</f>
        <v>HathiTrust Record</v>
      </c>
      <c r="AS260" s="6" t="str">
        <f>HYPERLINK("https://creighton-primo.hosted.exlibrisgroup.com/primo-explore/search?tab=default_tab&amp;search_scope=EVERYTHING&amp;vid=01CRU&amp;lang=en_US&amp;offset=0&amp;query=any,contains,991000899099702656","Catalog Record")</f>
        <v>Catalog Record</v>
      </c>
      <c r="AT260" s="6" t="str">
        <f>HYPERLINK("http://www.worldcat.org/oclc/7946445","WorldCat Record")</f>
        <v>WorldCat Record</v>
      </c>
      <c r="AU260" s="3" t="s">
        <v>3338</v>
      </c>
      <c r="AV260" s="3" t="s">
        <v>3339</v>
      </c>
      <c r="AW260" s="3" t="s">
        <v>3340</v>
      </c>
      <c r="AX260" s="3" t="s">
        <v>3340</v>
      </c>
      <c r="AY260" s="3" t="s">
        <v>3341</v>
      </c>
      <c r="AZ260" s="3" t="s">
        <v>73</v>
      </c>
      <c r="BB260" s="3" t="s">
        <v>3342</v>
      </c>
      <c r="BC260" s="3" t="s">
        <v>3343</v>
      </c>
      <c r="BD260" s="3" t="s">
        <v>3344</v>
      </c>
    </row>
    <row r="261" spans="1:56" ht="40.5" customHeight="1" x14ac:dyDescent="0.25">
      <c r="A261" s="7" t="s">
        <v>58</v>
      </c>
      <c r="B261" s="2" t="s">
        <v>3335</v>
      </c>
      <c r="C261" s="2" t="s">
        <v>3336</v>
      </c>
      <c r="D261" s="2" t="s">
        <v>3337</v>
      </c>
      <c r="E261" s="3" t="s">
        <v>96</v>
      </c>
      <c r="F261" s="3" t="s">
        <v>85</v>
      </c>
      <c r="G261" s="3" t="s">
        <v>59</v>
      </c>
      <c r="H261" s="3" t="s">
        <v>58</v>
      </c>
      <c r="I261" s="3" t="s">
        <v>58</v>
      </c>
      <c r="J261" s="3" t="s">
        <v>60</v>
      </c>
      <c r="L261" s="2" t="s">
        <v>409</v>
      </c>
      <c r="M261" s="3" t="s">
        <v>63</v>
      </c>
      <c r="O261" s="3" t="s">
        <v>64</v>
      </c>
      <c r="P261" s="3" t="s">
        <v>65</v>
      </c>
      <c r="Q261" s="2" t="s">
        <v>410</v>
      </c>
      <c r="R261" s="3" t="s">
        <v>66</v>
      </c>
      <c r="S261" s="4">
        <v>3</v>
      </c>
      <c r="T261" s="4">
        <v>4</v>
      </c>
      <c r="U261" s="5" t="s">
        <v>3274</v>
      </c>
      <c r="V261" s="5" t="s">
        <v>3274</v>
      </c>
      <c r="W261" s="5" t="s">
        <v>2555</v>
      </c>
      <c r="X261" s="5" t="s">
        <v>2555</v>
      </c>
      <c r="Y261" s="4">
        <v>229</v>
      </c>
      <c r="Z261" s="4">
        <v>174</v>
      </c>
      <c r="AA261" s="4">
        <v>176</v>
      </c>
      <c r="AB261" s="4">
        <v>2</v>
      </c>
      <c r="AC261" s="4">
        <v>2</v>
      </c>
      <c r="AD261" s="4">
        <v>5</v>
      </c>
      <c r="AE261" s="4">
        <v>5</v>
      </c>
      <c r="AF261" s="4">
        <v>1</v>
      </c>
      <c r="AG261" s="4">
        <v>1</v>
      </c>
      <c r="AH261" s="4">
        <v>2</v>
      </c>
      <c r="AI261" s="4">
        <v>2</v>
      </c>
      <c r="AJ261" s="4">
        <v>1</v>
      </c>
      <c r="AK261" s="4">
        <v>1</v>
      </c>
      <c r="AL261" s="4">
        <v>1</v>
      </c>
      <c r="AM261" s="4">
        <v>1</v>
      </c>
      <c r="AN261" s="4">
        <v>0</v>
      </c>
      <c r="AO261" s="4">
        <v>0</v>
      </c>
      <c r="AP261" s="3" t="s">
        <v>58</v>
      </c>
      <c r="AQ261" s="3" t="s">
        <v>85</v>
      </c>
      <c r="AR261" s="6" t="str">
        <f>HYPERLINK("http://catalog.hathitrust.org/Record/000107016","HathiTrust Record")</f>
        <v>HathiTrust Record</v>
      </c>
      <c r="AS261" s="6" t="str">
        <f>HYPERLINK("https://creighton-primo.hosted.exlibrisgroup.com/primo-explore/search?tab=default_tab&amp;search_scope=EVERYTHING&amp;vid=01CRU&amp;lang=en_US&amp;offset=0&amp;query=any,contains,991000899099702656","Catalog Record")</f>
        <v>Catalog Record</v>
      </c>
      <c r="AT261" s="6" t="str">
        <f>HYPERLINK("http://www.worldcat.org/oclc/7946445","WorldCat Record")</f>
        <v>WorldCat Record</v>
      </c>
      <c r="AU261" s="3" t="s">
        <v>3338</v>
      </c>
      <c r="AV261" s="3" t="s">
        <v>3339</v>
      </c>
      <c r="AW261" s="3" t="s">
        <v>3340</v>
      </c>
      <c r="AX261" s="3" t="s">
        <v>3340</v>
      </c>
      <c r="AY261" s="3" t="s">
        <v>3341</v>
      </c>
      <c r="AZ261" s="3" t="s">
        <v>73</v>
      </c>
      <c r="BB261" s="3" t="s">
        <v>3342</v>
      </c>
      <c r="BC261" s="3" t="s">
        <v>3345</v>
      </c>
      <c r="BD261" s="3" t="s">
        <v>3346</v>
      </c>
    </row>
    <row r="262" spans="1:56" ht="40.5" customHeight="1" x14ac:dyDescent="0.25">
      <c r="A262" s="7" t="s">
        <v>58</v>
      </c>
      <c r="B262" s="2" t="s">
        <v>3347</v>
      </c>
      <c r="C262" s="2" t="s">
        <v>3348</v>
      </c>
      <c r="D262" s="2" t="s">
        <v>3349</v>
      </c>
      <c r="F262" s="3" t="s">
        <v>58</v>
      </c>
      <c r="G262" s="3" t="s">
        <v>59</v>
      </c>
      <c r="H262" s="3" t="s">
        <v>58</v>
      </c>
      <c r="I262" s="3" t="s">
        <v>58</v>
      </c>
      <c r="J262" s="3" t="s">
        <v>60</v>
      </c>
      <c r="L262" s="2" t="s">
        <v>2272</v>
      </c>
      <c r="M262" s="3" t="s">
        <v>116</v>
      </c>
      <c r="O262" s="3" t="s">
        <v>64</v>
      </c>
      <c r="P262" s="3" t="s">
        <v>135</v>
      </c>
      <c r="Q262" s="2" t="s">
        <v>2345</v>
      </c>
      <c r="R262" s="3" t="s">
        <v>66</v>
      </c>
      <c r="S262" s="4">
        <v>7</v>
      </c>
      <c r="T262" s="4">
        <v>7</v>
      </c>
      <c r="U262" s="5" t="s">
        <v>3350</v>
      </c>
      <c r="V262" s="5" t="s">
        <v>3350</v>
      </c>
      <c r="W262" s="5" t="s">
        <v>3351</v>
      </c>
      <c r="X262" s="5" t="s">
        <v>3351</v>
      </c>
      <c r="Y262" s="4">
        <v>168</v>
      </c>
      <c r="Z262" s="4">
        <v>97</v>
      </c>
      <c r="AA262" s="4">
        <v>98</v>
      </c>
      <c r="AB262" s="4">
        <v>1</v>
      </c>
      <c r="AC262" s="4">
        <v>1</v>
      </c>
      <c r="AD262" s="4">
        <v>2</v>
      </c>
      <c r="AE262" s="4">
        <v>2</v>
      </c>
      <c r="AF262" s="4">
        <v>1</v>
      </c>
      <c r="AG262" s="4">
        <v>1</v>
      </c>
      <c r="AH262" s="4">
        <v>0</v>
      </c>
      <c r="AI262" s="4">
        <v>0</v>
      </c>
      <c r="AJ262" s="4">
        <v>2</v>
      </c>
      <c r="AK262" s="4">
        <v>2</v>
      </c>
      <c r="AL262" s="4">
        <v>0</v>
      </c>
      <c r="AM262" s="4">
        <v>0</v>
      </c>
      <c r="AN262" s="4">
        <v>0</v>
      </c>
      <c r="AO262" s="4">
        <v>0</v>
      </c>
      <c r="AP262" s="3" t="s">
        <v>58</v>
      </c>
      <c r="AQ262" s="3" t="s">
        <v>58</v>
      </c>
      <c r="AS262" s="6" t="str">
        <f>HYPERLINK("https://creighton-primo.hosted.exlibrisgroup.com/primo-explore/search?tab=default_tab&amp;search_scope=EVERYTHING&amp;vid=01CRU&amp;lang=en_US&amp;offset=0&amp;query=any,contains,991000686559702656","Catalog Record")</f>
        <v>Catalog Record</v>
      </c>
      <c r="AT262" s="6" t="str">
        <f>HYPERLINK("http://www.worldcat.org/oclc/26094728","WorldCat Record")</f>
        <v>WorldCat Record</v>
      </c>
      <c r="AU262" s="3" t="s">
        <v>3352</v>
      </c>
      <c r="AV262" s="3" t="s">
        <v>3353</v>
      </c>
      <c r="AW262" s="3" t="s">
        <v>3354</v>
      </c>
      <c r="AX262" s="3" t="s">
        <v>3354</v>
      </c>
      <c r="AY262" s="3" t="s">
        <v>3355</v>
      </c>
      <c r="AZ262" s="3" t="s">
        <v>73</v>
      </c>
      <c r="BB262" s="3" t="s">
        <v>3356</v>
      </c>
      <c r="BC262" s="3" t="s">
        <v>3357</v>
      </c>
      <c r="BD262" s="3" t="s">
        <v>3358</v>
      </c>
    </row>
    <row r="263" spans="1:56" ht="40.5" customHeight="1" x14ac:dyDescent="0.25">
      <c r="A263" s="7" t="s">
        <v>58</v>
      </c>
      <c r="B263" s="2" t="s">
        <v>3359</v>
      </c>
      <c r="C263" s="2" t="s">
        <v>3360</v>
      </c>
      <c r="D263" s="2" t="s">
        <v>3361</v>
      </c>
      <c r="F263" s="3" t="s">
        <v>58</v>
      </c>
      <c r="G263" s="3" t="s">
        <v>59</v>
      </c>
      <c r="H263" s="3" t="s">
        <v>58</v>
      </c>
      <c r="I263" s="3" t="s">
        <v>58</v>
      </c>
      <c r="J263" s="3" t="s">
        <v>60</v>
      </c>
      <c r="L263" s="2" t="s">
        <v>2272</v>
      </c>
      <c r="M263" s="3" t="s">
        <v>116</v>
      </c>
      <c r="O263" s="3" t="s">
        <v>64</v>
      </c>
      <c r="P263" s="3" t="s">
        <v>135</v>
      </c>
      <c r="Q263" s="2" t="s">
        <v>2345</v>
      </c>
      <c r="R263" s="3" t="s">
        <v>66</v>
      </c>
      <c r="S263" s="4">
        <v>2</v>
      </c>
      <c r="T263" s="4">
        <v>2</v>
      </c>
      <c r="U263" s="5" t="s">
        <v>3362</v>
      </c>
      <c r="V263" s="5" t="s">
        <v>3362</v>
      </c>
      <c r="W263" s="5" t="s">
        <v>3351</v>
      </c>
      <c r="X263" s="5" t="s">
        <v>3351</v>
      </c>
      <c r="Y263" s="4">
        <v>190</v>
      </c>
      <c r="Z263" s="4">
        <v>115</v>
      </c>
      <c r="AA263" s="4">
        <v>118</v>
      </c>
      <c r="AB263" s="4">
        <v>1</v>
      </c>
      <c r="AC263" s="4">
        <v>1</v>
      </c>
      <c r="AD263" s="4">
        <v>4</v>
      </c>
      <c r="AE263" s="4">
        <v>4</v>
      </c>
      <c r="AF263" s="4">
        <v>1</v>
      </c>
      <c r="AG263" s="4">
        <v>1</v>
      </c>
      <c r="AH263" s="4">
        <v>2</v>
      </c>
      <c r="AI263" s="4">
        <v>2</v>
      </c>
      <c r="AJ263" s="4">
        <v>3</v>
      </c>
      <c r="AK263" s="4">
        <v>3</v>
      </c>
      <c r="AL263" s="4">
        <v>0</v>
      </c>
      <c r="AM263" s="4">
        <v>0</v>
      </c>
      <c r="AN263" s="4">
        <v>0</v>
      </c>
      <c r="AO263" s="4">
        <v>0</v>
      </c>
      <c r="AP263" s="3" t="s">
        <v>58</v>
      </c>
      <c r="AQ263" s="3" t="s">
        <v>85</v>
      </c>
      <c r="AR263" s="6" t="str">
        <f>HYPERLINK("http://catalog.hathitrust.org/Record/002585939","HathiTrust Record")</f>
        <v>HathiTrust Record</v>
      </c>
      <c r="AS263" s="6" t="str">
        <f>HYPERLINK("https://creighton-primo.hosted.exlibrisgroup.com/primo-explore/search?tab=default_tab&amp;search_scope=EVERYTHING&amp;vid=01CRU&amp;lang=en_US&amp;offset=0&amp;query=any,contains,991000686599702656","Catalog Record")</f>
        <v>Catalog Record</v>
      </c>
      <c r="AT263" s="6" t="str">
        <f>HYPERLINK("http://www.worldcat.org/oclc/24908044","WorldCat Record")</f>
        <v>WorldCat Record</v>
      </c>
      <c r="AU263" s="3" t="s">
        <v>3363</v>
      </c>
      <c r="AV263" s="3" t="s">
        <v>3364</v>
      </c>
      <c r="AW263" s="3" t="s">
        <v>3365</v>
      </c>
      <c r="AX263" s="3" t="s">
        <v>3365</v>
      </c>
      <c r="AY263" s="3" t="s">
        <v>3366</v>
      </c>
      <c r="AZ263" s="3" t="s">
        <v>73</v>
      </c>
      <c r="BB263" s="3" t="s">
        <v>3367</v>
      </c>
      <c r="BC263" s="3" t="s">
        <v>3368</v>
      </c>
      <c r="BD263" s="3" t="s">
        <v>3369</v>
      </c>
    </row>
    <row r="264" spans="1:56" ht="40.5" customHeight="1" x14ac:dyDescent="0.25">
      <c r="A264" s="7" t="s">
        <v>58</v>
      </c>
      <c r="B264" s="2" t="s">
        <v>3370</v>
      </c>
      <c r="C264" s="2" t="s">
        <v>3371</v>
      </c>
      <c r="D264" s="2" t="s">
        <v>3372</v>
      </c>
      <c r="F264" s="3" t="s">
        <v>58</v>
      </c>
      <c r="G264" s="3" t="s">
        <v>59</v>
      </c>
      <c r="H264" s="3" t="s">
        <v>58</v>
      </c>
      <c r="I264" s="3" t="s">
        <v>58</v>
      </c>
      <c r="J264" s="3" t="s">
        <v>60</v>
      </c>
      <c r="L264" s="2" t="s">
        <v>3373</v>
      </c>
      <c r="M264" s="3" t="s">
        <v>1067</v>
      </c>
      <c r="O264" s="3" t="s">
        <v>64</v>
      </c>
      <c r="P264" s="3" t="s">
        <v>117</v>
      </c>
      <c r="R264" s="3" t="s">
        <v>66</v>
      </c>
      <c r="S264" s="4">
        <v>4</v>
      </c>
      <c r="T264" s="4">
        <v>4</v>
      </c>
      <c r="U264" s="5" t="s">
        <v>3374</v>
      </c>
      <c r="V264" s="5" t="s">
        <v>3374</v>
      </c>
      <c r="W264" s="5" t="s">
        <v>3375</v>
      </c>
      <c r="X264" s="5" t="s">
        <v>3375</v>
      </c>
      <c r="Y264" s="4">
        <v>116</v>
      </c>
      <c r="Z264" s="4">
        <v>84</v>
      </c>
      <c r="AA264" s="4">
        <v>108</v>
      </c>
      <c r="AB264" s="4">
        <v>1</v>
      </c>
      <c r="AC264" s="4">
        <v>1</v>
      </c>
      <c r="AD264" s="4">
        <v>2</v>
      </c>
      <c r="AE264" s="4">
        <v>2</v>
      </c>
      <c r="AF264" s="4">
        <v>0</v>
      </c>
      <c r="AG264" s="4">
        <v>0</v>
      </c>
      <c r="AH264" s="4">
        <v>1</v>
      </c>
      <c r="AI264" s="4">
        <v>1</v>
      </c>
      <c r="AJ264" s="4">
        <v>1</v>
      </c>
      <c r="AK264" s="4">
        <v>1</v>
      </c>
      <c r="AL264" s="4">
        <v>0</v>
      </c>
      <c r="AM264" s="4">
        <v>0</v>
      </c>
      <c r="AN264" s="4">
        <v>0</v>
      </c>
      <c r="AO264" s="4">
        <v>0</v>
      </c>
      <c r="AP264" s="3" t="s">
        <v>58</v>
      </c>
      <c r="AQ264" s="3" t="s">
        <v>85</v>
      </c>
      <c r="AR264" s="6" t="str">
        <f>HYPERLINK("http://catalog.hathitrust.org/Record/002456621","HathiTrust Record")</f>
        <v>HathiTrust Record</v>
      </c>
      <c r="AS264" s="6" t="str">
        <f>HYPERLINK("https://creighton-primo.hosted.exlibrisgroup.com/primo-explore/search?tab=default_tab&amp;search_scope=EVERYTHING&amp;vid=01CRU&amp;lang=en_US&amp;offset=0&amp;query=any,contains,991000933979702656","Catalog Record")</f>
        <v>Catalog Record</v>
      </c>
      <c r="AT264" s="6" t="str">
        <f>HYPERLINK("http://www.worldcat.org/oclc/21517666","WorldCat Record")</f>
        <v>WorldCat Record</v>
      </c>
      <c r="AU264" s="3" t="s">
        <v>3376</v>
      </c>
      <c r="AV264" s="3" t="s">
        <v>3377</v>
      </c>
      <c r="AW264" s="3" t="s">
        <v>3378</v>
      </c>
      <c r="AX264" s="3" t="s">
        <v>3378</v>
      </c>
      <c r="AY264" s="3" t="s">
        <v>3379</v>
      </c>
      <c r="AZ264" s="3" t="s">
        <v>73</v>
      </c>
      <c r="BB264" s="3" t="s">
        <v>3380</v>
      </c>
      <c r="BC264" s="3" t="s">
        <v>3381</v>
      </c>
      <c r="BD264" s="3" t="s">
        <v>3382</v>
      </c>
    </row>
    <row r="265" spans="1:56" ht="40.5" customHeight="1" x14ac:dyDescent="0.25">
      <c r="A265" s="7" t="s">
        <v>58</v>
      </c>
      <c r="B265" s="2" t="s">
        <v>3383</v>
      </c>
      <c r="C265" s="2" t="s">
        <v>3384</v>
      </c>
      <c r="D265" s="2" t="s">
        <v>3385</v>
      </c>
      <c r="F265" s="3" t="s">
        <v>58</v>
      </c>
      <c r="G265" s="3" t="s">
        <v>59</v>
      </c>
      <c r="H265" s="3" t="s">
        <v>58</v>
      </c>
      <c r="I265" s="3" t="s">
        <v>58</v>
      </c>
      <c r="J265" s="3" t="s">
        <v>60</v>
      </c>
      <c r="L265" s="2" t="s">
        <v>3272</v>
      </c>
      <c r="M265" s="3" t="s">
        <v>2552</v>
      </c>
      <c r="O265" s="3" t="s">
        <v>64</v>
      </c>
      <c r="P265" s="3" t="s">
        <v>65</v>
      </c>
      <c r="R265" s="3" t="s">
        <v>66</v>
      </c>
      <c r="S265" s="4">
        <v>14</v>
      </c>
      <c r="T265" s="4">
        <v>14</v>
      </c>
      <c r="U265" s="5" t="s">
        <v>119</v>
      </c>
      <c r="V265" s="5" t="s">
        <v>119</v>
      </c>
      <c r="W265" s="5" t="s">
        <v>3260</v>
      </c>
      <c r="X265" s="5" t="s">
        <v>3260</v>
      </c>
      <c r="Y265" s="4">
        <v>395</v>
      </c>
      <c r="Z265" s="4">
        <v>293</v>
      </c>
      <c r="AA265" s="4">
        <v>296</v>
      </c>
      <c r="AB265" s="4">
        <v>3</v>
      </c>
      <c r="AC265" s="4">
        <v>3</v>
      </c>
      <c r="AD265" s="4">
        <v>17</v>
      </c>
      <c r="AE265" s="4">
        <v>17</v>
      </c>
      <c r="AF265" s="4">
        <v>3</v>
      </c>
      <c r="AG265" s="4">
        <v>3</v>
      </c>
      <c r="AH265" s="4">
        <v>6</v>
      </c>
      <c r="AI265" s="4">
        <v>6</v>
      </c>
      <c r="AJ265" s="4">
        <v>10</v>
      </c>
      <c r="AK265" s="4">
        <v>10</v>
      </c>
      <c r="AL265" s="4">
        <v>2</v>
      </c>
      <c r="AM265" s="4">
        <v>2</v>
      </c>
      <c r="AN265" s="4">
        <v>0</v>
      </c>
      <c r="AO265" s="4">
        <v>0</v>
      </c>
      <c r="AP265" s="3" t="s">
        <v>58</v>
      </c>
      <c r="AQ265" s="3" t="s">
        <v>85</v>
      </c>
      <c r="AR265" s="6" t="str">
        <f>HYPERLINK("http://catalog.hathitrust.org/Record/000472014","HathiTrust Record")</f>
        <v>HathiTrust Record</v>
      </c>
      <c r="AS265" s="6" t="str">
        <f>HYPERLINK("https://creighton-primo.hosted.exlibrisgroup.com/primo-explore/search?tab=default_tab&amp;search_scope=EVERYTHING&amp;vid=01CRU&amp;lang=en_US&amp;offset=0&amp;query=any,contains,991001373229702656","Catalog Record")</f>
        <v>Catalog Record</v>
      </c>
      <c r="AT265" s="6" t="str">
        <f>HYPERLINK("http://www.worldcat.org/oclc/12555155","WorldCat Record")</f>
        <v>WorldCat Record</v>
      </c>
      <c r="AU265" s="3" t="s">
        <v>3386</v>
      </c>
      <c r="AV265" s="3" t="s">
        <v>3387</v>
      </c>
      <c r="AW265" s="3" t="s">
        <v>3388</v>
      </c>
      <c r="AX265" s="3" t="s">
        <v>3388</v>
      </c>
      <c r="AY265" s="3" t="s">
        <v>3389</v>
      </c>
      <c r="AZ265" s="3" t="s">
        <v>73</v>
      </c>
      <c r="BB265" s="3" t="s">
        <v>3390</v>
      </c>
      <c r="BC265" s="3" t="s">
        <v>3391</v>
      </c>
      <c r="BD265" s="3" t="s">
        <v>3392</v>
      </c>
    </row>
    <row r="266" spans="1:56" ht="40.5" customHeight="1" x14ac:dyDescent="0.25">
      <c r="A266" s="7" t="s">
        <v>58</v>
      </c>
      <c r="B266" s="2" t="s">
        <v>3393</v>
      </c>
      <c r="C266" s="2" t="s">
        <v>3394</v>
      </c>
      <c r="D266" s="2" t="s">
        <v>3395</v>
      </c>
      <c r="F266" s="3" t="s">
        <v>58</v>
      </c>
      <c r="G266" s="3" t="s">
        <v>59</v>
      </c>
      <c r="H266" s="3" t="s">
        <v>58</v>
      </c>
      <c r="I266" s="3" t="s">
        <v>58</v>
      </c>
      <c r="J266" s="3" t="s">
        <v>60</v>
      </c>
      <c r="L266" s="2" t="s">
        <v>3396</v>
      </c>
      <c r="M266" s="3" t="s">
        <v>1267</v>
      </c>
      <c r="O266" s="3" t="s">
        <v>64</v>
      </c>
      <c r="P266" s="3" t="s">
        <v>135</v>
      </c>
      <c r="R266" s="3" t="s">
        <v>66</v>
      </c>
      <c r="S266" s="4">
        <v>4</v>
      </c>
      <c r="T266" s="4">
        <v>4</v>
      </c>
      <c r="U266" s="5" t="s">
        <v>3397</v>
      </c>
      <c r="V266" s="5" t="s">
        <v>3397</v>
      </c>
      <c r="W266" s="5" t="s">
        <v>1759</v>
      </c>
      <c r="X266" s="5" t="s">
        <v>1759</v>
      </c>
      <c r="Y266" s="4">
        <v>125</v>
      </c>
      <c r="Z266" s="4">
        <v>83</v>
      </c>
      <c r="AA266" s="4">
        <v>88</v>
      </c>
      <c r="AB266" s="4">
        <v>1</v>
      </c>
      <c r="AC266" s="4">
        <v>1</v>
      </c>
      <c r="AD266" s="4">
        <v>0</v>
      </c>
      <c r="AE266" s="4">
        <v>0</v>
      </c>
      <c r="AF266" s="4">
        <v>0</v>
      </c>
      <c r="AG266" s="4">
        <v>0</v>
      </c>
      <c r="AH266" s="4">
        <v>0</v>
      </c>
      <c r="AI266" s="4">
        <v>0</v>
      </c>
      <c r="AJ266" s="4">
        <v>0</v>
      </c>
      <c r="AK266" s="4">
        <v>0</v>
      </c>
      <c r="AL266" s="4">
        <v>0</v>
      </c>
      <c r="AM266" s="4">
        <v>0</v>
      </c>
      <c r="AN266" s="4">
        <v>0</v>
      </c>
      <c r="AO266" s="4">
        <v>0</v>
      </c>
      <c r="AP266" s="3" t="s">
        <v>58</v>
      </c>
      <c r="AQ266" s="3" t="s">
        <v>58</v>
      </c>
      <c r="AS266" s="6" t="str">
        <f>HYPERLINK("https://creighton-primo.hosted.exlibrisgroup.com/primo-explore/search?tab=default_tab&amp;search_scope=EVERYTHING&amp;vid=01CRU&amp;lang=en_US&amp;offset=0&amp;query=any,contains,991001446049702656","Catalog Record")</f>
        <v>Catalog Record</v>
      </c>
      <c r="AT266" s="6" t="str">
        <f>HYPERLINK("http://www.worldcat.org/oclc/38758002","WorldCat Record")</f>
        <v>WorldCat Record</v>
      </c>
      <c r="AU266" s="3" t="s">
        <v>3398</v>
      </c>
      <c r="AV266" s="3" t="s">
        <v>3399</v>
      </c>
      <c r="AW266" s="3" t="s">
        <v>3400</v>
      </c>
      <c r="AX266" s="3" t="s">
        <v>3400</v>
      </c>
      <c r="AY266" s="3" t="s">
        <v>3401</v>
      </c>
      <c r="AZ266" s="3" t="s">
        <v>73</v>
      </c>
      <c r="BB266" s="3" t="s">
        <v>3402</v>
      </c>
      <c r="BC266" s="3" t="s">
        <v>3403</v>
      </c>
      <c r="BD266" s="3" t="s">
        <v>3404</v>
      </c>
    </row>
    <row r="267" spans="1:56" ht="40.5" customHeight="1" x14ac:dyDescent="0.25">
      <c r="A267" s="7" t="s">
        <v>58</v>
      </c>
      <c r="B267" s="2" t="s">
        <v>3405</v>
      </c>
      <c r="C267" s="2" t="s">
        <v>3406</v>
      </c>
      <c r="D267" s="2" t="s">
        <v>3407</v>
      </c>
      <c r="F267" s="3" t="s">
        <v>58</v>
      </c>
      <c r="G267" s="3" t="s">
        <v>59</v>
      </c>
      <c r="H267" s="3" t="s">
        <v>58</v>
      </c>
      <c r="I267" s="3" t="s">
        <v>58</v>
      </c>
      <c r="J267" s="3" t="s">
        <v>60</v>
      </c>
      <c r="L267" s="2" t="s">
        <v>1717</v>
      </c>
      <c r="M267" s="3" t="s">
        <v>116</v>
      </c>
      <c r="O267" s="3" t="s">
        <v>64</v>
      </c>
      <c r="P267" s="3" t="s">
        <v>65</v>
      </c>
      <c r="R267" s="3" t="s">
        <v>66</v>
      </c>
      <c r="S267" s="4">
        <v>7</v>
      </c>
      <c r="T267" s="4">
        <v>7</v>
      </c>
      <c r="U267" s="5" t="s">
        <v>3408</v>
      </c>
      <c r="V267" s="5" t="s">
        <v>3408</v>
      </c>
      <c r="W267" s="5" t="s">
        <v>1580</v>
      </c>
      <c r="X267" s="5" t="s">
        <v>1580</v>
      </c>
      <c r="Y267" s="4">
        <v>95</v>
      </c>
      <c r="Z267" s="4">
        <v>70</v>
      </c>
      <c r="AA267" s="4">
        <v>104</v>
      </c>
      <c r="AB267" s="4">
        <v>1</v>
      </c>
      <c r="AC267" s="4">
        <v>1</v>
      </c>
      <c r="AD267" s="4">
        <v>1</v>
      </c>
      <c r="AE267" s="4">
        <v>1</v>
      </c>
      <c r="AF267" s="4">
        <v>1</v>
      </c>
      <c r="AG267" s="4">
        <v>1</v>
      </c>
      <c r="AH267" s="4">
        <v>0</v>
      </c>
      <c r="AI267" s="4">
        <v>0</v>
      </c>
      <c r="AJ267" s="4">
        <v>1</v>
      </c>
      <c r="AK267" s="4">
        <v>1</v>
      </c>
      <c r="AL267" s="4">
        <v>0</v>
      </c>
      <c r="AM267" s="4">
        <v>0</v>
      </c>
      <c r="AN267" s="4">
        <v>0</v>
      </c>
      <c r="AO267" s="4">
        <v>0</v>
      </c>
      <c r="AP267" s="3" t="s">
        <v>58</v>
      </c>
      <c r="AQ267" s="3" t="s">
        <v>58</v>
      </c>
      <c r="AS267" s="6" t="str">
        <f>HYPERLINK("https://creighton-primo.hosted.exlibrisgroup.com/primo-explore/search?tab=default_tab&amp;search_scope=EVERYTHING&amp;vid=01CRU&amp;lang=en_US&amp;offset=0&amp;query=any,contains,991001428969702656","Catalog Record")</f>
        <v>Catalog Record</v>
      </c>
      <c r="AT267" s="6" t="str">
        <f>HYPERLINK("http://www.worldcat.org/oclc/25096795","WorldCat Record")</f>
        <v>WorldCat Record</v>
      </c>
      <c r="AU267" s="3" t="s">
        <v>3409</v>
      </c>
      <c r="AV267" s="3" t="s">
        <v>3410</v>
      </c>
      <c r="AW267" s="3" t="s">
        <v>3411</v>
      </c>
      <c r="AX267" s="3" t="s">
        <v>3411</v>
      </c>
      <c r="AY267" s="3" t="s">
        <v>3412</v>
      </c>
      <c r="AZ267" s="3" t="s">
        <v>73</v>
      </c>
      <c r="BB267" s="3" t="s">
        <v>3413</v>
      </c>
      <c r="BC267" s="3" t="s">
        <v>3414</v>
      </c>
      <c r="BD267" s="3" t="s">
        <v>3415</v>
      </c>
    </row>
    <row r="268" spans="1:56" ht="40.5" customHeight="1" x14ac:dyDescent="0.25">
      <c r="A268" s="7" t="s">
        <v>58</v>
      </c>
      <c r="B268" s="2" t="s">
        <v>3416</v>
      </c>
      <c r="C268" s="2" t="s">
        <v>3417</v>
      </c>
      <c r="D268" s="2" t="s">
        <v>3418</v>
      </c>
      <c r="F268" s="3" t="s">
        <v>58</v>
      </c>
      <c r="G268" s="3" t="s">
        <v>59</v>
      </c>
      <c r="H268" s="3" t="s">
        <v>58</v>
      </c>
      <c r="I268" s="3" t="s">
        <v>58</v>
      </c>
      <c r="J268" s="3" t="s">
        <v>60</v>
      </c>
      <c r="L268" s="2" t="s">
        <v>1266</v>
      </c>
      <c r="M268" s="3" t="s">
        <v>1267</v>
      </c>
      <c r="O268" s="3" t="s">
        <v>64</v>
      </c>
      <c r="P268" s="3" t="s">
        <v>366</v>
      </c>
      <c r="Q268" s="2" t="s">
        <v>3419</v>
      </c>
      <c r="R268" s="3" t="s">
        <v>66</v>
      </c>
      <c r="S268" s="4">
        <v>1</v>
      </c>
      <c r="T268" s="4">
        <v>1</v>
      </c>
      <c r="U268" s="5" t="s">
        <v>3420</v>
      </c>
      <c r="V268" s="5" t="s">
        <v>3420</v>
      </c>
      <c r="W268" s="5" t="s">
        <v>3421</v>
      </c>
      <c r="X268" s="5" t="s">
        <v>3421</v>
      </c>
      <c r="Y268" s="4">
        <v>154</v>
      </c>
      <c r="Z268" s="4">
        <v>112</v>
      </c>
      <c r="AA268" s="4">
        <v>148</v>
      </c>
      <c r="AB268" s="4">
        <v>1</v>
      </c>
      <c r="AC268" s="4">
        <v>1</v>
      </c>
      <c r="AD268" s="4">
        <v>4</v>
      </c>
      <c r="AE268" s="4">
        <v>5</v>
      </c>
      <c r="AF268" s="4">
        <v>0</v>
      </c>
      <c r="AG268" s="4">
        <v>0</v>
      </c>
      <c r="AH268" s="4">
        <v>3</v>
      </c>
      <c r="AI268" s="4">
        <v>3</v>
      </c>
      <c r="AJ268" s="4">
        <v>2</v>
      </c>
      <c r="AK268" s="4">
        <v>3</v>
      </c>
      <c r="AL268" s="4">
        <v>0</v>
      </c>
      <c r="AM268" s="4">
        <v>0</v>
      </c>
      <c r="AN268" s="4">
        <v>0</v>
      </c>
      <c r="AO268" s="4">
        <v>0</v>
      </c>
      <c r="AP268" s="3" t="s">
        <v>58</v>
      </c>
      <c r="AQ268" s="3" t="s">
        <v>85</v>
      </c>
      <c r="AR268" s="6" t="str">
        <f>HYPERLINK("http://catalog.hathitrust.org/Record/004096554","HathiTrust Record")</f>
        <v>HathiTrust Record</v>
      </c>
      <c r="AS268" s="6" t="str">
        <f>HYPERLINK("https://creighton-primo.hosted.exlibrisgroup.com/primo-explore/search?tab=default_tab&amp;search_scope=EVERYTHING&amp;vid=01CRU&amp;lang=en_US&amp;offset=0&amp;query=any,contains,991000277209702656","Catalog Record")</f>
        <v>Catalog Record</v>
      </c>
      <c r="AT268" s="6" t="str">
        <f>HYPERLINK("http://www.worldcat.org/oclc/40674944","WorldCat Record")</f>
        <v>WorldCat Record</v>
      </c>
      <c r="AU268" s="3" t="s">
        <v>3422</v>
      </c>
      <c r="AV268" s="3" t="s">
        <v>3423</v>
      </c>
      <c r="AW268" s="3" t="s">
        <v>3424</v>
      </c>
      <c r="AX268" s="3" t="s">
        <v>3424</v>
      </c>
      <c r="AY268" s="3" t="s">
        <v>3425</v>
      </c>
      <c r="AZ268" s="3" t="s">
        <v>73</v>
      </c>
      <c r="BB268" s="3" t="s">
        <v>3426</v>
      </c>
      <c r="BC268" s="3" t="s">
        <v>3427</v>
      </c>
      <c r="BD268" s="3" t="s">
        <v>3428</v>
      </c>
    </row>
    <row r="269" spans="1:56" ht="40.5" customHeight="1" x14ac:dyDescent="0.25">
      <c r="A269" s="7" t="s">
        <v>58</v>
      </c>
      <c r="B269" s="2" t="s">
        <v>3429</v>
      </c>
      <c r="C269" s="2" t="s">
        <v>3430</v>
      </c>
      <c r="D269" s="2" t="s">
        <v>3431</v>
      </c>
      <c r="F269" s="3" t="s">
        <v>58</v>
      </c>
      <c r="G269" s="3" t="s">
        <v>59</v>
      </c>
      <c r="H269" s="3" t="s">
        <v>58</v>
      </c>
      <c r="I269" s="3" t="s">
        <v>58</v>
      </c>
      <c r="J269" s="3" t="s">
        <v>60</v>
      </c>
      <c r="L269" s="2" t="s">
        <v>3432</v>
      </c>
      <c r="M269" s="3" t="s">
        <v>742</v>
      </c>
      <c r="O269" s="3" t="s">
        <v>64</v>
      </c>
      <c r="P269" s="3" t="s">
        <v>117</v>
      </c>
      <c r="Q269" s="2" t="s">
        <v>3433</v>
      </c>
      <c r="R269" s="3" t="s">
        <v>66</v>
      </c>
      <c r="S269" s="4">
        <v>12</v>
      </c>
      <c r="T269" s="4">
        <v>12</v>
      </c>
      <c r="U269" s="5" t="s">
        <v>3434</v>
      </c>
      <c r="V269" s="5" t="s">
        <v>3434</v>
      </c>
      <c r="W269" s="5" t="s">
        <v>3435</v>
      </c>
      <c r="X269" s="5" t="s">
        <v>3435</v>
      </c>
      <c r="Y269" s="4">
        <v>118</v>
      </c>
      <c r="Z269" s="4">
        <v>96</v>
      </c>
      <c r="AA269" s="4">
        <v>120</v>
      </c>
      <c r="AB269" s="4">
        <v>1</v>
      </c>
      <c r="AC269" s="4">
        <v>1</v>
      </c>
      <c r="AD269" s="4">
        <v>1</v>
      </c>
      <c r="AE269" s="4">
        <v>2</v>
      </c>
      <c r="AF269" s="4">
        <v>0</v>
      </c>
      <c r="AG269" s="4">
        <v>1</v>
      </c>
      <c r="AH269" s="4">
        <v>0</v>
      </c>
      <c r="AI269" s="4">
        <v>0</v>
      </c>
      <c r="AJ269" s="4">
        <v>1</v>
      </c>
      <c r="AK269" s="4">
        <v>2</v>
      </c>
      <c r="AL269" s="4">
        <v>0</v>
      </c>
      <c r="AM269" s="4">
        <v>0</v>
      </c>
      <c r="AN269" s="4">
        <v>0</v>
      </c>
      <c r="AO269" s="4">
        <v>0</v>
      </c>
      <c r="AP269" s="3" t="s">
        <v>58</v>
      </c>
      <c r="AQ269" s="3" t="s">
        <v>85</v>
      </c>
      <c r="AR269" s="6" t="str">
        <f>HYPERLINK("http://catalog.hathitrust.org/Record/002799848","HathiTrust Record")</f>
        <v>HathiTrust Record</v>
      </c>
      <c r="AS269" s="6" t="str">
        <f>HYPERLINK("https://creighton-primo.hosted.exlibrisgroup.com/primo-explore/search?tab=default_tab&amp;search_scope=EVERYTHING&amp;vid=01CRU&amp;lang=en_US&amp;offset=0&amp;query=any,contains,991001194579702656","Catalog Record")</f>
        <v>Catalog Record</v>
      </c>
      <c r="AT269" s="6" t="str">
        <f>HYPERLINK("http://www.worldcat.org/oclc/28291779","WorldCat Record")</f>
        <v>WorldCat Record</v>
      </c>
      <c r="AU269" s="3" t="s">
        <v>3436</v>
      </c>
      <c r="AV269" s="3" t="s">
        <v>3437</v>
      </c>
      <c r="AW269" s="3" t="s">
        <v>3438</v>
      </c>
      <c r="AX269" s="3" t="s">
        <v>3438</v>
      </c>
      <c r="AY269" s="3" t="s">
        <v>3439</v>
      </c>
      <c r="AZ269" s="3" t="s">
        <v>73</v>
      </c>
      <c r="BB269" s="3" t="s">
        <v>3440</v>
      </c>
      <c r="BC269" s="3" t="s">
        <v>3441</v>
      </c>
      <c r="BD269" s="3" t="s">
        <v>3442</v>
      </c>
    </row>
    <row r="270" spans="1:56" ht="40.5" customHeight="1" x14ac:dyDescent="0.25">
      <c r="A270" s="7" t="s">
        <v>58</v>
      </c>
      <c r="B270" s="2" t="s">
        <v>3443</v>
      </c>
      <c r="C270" s="2" t="s">
        <v>3444</v>
      </c>
      <c r="D270" s="2" t="s">
        <v>3445</v>
      </c>
      <c r="F270" s="3" t="s">
        <v>58</v>
      </c>
      <c r="G270" s="3" t="s">
        <v>59</v>
      </c>
      <c r="H270" s="3" t="s">
        <v>58</v>
      </c>
      <c r="I270" s="3" t="s">
        <v>58</v>
      </c>
      <c r="J270" s="3" t="s">
        <v>60</v>
      </c>
      <c r="L270" s="2" t="s">
        <v>3446</v>
      </c>
      <c r="M270" s="3" t="s">
        <v>63</v>
      </c>
      <c r="O270" s="3" t="s">
        <v>64</v>
      </c>
      <c r="P270" s="3" t="s">
        <v>65</v>
      </c>
      <c r="R270" s="3" t="s">
        <v>66</v>
      </c>
      <c r="S270" s="4">
        <v>1</v>
      </c>
      <c r="T270" s="4">
        <v>1</v>
      </c>
      <c r="U270" s="5" t="s">
        <v>3447</v>
      </c>
      <c r="V270" s="5" t="s">
        <v>3447</v>
      </c>
      <c r="W270" s="5" t="s">
        <v>2555</v>
      </c>
      <c r="X270" s="5" t="s">
        <v>2555</v>
      </c>
      <c r="Y270" s="4">
        <v>170</v>
      </c>
      <c r="Z270" s="4">
        <v>132</v>
      </c>
      <c r="AA270" s="4">
        <v>135</v>
      </c>
      <c r="AB270" s="4">
        <v>3</v>
      </c>
      <c r="AC270" s="4">
        <v>3</v>
      </c>
      <c r="AD270" s="4">
        <v>4</v>
      </c>
      <c r="AE270" s="4">
        <v>4</v>
      </c>
      <c r="AF270" s="4">
        <v>1</v>
      </c>
      <c r="AG270" s="4">
        <v>1</v>
      </c>
      <c r="AH270" s="4">
        <v>1</v>
      </c>
      <c r="AI270" s="4">
        <v>1</v>
      </c>
      <c r="AJ270" s="4">
        <v>1</v>
      </c>
      <c r="AK270" s="4">
        <v>1</v>
      </c>
      <c r="AL270" s="4">
        <v>2</v>
      </c>
      <c r="AM270" s="4">
        <v>2</v>
      </c>
      <c r="AN270" s="4">
        <v>0</v>
      </c>
      <c r="AO270" s="4">
        <v>0</v>
      </c>
      <c r="AP270" s="3" t="s">
        <v>58</v>
      </c>
      <c r="AQ270" s="3" t="s">
        <v>85</v>
      </c>
      <c r="AR270" s="6" t="str">
        <f>HYPERLINK("http://catalog.hathitrust.org/Record/000111092","HathiTrust Record")</f>
        <v>HathiTrust Record</v>
      </c>
      <c r="AS270" s="6" t="str">
        <f>HYPERLINK("https://creighton-primo.hosted.exlibrisgroup.com/primo-explore/search?tab=default_tab&amp;search_scope=EVERYTHING&amp;vid=01CRU&amp;lang=en_US&amp;offset=0&amp;query=any,contains,991000899139702656","Catalog Record")</f>
        <v>Catalog Record</v>
      </c>
      <c r="AT270" s="6" t="str">
        <f>HYPERLINK("http://www.worldcat.org/oclc/7775566","WorldCat Record")</f>
        <v>WorldCat Record</v>
      </c>
      <c r="AU270" s="3" t="s">
        <v>3448</v>
      </c>
      <c r="AV270" s="3" t="s">
        <v>3449</v>
      </c>
      <c r="AW270" s="3" t="s">
        <v>3450</v>
      </c>
      <c r="AX270" s="3" t="s">
        <v>3450</v>
      </c>
      <c r="AY270" s="3" t="s">
        <v>3451</v>
      </c>
      <c r="AZ270" s="3" t="s">
        <v>73</v>
      </c>
      <c r="BB270" s="3" t="s">
        <v>3452</v>
      </c>
      <c r="BC270" s="3" t="s">
        <v>3453</v>
      </c>
      <c r="BD270" s="3" t="s">
        <v>3454</v>
      </c>
    </row>
    <row r="271" spans="1:56" ht="40.5" customHeight="1" x14ac:dyDescent="0.25">
      <c r="A271" s="7" t="s">
        <v>58</v>
      </c>
      <c r="B271" s="2" t="s">
        <v>3455</v>
      </c>
      <c r="C271" s="2" t="s">
        <v>3456</v>
      </c>
      <c r="D271" s="2" t="s">
        <v>3457</v>
      </c>
      <c r="F271" s="3" t="s">
        <v>58</v>
      </c>
      <c r="G271" s="3" t="s">
        <v>59</v>
      </c>
      <c r="H271" s="3" t="s">
        <v>58</v>
      </c>
      <c r="I271" s="3" t="s">
        <v>58</v>
      </c>
      <c r="J271" s="3" t="s">
        <v>60</v>
      </c>
      <c r="L271" s="2" t="s">
        <v>2195</v>
      </c>
      <c r="M271" s="3" t="s">
        <v>726</v>
      </c>
      <c r="O271" s="3" t="s">
        <v>64</v>
      </c>
      <c r="P271" s="3" t="s">
        <v>886</v>
      </c>
      <c r="R271" s="3" t="s">
        <v>66</v>
      </c>
      <c r="S271" s="4">
        <v>3</v>
      </c>
      <c r="T271" s="4">
        <v>3</v>
      </c>
      <c r="U271" s="5" t="s">
        <v>3458</v>
      </c>
      <c r="V271" s="5" t="s">
        <v>3458</v>
      </c>
      <c r="W271" s="5" t="s">
        <v>3459</v>
      </c>
      <c r="X271" s="5" t="s">
        <v>3459</v>
      </c>
      <c r="Y271" s="4">
        <v>69</v>
      </c>
      <c r="Z271" s="4">
        <v>50</v>
      </c>
      <c r="AA271" s="4">
        <v>50</v>
      </c>
      <c r="AB271" s="4">
        <v>2</v>
      </c>
      <c r="AC271" s="4">
        <v>2</v>
      </c>
      <c r="AD271" s="4">
        <v>4</v>
      </c>
      <c r="AE271" s="4">
        <v>4</v>
      </c>
      <c r="AF271" s="4">
        <v>0</v>
      </c>
      <c r="AG271" s="4">
        <v>0</v>
      </c>
      <c r="AH271" s="4">
        <v>2</v>
      </c>
      <c r="AI271" s="4">
        <v>2</v>
      </c>
      <c r="AJ271" s="4">
        <v>2</v>
      </c>
      <c r="AK271" s="4">
        <v>2</v>
      </c>
      <c r="AL271" s="4">
        <v>1</v>
      </c>
      <c r="AM271" s="4">
        <v>1</v>
      </c>
      <c r="AN271" s="4">
        <v>0</v>
      </c>
      <c r="AO271" s="4">
        <v>0</v>
      </c>
      <c r="AP271" s="3" t="s">
        <v>58</v>
      </c>
      <c r="AQ271" s="3" t="s">
        <v>58</v>
      </c>
      <c r="AS271" s="6" t="str">
        <f>HYPERLINK("https://creighton-primo.hosted.exlibrisgroup.com/primo-explore/search?tab=default_tab&amp;search_scope=EVERYTHING&amp;vid=01CRU&amp;lang=en_US&amp;offset=0&amp;query=any,contains,991001450659702656","Catalog Record")</f>
        <v>Catalog Record</v>
      </c>
      <c r="AT271" s="6" t="str">
        <f>HYPERLINK("http://www.worldcat.org/oclc/20220845","WorldCat Record")</f>
        <v>WorldCat Record</v>
      </c>
      <c r="AU271" s="3" t="s">
        <v>3460</v>
      </c>
      <c r="AV271" s="3" t="s">
        <v>3461</v>
      </c>
      <c r="AW271" s="3" t="s">
        <v>3462</v>
      </c>
      <c r="AX271" s="3" t="s">
        <v>3462</v>
      </c>
      <c r="AY271" s="3" t="s">
        <v>3463</v>
      </c>
      <c r="AZ271" s="3" t="s">
        <v>73</v>
      </c>
      <c r="BB271" s="3" t="s">
        <v>3464</v>
      </c>
      <c r="BC271" s="3" t="s">
        <v>3465</v>
      </c>
      <c r="BD271" s="3" t="s">
        <v>3466</v>
      </c>
    </row>
    <row r="272" spans="1:56" ht="40.5" customHeight="1" x14ac:dyDescent="0.25">
      <c r="A272" s="7" t="s">
        <v>58</v>
      </c>
      <c r="B272" s="2" t="s">
        <v>3467</v>
      </c>
      <c r="C272" s="2" t="s">
        <v>3468</v>
      </c>
      <c r="D272" s="2" t="s">
        <v>3469</v>
      </c>
      <c r="F272" s="3" t="s">
        <v>58</v>
      </c>
      <c r="G272" s="3" t="s">
        <v>59</v>
      </c>
      <c r="H272" s="3" t="s">
        <v>58</v>
      </c>
      <c r="I272" s="3" t="s">
        <v>58</v>
      </c>
      <c r="J272" s="3" t="s">
        <v>60</v>
      </c>
      <c r="K272" s="2" t="s">
        <v>3470</v>
      </c>
      <c r="L272" s="2" t="s">
        <v>3471</v>
      </c>
      <c r="M272" s="3" t="s">
        <v>726</v>
      </c>
      <c r="O272" s="3" t="s">
        <v>64</v>
      </c>
      <c r="P272" s="3" t="s">
        <v>230</v>
      </c>
      <c r="Q272" s="2" t="s">
        <v>3472</v>
      </c>
      <c r="R272" s="3" t="s">
        <v>66</v>
      </c>
      <c r="S272" s="4">
        <v>9</v>
      </c>
      <c r="T272" s="4">
        <v>9</v>
      </c>
      <c r="U272" s="5" t="s">
        <v>3473</v>
      </c>
      <c r="V272" s="5" t="s">
        <v>3473</v>
      </c>
      <c r="W272" s="5" t="s">
        <v>3474</v>
      </c>
      <c r="X272" s="5" t="s">
        <v>3474</v>
      </c>
      <c r="Y272" s="4">
        <v>94</v>
      </c>
      <c r="Z272" s="4">
        <v>55</v>
      </c>
      <c r="AA272" s="4">
        <v>57</v>
      </c>
      <c r="AB272" s="4">
        <v>1</v>
      </c>
      <c r="AC272" s="4">
        <v>1</v>
      </c>
      <c r="AD272" s="4">
        <v>1</v>
      </c>
      <c r="AE272" s="4">
        <v>1</v>
      </c>
      <c r="AF272" s="4">
        <v>0</v>
      </c>
      <c r="AG272" s="4">
        <v>0</v>
      </c>
      <c r="AH272" s="4">
        <v>1</v>
      </c>
      <c r="AI272" s="4">
        <v>1</v>
      </c>
      <c r="AJ272" s="4">
        <v>0</v>
      </c>
      <c r="AK272" s="4">
        <v>0</v>
      </c>
      <c r="AL272" s="4">
        <v>0</v>
      </c>
      <c r="AM272" s="4">
        <v>0</v>
      </c>
      <c r="AN272" s="4">
        <v>0</v>
      </c>
      <c r="AO272" s="4">
        <v>0</v>
      </c>
      <c r="AP272" s="3" t="s">
        <v>58</v>
      </c>
      <c r="AQ272" s="3" t="s">
        <v>85</v>
      </c>
      <c r="AR272" s="6" t="str">
        <f>HYPERLINK("http://catalog.hathitrust.org/Record/002441520","HathiTrust Record")</f>
        <v>HathiTrust Record</v>
      </c>
      <c r="AS272" s="6" t="str">
        <f>HYPERLINK("https://creighton-primo.hosted.exlibrisgroup.com/primo-explore/search?tab=default_tab&amp;search_scope=EVERYTHING&amp;vid=01CRU&amp;lang=en_US&amp;offset=0&amp;query=any,contains,991000816119702656","Catalog Record")</f>
        <v>Catalog Record</v>
      </c>
      <c r="AT272" s="6" t="str">
        <f>HYPERLINK("http://www.worldcat.org/oclc/22311309","WorldCat Record")</f>
        <v>WorldCat Record</v>
      </c>
      <c r="AU272" s="3" t="s">
        <v>3475</v>
      </c>
      <c r="AV272" s="3" t="s">
        <v>3476</v>
      </c>
      <c r="AW272" s="3" t="s">
        <v>3477</v>
      </c>
      <c r="AX272" s="3" t="s">
        <v>3477</v>
      </c>
      <c r="AY272" s="3" t="s">
        <v>3478</v>
      </c>
      <c r="AZ272" s="3" t="s">
        <v>73</v>
      </c>
      <c r="BB272" s="3" t="s">
        <v>3479</v>
      </c>
      <c r="BC272" s="3" t="s">
        <v>3480</v>
      </c>
      <c r="BD272" s="3" t="s">
        <v>3481</v>
      </c>
    </row>
    <row r="273" spans="1:56" ht="40.5" customHeight="1" x14ac:dyDescent="0.25">
      <c r="A273" s="7" t="s">
        <v>58</v>
      </c>
      <c r="B273" s="2" t="s">
        <v>3482</v>
      </c>
      <c r="C273" s="2" t="s">
        <v>3483</v>
      </c>
      <c r="D273" s="2" t="s">
        <v>3484</v>
      </c>
      <c r="F273" s="3" t="s">
        <v>58</v>
      </c>
      <c r="G273" s="3" t="s">
        <v>59</v>
      </c>
      <c r="H273" s="3" t="s">
        <v>58</v>
      </c>
      <c r="I273" s="3" t="s">
        <v>58</v>
      </c>
      <c r="J273" s="3" t="s">
        <v>60</v>
      </c>
      <c r="L273" s="2" t="s">
        <v>3485</v>
      </c>
      <c r="M273" s="3" t="s">
        <v>726</v>
      </c>
      <c r="O273" s="3" t="s">
        <v>64</v>
      </c>
      <c r="P273" s="3" t="s">
        <v>65</v>
      </c>
      <c r="R273" s="3" t="s">
        <v>66</v>
      </c>
      <c r="S273" s="4">
        <v>5</v>
      </c>
      <c r="T273" s="4">
        <v>5</v>
      </c>
      <c r="U273" s="5" t="s">
        <v>3486</v>
      </c>
      <c r="V273" s="5" t="s">
        <v>3486</v>
      </c>
      <c r="W273" s="5" t="s">
        <v>3487</v>
      </c>
      <c r="X273" s="5" t="s">
        <v>3487</v>
      </c>
      <c r="Y273" s="4">
        <v>170</v>
      </c>
      <c r="Z273" s="4">
        <v>110</v>
      </c>
      <c r="AA273" s="4">
        <v>112</v>
      </c>
      <c r="AB273" s="4">
        <v>2</v>
      </c>
      <c r="AC273" s="4">
        <v>2</v>
      </c>
      <c r="AD273" s="4">
        <v>5</v>
      </c>
      <c r="AE273" s="4">
        <v>5</v>
      </c>
      <c r="AF273" s="4">
        <v>1</v>
      </c>
      <c r="AG273" s="4">
        <v>1</v>
      </c>
      <c r="AH273" s="4">
        <v>2</v>
      </c>
      <c r="AI273" s="4">
        <v>2</v>
      </c>
      <c r="AJ273" s="4">
        <v>3</v>
      </c>
      <c r="AK273" s="4">
        <v>3</v>
      </c>
      <c r="AL273" s="4">
        <v>1</v>
      </c>
      <c r="AM273" s="4">
        <v>1</v>
      </c>
      <c r="AN273" s="4">
        <v>0</v>
      </c>
      <c r="AO273" s="4">
        <v>0</v>
      </c>
      <c r="AP273" s="3" t="s">
        <v>58</v>
      </c>
      <c r="AQ273" s="3" t="s">
        <v>85</v>
      </c>
      <c r="AR273" s="6" t="str">
        <f>HYPERLINK("http://catalog.hathitrust.org/Record/002235326","HathiTrust Record")</f>
        <v>HathiTrust Record</v>
      </c>
      <c r="AS273" s="6" t="str">
        <f>HYPERLINK("https://creighton-primo.hosted.exlibrisgroup.com/primo-explore/search?tab=default_tab&amp;search_scope=EVERYTHING&amp;vid=01CRU&amp;lang=en_US&amp;offset=0&amp;query=any,contains,991001299009702656","Catalog Record")</f>
        <v>Catalog Record</v>
      </c>
      <c r="AT273" s="6" t="str">
        <f>HYPERLINK("http://www.worldcat.org/oclc/21760237","WorldCat Record")</f>
        <v>WorldCat Record</v>
      </c>
      <c r="AU273" s="3" t="s">
        <v>3488</v>
      </c>
      <c r="AV273" s="3" t="s">
        <v>3489</v>
      </c>
      <c r="AW273" s="3" t="s">
        <v>3490</v>
      </c>
      <c r="AX273" s="3" t="s">
        <v>3490</v>
      </c>
      <c r="AY273" s="3" t="s">
        <v>3491</v>
      </c>
      <c r="AZ273" s="3" t="s">
        <v>73</v>
      </c>
      <c r="BB273" s="3" t="s">
        <v>3492</v>
      </c>
      <c r="BC273" s="3" t="s">
        <v>3493</v>
      </c>
      <c r="BD273" s="3" t="s">
        <v>3494</v>
      </c>
    </row>
    <row r="274" spans="1:56" ht="40.5" customHeight="1" x14ac:dyDescent="0.25">
      <c r="A274" s="7" t="s">
        <v>58</v>
      </c>
      <c r="B274" s="2" t="s">
        <v>3495</v>
      </c>
      <c r="C274" s="2" t="s">
        <v>3496</v>
      </c>
      <c r="D274" s="2" t="s">
        <v>3497</v>
      </c>
      <c r="F274" s="3" t="s">
        <v>58</v>
      </c>
      <c r="G274" s="3" t="s">
        <v>59</v>
      </c>
      <c r="H274" s="3" t="s">
        <v>58</v>
      </c>
      <c r="I274" s="3" t="s">
        <v>58</v>
      </c>
      <c r="J274" s="3" t="s">
        <v>60</v>
      </c>
      <c r="L274" s="2" t="s">
        <v>3498</v>
      </c>
      <c r="M274" s="3" t="s">
        <v>63</v>
      </c>
      <c r="O274" s="3" t="s">
        <v>64</v>
      </c>
      <c r="P274" s="3" t="s">
        <v>65</v>
      </c>
      <c r="R274" s="3" t="s">
        <v>66</v>
      </c>
      <c r="S274" s="4">
        <v>2</v>
      </c>
      <c r="T274" s="4">
        <v>2</v>
      </c>
      <c r="U274" s="5" t="s">
        <v>3499</v>
      </c>
      <c r="V274" s="5" t="s">
        <v>3499</v>
      </c>
      <c r="W274" s="5" t="s">
        <v>2555</v>
      </c>
      <c r="X274" s="5" t="s">
        <v>2555</v>
      </c>
      <c r="Y274" s="4">
        <v>120</v>
      </c>
      <c r="Z274" s="4">
        <v>85</v>
      </c>
      <c r="AA274" s="4">
        <v>87</v>
      </c>
      <c r="AB274" s="4">
        <v>1</v>
      </c>
      <c r="AC274" s="4">
        <v>1</v>
      </c>
      <c r="AD274" s="4">
        <v>1</v>
      </c>
      <c r="AE274" s="4">
        <v>1</v>
      </c>
      <c r="AF274" s="4">
        <v>0</v>
      </c>
      <c r="AG274" s="4">
        <v>0</v>
      </c>
      <c r="AH274" s="4">
        <v>1</v>
      </c>
      <c r="AI274" s="4">
        <v>1</v>
      </c>
      <c r="AJ274" s="4">
        <v>1</v>
      </c>
      <c r="AK274" s="4">
        <v>1</v>
      </c>
      <c r="AL274" s="4">
        <v>0</v>
      </c>
      <c r="AM274" s="4">
        <v>0</v>
      </c>
      <c r="AN274" s="4">
        <v>0</v>
      </c>
      <c r="AO274" s="4">
        <v>0</v>
      </c>
      <c r="AP274" s="3" t="s">
        <v>58</v>
      </c>
      <c r="AQ274" s="3" t="s">
        <v>85</v>
      </c>
      <c r="AR274" s="6" t="str">
        <f>HYPERLINK("http://catalog.hathitrust.org/Record/000104065","HathiTrust Record")</f>
        <v>HathiTrust Record</v>
      </c>
      <c r="AS274" s="6" t="str">
        <f>HYPERLINK("https://creighton-primo.hosted.exlibrisgroup.com/primo-explore/search?tab=default_tab&amp;search_scope=EVERYTHING&amp;vid=01CRU&amp;lang=en_US&amp;offset=0&amp;query=any,contains,991000899219702656","Catalog Record")</f>
        <v>Catalog Record</v>
      </c>
      <c r="AT274" s="6" t="str">
        <f>HYPERLINK("http://www.worldcat.org/oclc/8385985","WorldCat Record")</f>
        <v>WorldCat Record</v>
      </c>
      <c r="AU274" s="3" t="s">
        <v>3500</v>
      </c>
      <c r="AV274" s="3" t="s">
        <v>3501</v>
      </c>
      <c r="AW274" s="3" t="s">
        <v>3502</v>
      </c>
      <c r="AX274" s="3" t="s">
        <v>3502</v>
      </c>
      <c r="AY274" s="3" t="s">
        <v>3503</v>
      </c>
      <c r="AZ274" s="3" t="s">
        <v>73</v>
      </c>
      <c r="BB274" s="3" t="s">
        <v>3504</v>
      </c>
      <c r="BC274" s="3" t="s">
        <v>3505</v>
      </c>
      <c r="BD274" s="3" t="s">
        <v>3506</v>
      </c>
    </row>
    <row r="275" spans="1:56" ht="40.5" customHeight="1" x14ac:dyDescent="0.25">
      <c r="A275" s="7" t="s">
        <v>58</v>
      </c>
      <c r="B275" s="2" t="s">
        <v>3507</v>
      </c>
      <c r="C275" s="2" t="s">
        <v>3508</v>
      </c>
      <c r="D275" s="2" t="s">
        <v>3509</v>
      </c>
      <c r="F275" s="3" t="s">
        <v>58</v>
      </c>
      <c r="G275" s="3" t="s">
        <v>59</v>
      </c>
      <c r="H275" s="3" t="s">
        <v>58</v>
      </c>
      <c r="I275" s="3" t="s">
        <v>58</v>
      </c>
      <c r="J275" s="3" t="s">
        <v>60</v>
      </c>
      <c r="L275" s="2" t="s">
        <v>3510</v>
      </c>
      <c r="M275" s="3" t="s">
        <v>467</v>
      </c>
      <c r="O275" s="3" t="s">
        <v>64</v>
      </c>
      <c r="P275" s="3" t="s">
        <v>65</v>
      </c>
      <c r="R275" s="3" t="s">
        <v>66</v>
      </c>
      <c r="S275" s="4">
        <v>2</v>
      </c>
      <c r="T275" s="4">
        <v>2</v>
      </c>
      <c r="U275" s="5" t="s">
        <v>3511</v>
      </c>
      <c r="V275" s="5" t="s">
        <v>3511</v>
      </c>
      <c r="W275" s="5" t="s">
        <v>2555</v>
      </c>
      <c r="X275" s="5" t="s">
        <v>2555</v>
      </c>
      <c r="Y275" s="4">
        <v>111</v>
      </c>
      <c r="Z275" s="4">
        <v>73</v>
      </c>
      <c r="AA275" s="4">
        <v>73</v>
      </c>
      <c r="AB275" s="4">
        <v>1</v>
      </c>
      <c r="AC275" s="4">
        <v>1</v>
      </c>
      <c r="AD275" s="4">
        <v>1</v>
      </c>
      <c r="AE275" s="4">
        <v>1</v>
      </c>
      <c r="AF275" s="4">
        <v>0</v>
      </c>
      <c r="AG275" s="4">
        <v>0</v>
      </c>
      <c r="AH275" s="4">
        <v>1</v>
      </c>
      <c r="AI275" s="4">
        <v>1</v>
      </c>
      <c r="AJ275" s="4">
        <v>0</v>
      </c>
      <c r="AK275" s="4">
        <v>0</v>
      </c>
      <c r="AL275" s="4">
        <v>0</v>
      </c>
      <c r="AM275" s="4">
        <v>0</v>
      </c>
      <c r="AN275" s="4">
        <v>0</v>
      </c>
      <c r="AO275" s="4">
        <v>0</v>
      </c>
      <c r="AP275" s="3" t="s">
        <v>58</v>
      </c>
      <c r="AQ275" s="3" t="s">
        <v>58</v>
      </c>
      <c r="AS275" s="6" t="str">
        <f>HYPERLINK("https://creighton-primo.hosted.exlibrisgroup.com/primo-explore/search?tab=default_tab&amp;search_scope=EVERYTHING&amp;vid=01CRU&amp;lang=en_US&amp;offset=0&amp;query=any,contains,991000899309702656","Catalog Record")</f>
        <v>Catalog Record</v>
      </c>
      <c r="AT275" s="6" t="str">
        <f>HYPERLINK("http://www.worldcat.org/oclc/7306361","WorldCat Record")</f>
        <v>WorldCat Record</v>
      </c>
      <c r="AU275" s="3" t="s">
        <v>3512</v>
      </c>
      <c r="AV275" s="3" t="s">
        <v>3513</v>
      </c>
      <c r="AW275" s="3" t="s">
        <v>3514</v>
      </c>
      <c r="AX275" s="3" t="s">
        <v>3514</v>
      </c>
      <c r="AY275" s="3" t="s">
        <v>3515</v>
      </c>
      <c r="AZ275" s="3" t="s">
        <v>73</v>
      </c>
      <c r="BB275" s="3" t="s">
        <v>3516</v>
      </c>
      <c r="BC275" s="3" t="s">
        <v>3517</v>
      </c>
      <c r="BD275" s="3" t="s">
        <v>3518</v>
      </c>
    </row>
    <row r="276" spans="1:56" ht="40.5" customHeight="1" x14ac:dyDescent="0.25">
      <c r="A276" s="7" t="s">
        <v>58</v>
      </c>
      <c r="B276" s="2" t="s">
        <v>3519</v>
      </c>
      <c r="C276" s="2" t="s">
        <v>3520</v>
      </c>
      <c r="D276" s="2" t="s">
        <v>3521</v>
      </c>
      <c r="F276" s="3" t="s">
        <v>58</v>
      </c>
      <c r="G276" s="3" t="s">
        <v>59</v>
      </c>
      <c r="H276" s="3" t="s">
        <v>58</v>
      </c>
      <c r="I276" s="3" t="s">
        <v>58</v>
      </c>
      <c r="J276" s="3" t="s">
        <v>60</v>
      </c>
      <c r="K276" s="2" t="s">
        <v>3522</v>
      </c>
      <c r="L276" s="2" t="s">
        <v>3523</v>
      </c>
      <c r="M276" s="3" t="s">
        <v>213</v>
      </c>
      <c r="O276" s="3" t="s">
        <v>64</v>
      </c>
      <c r="P276" s="3" t="s">
        <v>230</v>
      </c>
      <c r="R276" s="3" t="s">
        <v>66</v>
      </c>
      <c r="S276" s="4">
        <v>6</v>
      </c>
      <c r="T276" s="4">
        <v>6</v>
      </c>
      <c r="U276" s="5" t="s">
        <v>3524</v>
      </c>
      <c r="V276" s="5" t="s">
        <v>3524</v>
      </c>
      <c r="W276" s="5" t="s">
        <v>3525</v>
      </c>
      <c r="X276" s="5" t="s">
        <v>3525</v>
      </c>
      <c r="Y276" s="4">
        <v>240</v>
      </c>
      <c r="Z276" s="4">
        <v>166</v>
      </c>
      <c r="AA276" s="4">
        <v>168</v>
      </c>
      <c r="AB276" s="4">
        <v>3</v>
      </c>
      <c r="AC276" s="4">
        <v>3</v>
      </c>
      <c r="AD276" s="4">
        <v>8</v>
      </c>
      <c r="AE276" s="4">
        <v>8</v>
      </c>
      <c r="AF276" s="4">
        <v>3</v>
      </c>
      <c r="AG276" s="4">
        <v>3</v>
      </c>
      <c r="AH276" s="4">
        <v>3</v>
      </c>
      <c r="AI276" s="4">
        <v>3</v>
      </c>
      <c r="AJ276" s="4">
        <v>4</v>
      </c>
      <c r="AK276" s="4">
        <v>4</v>
      </c>
      <c r="AL276" s="4">
        <v>2</v>
      </c>
      <c r="AM276" s="4">
        <v>2</v>
      </c>
      <c r="AN276" s="4">
        <v>0</v>
      </c>
      <c r="AO276" s="4">
        <v>0</v>
      </c>
      <c r="AP276" s="3" t="s">
        <v>58</v>
      </c>
      <c r="AQ276" s="3" t="s">
        <v>85</v>
      </c>
      <c r="AR276" s="6" t="str">
        <f>HYPERLINK("http://catalog.hathitrust.org/Record/000171394","HathiTrust Record")</f>
        <v>HathiTrust Record</v>
      </c>
      <c r="AS276" s="6" t="str">
        <f>HYPERLINK("https://creighton-primo.hosted.exlibrisgroup.com/primo-explore/search?tab=default_tab&amp;search_scope=EVERYTHING&amp;vid=01CRU&amp;lang=en_US&amp;offset=0&amp;query=any,contains,991000899729702656","Catalog Record")</f>
        <v>Catalog Record</v>
      </c>
      <c r="AT276" s="6" t="str">
        <f>HYPERLINK("http://www.worldcat.org/oclc/2718123","WorldCat Record")</f>
        <v>WorldCat Record</v>
      </c>
      <c r="AU276" s="3" t="s">
        <v>3526</v>
      </c>
      <c r="AV276" s="3" t="s">
        <v>3527</v>
      </c>
      <c r="AW276" s="3" t="s">
        <v>3528</v>
      </c>
      <c r="AX276" s="3" t="s">
        <v>3528</v>
      </c>
      <c r="AY276" s="3" t="s">
        <v>3529</v>
      </c>
      <c r="AZ276" s="3" t="s">
        <v>73</v>
      </c>
      <c r="BC276" s="3" t="s">
        <v>3530</v>
      </c>
      <c r="BD276" s="3" t="s">
        <v>3531</v>
      </c>
    </row>
    <row r="277" spans="1:56" ht="40.5" customHeight="1" x14ac:dyDescent="0.25">
      <c r="A277" s="7" t="s">
        <v>58</v>
      </c>
      <c r="B277" s="2" t="s">
        <v>3532</v>
      </c>
      <c r="C277" s="2" t="s">
        <v>3533</v>
      </c>
      <c r="D277" s="2" t="s">
        <v>3534</v>
      </c>
      <c r="F277" s="3" t="s">
        <v>58</v>
      </c>
      <c r="G277" s="3" t="s">
        <v>59</v>
      </c>
      <c r="H277" s="3" t="s">
        <v>58</v>
      </c>
      <c r="I277" s="3" t="s">
        <v>58</v>
      </c>
      <c r="J277" s="3" t="s">
        <v>60</v>
      </c>
      <c r="L277" s="2" t="s">
        <v>3216</v>
      </c>
      <c r="M277" s="3" t="s">
        <v>365</v>
      </c>
      <c r="O277" s="3" t="s">
        <v>64</v>
      </c>
      <c r="P277" s="3" t="s">
        <v>1394</v>
      </c>
      <c r="Q277" s="2" t="s">
        <v>3535</v>
      </c>
      <c r="R277" s="3" t="s">
        <v>66</v>
      </c>
      <c r="S277" s="4">
        <v>5</v>
      </c>
      <c r="T277" s="4">
        <v>5</v>
      </c>
      <c r="U277" s="5" t="s">
        <v>3536</v>
      </c>
      <c r="V277" s="5" t="s">
        <v>3536</v>
      </c>
      <c r="W277" s="5" t="s">
        <v>3219</v>
      </c>
      <c r="X277" s="5" t="s">
        <v>3219</v>
      </c>
      <c r="Y277" s="4">
        <v>123</v>
      </c>
      <c r="Z277" s="4">
        <v>70</v>
      </c>
      <c r="AA277" s="4">
        <v>71</v>
      </c>
      <c r="AB277" s="4">
        <v>2</v>
      </c>
      <c r="AC277" s="4">
        <v>2</v>
      </c>
      <c r="AD277" s="4">
        <v>2</v>
      </c>
      <c r="AE277" s="4">
        <v>2</v>
      </c>
      <c r="AF277" s="4">
        <v>0</v>
      </c>
      <c r="AG277" s="4">
        <v>0</v>
      </c>
      <c r="AH277" s="4">
        <v>1</v>
      </c>
      <c r="AI277" s="4">
        <v>1</v>
      </c>
      <c r="AJ277" s="4">
        <v>0</v>
      </c>
      <c r="AK277" s="4">
        <v>0</v>
      </c>
      <c r="AL277" s="4">
        <v>1</v>
      </c>
      <c r="AM277" s="4">
        <v>1</v>
      </c>
      <c r="AN277" s="4">
        <v>0</v>
      </c>
      <c r="AO277" s="4">
        <v>0</v>
      </c>
      <c r="AP277" s="3" t="s">
        <v>58</v>
      </c>
      <c r="AQ277" s="3" t="s">
        <v>58</v>
      </c>
      <c r="AS277" s="6" t="str">
        <f>HYPERLINK("https://creighton-primo.hosted.exlibrisgroup.com/primo-explore/search?tab=default_tab&amp;search_scope=EVERYTHING&amp;vid=01CRU&amp;lang=en_US&amp;offset=0&amp;query=any,contains,991000684919702656","Catalog Record")</f>
        <v>Catalog Record</v>
      </c>
      <c r="AT277" s="6" t="str">
        <f>HYPERLINK("http://www.worldcat.org/oclc/30895602","WorldCat Record")</f>
        <v>WorldCat Record</v>
      </c>
      <c r="AU277" s="3" t="s">
        <v>3537</v>
      </c>
      <c r="AV277" s="3" t="s">
        <v>3538</v>
      </c>
      <c r="AW277" s="3" t="s">
        <v>3539</v>
      </c>
      <c r="AX277" s="3" t="s">
        <v>3539</v>
      </c>
      <c r="AY277" s="3" t="s">
        <v>3540</v>
      </c>
      <c r="AZ277" s="3" t="s">
        <v>73</v>
      </c>
      <c r="BB277" s="3" t="s">
        <v>3541</v>
      </c>
      <c r="BC277" s="3" t="s">
        <v>3542</v>
      </c>
      <c r="BD277" s="3" t="s">
        <v>3543</v>
      </c>
    </row>
    <row r="278" spans="1:56" ht="40.5" customHeight="1" x14ac:dyDescent="0.25">
      <c r="A278" s="7" t="s">
        <v>58</v>
      </c>
      <c r="B278" s="2" t="s">
        <v>3544</v>
      </c>
      <c r="C278" s="2" t="s">
        <v>3545</v>
      </c>
      <c r="D278" s="2" t="s">
        <v>3546</v>
      </c>
      <c r="F278" s="3" t="s">
        <v>58</v>
      </c>
      <c r="G278" s="3" t="s">
        <v>59</v>
      </c>
      <c r="H278" s="3" t="s">
        <v>58</v>
      </c>
      <c r="I278" s="3" t="s">
        <v>58</v>
      </c>
      <c r="J278" s="3" t="s">
        <v>60</v>
      </c>
      <c r="L278" s="2" t="s">
        <v>3547</v>
      </c>
      <c r="M278" s="3" t="s">
        <v>2552</v>
      </c>
      <c r="O278" s="3" t="s">
        <v>64</v>
      </c>
      <c r="P278" s="3" t="s">
        <v>65</v>
      </c>
      <c r="R278" s="3" t="s">
        <v>66</v>
      </c>
      <c r="S278" s="4">
        <v>2</v>
      </c>
      <c r="T278" s="4">
        <v>2</v>
      </c>
      <c r="U278" s="5" t="s">
        <v>3536</v>
      </c>
      <c r="V278" s="5" t="s">
        <v>3536</v>
      </c>
      <c r="W278" s="5" t="s">
        <v>2555</v>
      </c>
      <c r="X278" s="5" t="s">
        <v>2555</v>
      </c>
      <c r="Y278" s="4">
        <v>233</v>
      </c>
      <c r="Z278" s="4">
        <v>183</v>
      </c>
      <c r="AA278" s="4">
        <v>226</v>
      </c>
      <c r="AB278" s="4">
        <v>1</v>
      </c>
      <c r="AC278" s="4">
        <v>2</v>
      </c>
      <c r="AD278" s="4">
        <v>3</v>
      </c>
      <c r="AE278" s="4">
        <v>7</v>
      </c>
      <c r="AF278" s="4">
        <v>0</v>
      </c>
      <c r="AG278" s="4">
        <v>2</v>
      </c>
      <c r="AH278" s="4">
        <v>2</v>
      </c>
      <c r="AI278" s="4">
        <v>4</v>
      </c>
      <c r="AJ278" s="4">
        <v>1</v>
      </c>
      <c r="AK278" s="4">
        <v>1</v>
      </c>
      <c r="AL278" s="4">
        <v>0</v>
      </c>
      <c r="AM278" s="4">
        <v>1</v>
      </c>
      <c r="AN278" s="4">
        <v>0</v>
      </c>
      <c r="AO278" s="4">
        <v>0</v>
      </c>
      <c r="AP278" s="3" t="s">
        <v>58</v>
      </c>
      <c r="AQ278" s="3" t="s">
        <v>85</v>
      </c>
      <c r="AR278" s="6" t="str">
        <f>HYPERLINK("http://catalog.hathitrust.org/Record/000488505","HathiTrust Record")</f>
        <v>HathiTrust Record</v>
      </c>
      <c r="AS278" s="6" t="str">
        <f>HYPERLINK("https://creighton-primo.hosted.exlibrisgroup.com/primo-explore/search?tab=default_tab&amp;search_scope=EVERYTHING&amp;vid=01CRU&amp;lang=en_US&amp;offset=0&amp;query=any,contains,991001436559702656","Catalog Record")</f>
        <v>Catalog Record</v>
      </c>
      <c r="AT278" s="6" t="str">
        <f>HYPERLINK("http://www.worldcat.org/oclc/14068190","WorldCat Record")</f>
        <v>WorldCat Record</v>
      </c>
      <c r="AU278" s="3" t="s">
        <v>3548</v>
      </c>
      <c r="AV278" s="3" t="s">
        <v>3549</v>
      </c>
      <c r="AW278" s="3" t="s">
        <v>3550</v>
      </c>
      <c r="AX278" s="3" t="s">
        <v>3550</v>
      </c>
      <c r="AY278" s="3" t="s">
        <v>3551</v>
      </c>
      <c r="AZ278" s="3" t="s">
        <v>73</v>
      </c>
      <c r="BB278" s="3" t="s">
        <v>3552</v>
      </c>
      <c r="BC278" s="3" t="s">
        <v>3553</v>
      </c>
      <c r="BD278" s="3" t="s">
        <v>3554</v>
      </c>
    </row>
    <row r="279" spans="1:56" ht="40.5" customHeight="1" x14ac:dyDescent="0.25">
      <c r="A279" s="7" t="s">
        <v>58</v>
      </c>
      <c r="B279" s="2" t="s">
        <v>3555</v>
      </c>
      <c r="C279" s="2" t="s">
        <v>3556</v>
      </c>
      <c r="D279" s="2" t="s">
        <v>3557</v>
      </c>
      <c r="F279" s="3" t="s">
        <v>58</v>
      </c>
      <c r="G279" s="3" t="s">
        <v>59</v>
      </c>
      <c r="H279" s="3" t="s">
        <v>58</v>
      </c>
      <c r="I279" s="3" t="s">
        <v>58</v>
      </c>
      <c r="J279" s="3" t="s">
        <v>60</v>
      </c>
      <c r="K279" s="2" t="s">
        <v>3558</v>
      </c>
      <c r="L279" s="2" t="s">
        <v>3559</v>
      </c>
      <c r="M279" s="3" t="s">
        <v>1067</v>
      </c>
      <c r="O279" s="3" t="s">
        <v>64</v>
      </c>
      <c r="P279" s="3" t="s">
        <v>1394</v>
      </c>
      <c r="Q279" s="2" t="s">
        <v>3560</v>
      </c>
      <c r="R279" s="3" t="s">
        <v>66</v>
      </c>
      <c r="S279" s="4">
        <v>7</v>
      </c>
      <c r="T279" s="4">
        <v>7</v>
      </c>
      <c r="U279" s="5" t="s">
        <v>3536</v>
      </c>
      <c r="V279" s="5" t="s">
        <v>3536</v>
      </c>
      <c r="W279" s="5" t="s">
        <v>3561</v>
      </c>
      <c r="X279" s="5" t="s">
        <v>3561</v>
      </c>
      <c r="Y279" s="4">
        <v>54</v>
      </c>
      <c r="Z279" s="4">
        <v>32</v>
      </c>
      <c r="AA279" s="4">
        <v>85</v>
      </c>
      <c r="AB279" s="4">
        <v>1</v>
      </c>
      <c r="AC279" s="4">
        <v>2</v>
      </c>
      <c r="AD279" s="4">
        <v>1</v>
      </c>
      <c r="AE279" s="4">
        <v>2</v>
      </c>
      <c r="AF279" s="4">
        <v>0</v>
      </c>
      <c r="AG279" s="4">
        <v>0</v>
      </c>
      <c r="AH279" s="4">
        <v>1</v>
      </c>
      <c r="AI279" s="4">
        <v>1</v>
      </c>
      <c r="AJ279" s="4">
        <v>0</v>
      </c>
      <c r="AK279" s="4">
        <v>0</v>
      </c>
      <c r="AL279" s="4">
        <v>0</v>
      </c>
      <c r="AM279" s="4">
        <v>1</v>
      </c>
      <c r="AN279" s="4">
        <v>0</v>
      </c>
      <c r="AO279" s="4">
        <v>0</v>
      </c>
      <c r="AP279" s="3" t="s">
        <v>58</v>
      </c>
      <c r="AQ279" s="3" t="s">
        <v>58</v>
      </c>
      <c r="AS279" s="6" t="str">
        <f>HYPERLINK("https://creighton-primo.hosted.exlibrisgroup.com/primo-explore/search?tab=default_tab&amp;search_scope=EVERYTHING&amp;vid=01CRU&amp;lang=en_US&amp;offset=0&amp;query=any,contains,991001019629702656","Catalog Record")</f>
        <v>Catalog Record</v>
      </c>
      <c r="AT279" s="6" t="str">
        <f>HYPERLINK("http://www.worldcat.org/oclc/22862868","WorldCat Record")</f>
        <v>WorldCat Record</v>
      </c>
      <c r="AU279" s="3" t="s">
        <v>3562</v>
      </c>
      <c r="AV279" s="3" t="s">
        <v>3563</v>
      </c>
      <c r="AW279" s="3" t="s">
        <v>3564</v>
      </c>
      <c r="AX279" s="3" t="s">
        <v>3564</v>
      </c>
      <c r="AY279" s="3" t="s">
        <v>3565</v>
      </c>
      <c r="AZ279" s="3" t="s">
        <v>73</v>
      </c>
      <c r="BB279" s="3" t="s">
        <v>3566</v>
      </c>
      <c r="BC279" s="3" t="s">
        <v>3567</v>
      </c>
      <c r="BD279" s="3" t="s">
        <v>3568</v>
      </c>
    </row>
    <row r="280" spans="1:56" ht="40.5" customHeight="1" x14ac:dyDescent="0.25">
      <c r="A280" s="7" t="s">
        <v>58</v>
      </c>
      <c r="B280" s="2" t="s">
        <v>3569</v>
      </c>
      <c r="C280" s="2" t="s">
        <v>3570</v>
      </c>
      <c r="D280" s="2" t="s">
        <v>3571</v>
      </c>
      <c r="F280" s="3" t="s">
        <v>58</v>
      </c>
      <c r="G280" s="3" t="s">
        <v>59</v>
      </c>
      <c r="H280" s="3" t="s">
        <v>58</v>
      </c>
      <c r="I280" s="3" t="s">
        <v>58</v>
      </c>
      <c r="J280" s="3" t="s">
        <v>60</v>
      </c>
      <c r="K280" s="2" t="s">
        <v>3572</v>
      </c>
      <c r="L280" s="2" t="s">
        <v>3573</v>
      </c>
      <c r="M280" s="3" t="s">
        <v>1067</v>
      </c>
      <c r="O280" s="3" t="s">
        <v>64</v>
      </c>
      <c r="P280" s="3" t="s">
        <v>65</v>
      </c>
      <c r="Q280" s="2" t="s">
        <v>3574</v>
      </c>
      <c r="R280" s="3" t="s">
        <v>66</v>
      </c>
      <c r="S280" s="4">
        <v>40</v>
      </c>
      <c r="T280" s="4">
        <v>40</v>
      </c>
      <c r="U280" s="5" t="s">
        <v>3575</v>
      </c>
      <c r="V280" s="5" t="s">
        <v>3575</v>
      </c>
      <c r="W280" s="5" t="s">
        <v>3576</v>
      </c>
      <c r="X280" s="5" t="s">
        <v>3576</v>
      </c>
      <c r="Y280" s="4">
        <v>90</v>
      </c>
      <c r="Z280" s="4">
        <v>60</v>
      </c>
      <c r="AA280" s="4">
        <v>85</v>
      </c>
      <c r="AB280" s="4">
        <v>1</v>
      </c>
      <c r="AC280" s="4">
        <v>1</v>
      </c>
      <c r="AD280" s="4">
        <v>1</v>
      </c>
      <c r="AE280" s="4">
        <v>2</v>
      </c>
      <c r="AF280" s="4">
        <v>0</v>
      </c>
      <c r="AG280" s="4">
        <v>1</v>
      </c>
      <c r="AH280" s="4">
        <v>1</v>
      </c>
      <c r="AI280" s="4">
        <v>1</v>
      </c>
      <c r="AJ280" s="4">
        <v>0</v>
      </c>
      <c r="AK280" s="4">
        <v>1</v>
      </c>
      <c r="AL280" s="4">
        <v>0</v>
      </c>
      <c r="AM280" s="4">
        <v>0</v>
      </c>
      <c r="AN280" s="4">
        <v>0</v>
      </c>
      <c r="AO280" s="4">
        <v>0</v>
      </c>
      <c r="AP280" s="3" t="s">
        <v>58</v>
      </c>
      <c r="AQ280" s="3" t="s">
        <v>85</v>
      </c>
      <c r="AR280" s="6" t="str">
        <f>HYPERLINK("http://catalog.hathitrust.org/Record/002534124","HathiTrust Record")</f>
        <v>HathiTrust Record</v>
      </c>
      <c r="AS280" s="6" t="str">
        <f>HYPERLINK("https://creighton-primo.hosted.exlibrisgroup.com/primo-explore/search?tab=default_tab&amp;search_scope=EVERYTHING&amp;vid=01CRU&amp;lang=en_US&amp;offset=0&amp;query=any,contains,991001024369702656","Catalog Record")</f>
        <v>Catalog Record</v>
      </c>
      <c r="AT280" s="6" t="str">
        <f>HYPERLINK("http://www.worldcat.org/oclc/24550216","WorldCat Record")</f>
        <v>WorldCat Record</v>
      </c>
      <c r="AU280" s="3" t="s">
        <v>3577</v>
      </c>
      <c r="AV280" s="3" t="s">
        <v>3578</v>
      </c>
      <c r="AW280" s="3" t="s">
        <v>3579</v>
      </c>
      <c r="AX280" s="3" t="s">
        <v>3579</v>
      </c>
      <c r="AY280" s="3" t="s">
        <v>3580</v>
      </c>
      <c r="AZ280" s="3" t="s">
        <v>73</v>
      </c>
      <c r="BB280" s="3" t="s">
        <v>3581</v>
      </c>
      <c r="BC280" s="3" t="s">
        <v>3582</v>
      </c>
      <c r="BD280" s="3" t="s">
        <v>3583</v>
      </c>
    </row>
    <row r="281" spans="1:56" ht="40.5" customHeight="1" x14ac:dyDescent="0.25">
      <c r="A281" s="7" t="s">
        <v>58</v>
      </c>
      <c r="B281" s="2" t="s">
        <v>3584</v>
      </c>
      <c r="C281" s="2" t="s">
        <v>3585</v>
      </c>
      <c r="D281" s="2" t="s">
        <v>3586</v>
      </c>
      <c r="F281" s="3" t="s">
        <v>58</v>
      </c>
      <c r="G281" s="3" t="s">
        <v>59</v>
      </c>
      <c r="H281" s="3" t="s">
        <v>58</v>
      </c>
      <c r="I281" s="3" t="s">
        <v>58</v>
      </c>
      <c r="J281" s="3" t="s">
        <v>60</v>
      </c>
      <c r="L281" s="2" t="s">
        <v>3587</v>
      </c>
      <c r="M281" s="3" t="s">
        <v>2552</v>
      </c>
      <c r="O281" s="3" t="s">
        <v>64</v>
      </c>
      <c r="P281" s="3" t="s">
        <v>117</v>
      </c>
      <c r="R281" s="3" t="s">
        <v>66</v>
      </c>
      <c r="S281" s="4">
        <v>24</v>
      </c>
      <c r="T281" s="4">
        <v>24</v>
      </c>
      <c r="U281" s="5" t="s">
        <v>3575</v>
      </c>
      <c r="V281" s="5" t="s">
        <v>3575</v>
      </c>
      <c r="W281" s="5" t="s">
        <v>2555</v>
      </c>
      <c r="X281" s="5" t="s">
        <v>2555</v>
      </c>
      <c r="Y281" s="4">
        <v>146</v>
      </c>
      <c r="Z281" s="4">
        <v>115</v>
      </c>
      <c r="AA281" s="4">
        <v>117</v>
      </c>
      <c r="AB281" s="4">
        <v>1</v>
      </c>
      <c r="AC281" s="4">
        <v>1</v>
      </c>
      <c r="AD281" s="4">
        <v>5</v>
      </c>
      <c r="AE281" s="4">
        <v>5</v>
      </c>
      <c r="AF281" s="4">
        <v>1</v>
      </c>
      <c r="AG281" s="4">
        <v>1</v>
      </c>
      <c r="AH281" s="4">
        <v>3</v>
      </c>
      <c r="AI281" s="4">
        <v>3</v>
      </c>
      <c r="AJ281" s="4">
        <v>2</v>
      </c>
      <c r="AK281" s="4">
        <v>2</v>
      </c>
      <c r="AL281" s="4">
        <v>0</v>
      </c>
      <c r="AM281" s="4">
        <v>0</v>
      </c>
      <c r="AN281" s="4">
        <v>0</v>
      </c>
      <c r="AO281" s="4">
        <v>0</v>
      </c>
      <c r="AP281" s="3" t="s">
        <v>58</v>
      </c>
      <c r="AQ281" s="3" t="s">
        <v>85</v>
      </c>
      <c r="AR281" s="6" t="str">
        <f>HYPERLINK("http://catalog.hathitrust.org/Record/000480434","HathiTrust Record")</f>
        <v>HathiTrust Record</v>
      </c>
      <c r="AS281" s="6" t="str">
        <f>HYPERLINK("https://creighton-primo.hosted.exlibrisgroup.com/primo-explore/search?tab=default_tab&amp;search_scope=EVERYTHING&amp;vid=01CRU&amp;lang=en_US&amp;offset=0&amp;query=any,contains,991000899349702656","Catalog Record")</f>
        <v>Catalog Record</v>
      </c>
      <c r="AT281" s="6" t="str">
        <f>HYPERLINK("http://www.worldcat.org/oclc/13423769","WorldCat Record")</f>
        <v>WorldCat Record</v>
      </c>
      <c r="AU281" s="3" t="s">
        <v>3588</v>
      </c>
      <c r="AV281" s="3" t="s">
        <v>3589</v>
      </c>
      <c r="AW281" s="3" t="s">
        <v>3590</v>
      </c>
      <c r="AX281" s="3" t="s">
        <v>3590</v>
      </c>
      <c r="AY281" s="3" t="s">
        <v>3591</v>
      </c>
      <c r="AZ281" s="3" t="s">
        <v>73</v>
      </c>
      <c r="BB281" s="3" t="s">
        <v>3592</v>
      </c>
      <c r="BC281" s="3" t="s">
        <v>3593</v>
      </c>
      <c r="BD281" s="3" t="s">
        <v>3594</v>
      </c>
    </row>
    <row r="282" spans="1:56" ht="40.5" customHeight="1" x14ac:dyDescent="0.25">
      <c r="A282" s="7" t="s">
        <v>58</v>
      </c>
      <c r="B282" s="2" t="s">
        <v>3595</v>
      </c>
      <c r="C282" s="2" t="s">
        <v>3596</v>
      </c>
      <c r="D282" s="2" t="s">
        <v>3597</v>
      </c>
      <c r="F282" s="3" t="s">
        <v>58</v>
      </c>
      <c r="G282" s="3" t="s">
        <v>59</v>
      </c>
      <c r="H282" s="3" t="s">
        <v>58</v>
      </c>
      <c r="I282" s="3" t="s">
        <v>58</v>
      </c>
      <c r="J282" s="3" t="s">
        <v>60</v>
      </c>
      <c r="L282" s="2" t="s">
        <v>3598</v>
      </c>
      <c r="M282" s="3" t="s">
        <v>496</v>
      </c>
      <c r="O282" s="3" t="s">
        <v>64</v>
      </c>
      <c r="P282" s="3" t="s">
        <v>65</v>
      </c>
      <c r="Q282" s="2" t="s">
        <v>3599</v>
      </c>
      <c r="R282" s="3" t="s">
        <v>66</v>
      </c>
      <c r="S282" s="4">
        <v>20</v>
      </c>
      <c r="T282" s="4">
        <v>20</v>
      </c>
      <c r="U282" s="5" t="s">
        <v>3575</v>
      </c>
      <c r="V282" s="5" t="s">
        <v>3575</v>
      </c>
      <c r="W282" s="5" t="s">
        <v>2555</v>
      </c>
      <c r="X282" s="5" t="s">
        <v>2555</v>
      </c>
      <c r="Y282" s="4">
        <v>225</v>
      </c>
      <c r="Z282" s="4">
        <v>163</v>
      </c>
      <c r="AA282" s="4">
        <v>218</v>
      </c>
      <c r="AB282" s="4">
        <v>2</v>
      </c>
      <c r="AC282" s="4">
        <v>3</v>
      </c>
      <c r="AD282" s="4">
        <v>7</v>
      </c>
      <c r="AE282" s="4">
        <v>10</v>
      </c>
      <c r="AF282" s="4">
        <v>1</v>
      </c>
      <c r="AG282" s="4">
        <v>3</v>
      </c>
      <c r="AH282" s="4">
        <v>5</v>
      </c>
      <c r="AI282" s="4">
        <v>6</v>
      </c>
      <c r="AJ282" s="4">
        <v>3</v>
      </c>
      <c r="AK282" s="4">
        <v>3</v>
      </c>
      <c r="AL282" s="4">
        <v>1</v>
      </c>
      <c r="AM282" s="4">
        <v>2</v>
      </c>
      <c r="AN282" s="4">
        <v>0</v>
      </c>
      <c r="AO282" s="4">
        <v>0</v>
      </c>
      <c r="AP282" s="3" t="s">
        <v>58</v>
      </c>
      <c r="AQ282" s="3" t="s">
        <v>85</v>
      </c>
      <c r="AR282" s="6" t="str">
        <f>HYPERLINK("http://catalog.hathitrust.org/Record/000163775","HathiTrust Record")</f>
        <v>HathiTrust Record</v>
      </c>
      <c r="AS282" s="6" t="str">
        <f>HYPERLINK("https://creighton-primo.hosted.exlibrisgroup.com/primo-explore/search?tab=default_tab&amp;search_scope=EVERYTHING&amp;vid=01CRU&amp;lang=en_US&amp;offset=0&amp;query=any,contains,991000899429702656","Catalog Record")</f>
        <v>Catalog Record</v>
      </c>
      <c r="AT282" s="6" t="str">
        <f>HYPERLINK("http://www.worldcat.org/oclc/10726981","WorldCat Record")</f>
        <v>WorldCat Record</v>
      </c>
      <c r="AU282" s="3" t="s">
        <v>3600</v>
      </c>
      <c r="AV282" s="3" t="s">
        <v>3601</v>
      </c>
      <c r="AW282" s="3" t="s">
        <v>3602</v>
      </c>
      <c r="AX282" s="3" t="s">
        <v>3602</v>
      </c>
      <c r="AY282" s="3" t="s">
        <v>3603</v>
      </c>
      <c r="AZ282" s="3" t="s">
        <v>73</v>
      </c>
      <c r="BB282" s="3" t="s">
        <v>3604</v>
      </c>
      <c r="BC282" s="3" t="s">
        <v>3605</v>
      </c>
      <c r="BD282" s="3" t="s">
        <v>3606</v>
      </c>
    </row>
    <row r="283" spans="1:56" ht="40.5" customHeight="1" x14ac:dyDescent="0.25">
      <c r="A283" s="7" t="s">
        <v>58</v>
      </c>
      <c r="B283" s="2" t="s">
        <v>3607</v>
      </c>
      <c r="C283" s="2" t="s">
        <v>3608</v>
      </c>
      <c r="D283" s="2" t="s">
        <v>3609</v>
      </c>
      <c r="F283" s="3" t="s">
        <v>58</v>
      </c>
      <c r="G283" s="3" t="s">
        <v>59</v>
      </c>
      <c r="H283" s="3" t="s">
        <v>58</v>
      </c>
      <c r="I283" s="3" t="s">
        <v>58</v>
      </c>
      <c r="J283" s="3" t="s">
        <v>60</v>
      </c>
      <c r="K283" s="2" t="s">
        <v>3610</v>
      </c>
      <c r="L283" s="2" t="s">
        <v>3611</v>
      </c>
      <c r="M283" s="3" t="s">
        <v>467</v>
      </c>
      <c r="O283" s="3" t="s">
        <v>64</v>
      </c>
      <c r="P283" s="3" t="s">
        <v>65</v>
      </c>
      <c r="R283" s="3" t="s">
        <v>66</v>
      </c>
      <c r="S283" s="4">
        <v>3</v>
      </c>
      <c r="T283" s="4">
        <v>3</v>
      </c>
      <c r="U283" s="5" t="s">
        <v>3524</v>
      </c>
      <c r="V283" s="5" t="s">
        <v>3524</v>
      </c>
      <c r="W283" s="5" t="s">
        <v>2555</v>
      </c>
      <c r="X283" s="5" t="s">
        <v>2555</v>
      </c>
      <c r="Y283" s="4">
        <v>186</v>
      </c>
      <c r="Z283" s="4">
        <v>145</v>
      </c>
      <c r="AA283" s="4">
        <v>164</v>
      </c>
      <c r="AB283" s="4">
        <v>3</v>
      </c>
      <c r="AC283" s="4">
        <v>3</v>
      </c>
      <c r="AD283" s="4">
        <v>2</v>
      </c>
      <c r="AE283" s="4">
        <v>3</v>
      </c>
      <c r="AF283" s="4">
        <v>0</v>
      </c>
      <c r="AG283" s="4">
        <v>1</v>
      </c>
      <c r="AH283" s="4">
        <v>0</v>
      </c>
      <c r="AI283" s="4">
        <v>0</v>
      </c>
      <c r="AJ283" s="4">
        <v>0</v>
      </c>
      <c r="AK283" s="4">
        <v>1</v>
      </c>
      <c r="AL283" s="4">
        <v>2</v>
      </c>
      <c r="AM283" s="4">
        <v>2</v>
      </c>
      <c r="AN283" s="4">
        <v>0</v>
      </c>
      <c r="AO283" s="4">
        <v>0</v>
      </c>
      <c r="AP283" s="3" t="s">
        <v>58</v>
      </c>
      <c r="AQ283" s="3" t="s">
        <v>85</v>
      </c>
      <c r="AR283" s="6" t="str">
        <f>HYPERLINK("http://catalog.hathitrust.org/Record/000271079","HathiTrust Record")</f>
        <v>HathiTrust Record</v>
      </c>
      <c r="AS283" s="6" t="str">
        <f>HYPERLINK("https://creighton-primo.hosted.exlibrisgroup.com/primo-explore/search?tab=default_tab&amp;search_scope=EVERYTHING&amp;vid=01CRU&amp;lang=en_US&amp;offset=0&amp;query=any,contains,991000899459702656","Catalog Record")</f>
        <v>Catalog Record</v>
      </c>
      <c r="AT283" s="6" t="str">
        <f>HYPERLINK("http://www.worldcat.org/oclc/7206152","WorldCat Record")</f>
        <v>WorldCat Record</v>
      </c>
      <c r="AU283" s="3" t="s">
        <v>3612</v>
      </c>
      <c r="AV283" s="3" t="s">
        <v>3613</v>
      </c>
      <c r="AW283" s="3" t="s">
        <v>3614</v>
      </c>
      <c r="AX283" s="3" t="s">
        <v>3614</v>
      </c>
      <c r="AY283" s="3" t="s">
        <v>3615</v>
      </c>
      <c r="AZ283" s="3" t="s">
        <v>73</v>
      </c>
      <c r="BB283" s="3" t="s">
        <v>3616</v>
      </c>
      <c r="BC283" s="3" t="s">
        <v>3617</v>
      </c>
      <c r="BD283" s="3" t="s">
        <v>3618</v>
      </c>
    </row>
    <row r="284" spans="1:56" ht="40.5" customHeight="1" x14ac:dyDescent="0.25">
      <c r="A284" s="7" t="s">
        <v>58</v>
      </c>
      <c r="B284" s="2" t="s">
        <v>3619</v>
      </c>
      <c r="C284" s="2" t="s">
        <v>3620</v>
      </c>
      <c r="D284" s="2" t="s">
        <v>3621</v>
      </c>
      <c r="F284" s="3" t="s">
        <v>58</v>
      </c>
      <c r="G284" s="3" t="s">
        <v>59</v>
      </c>
      <c r="H284" s="3" t="s">
        <v>58</v>
      </c>
      <c r="I284" s="3" t="s">
        <v>58</v>
      </c>
      <c r="J284" s="3" t="s">
        <v>60</v>
      </c>
      <c r="L284" s="2" t="s">
        <v>3622</v>
      </c>
      <c r="M284" s="3" t="s">
        <v>63</v>
      </c>
      <c r="O284" s="3" t="s">
        <v>64</v>
      </c>
      <c r="P284" s="3" t="s">
        <v>135</v>
      </c>
      <c r="R284" s="3" t="s">
        <v>66</v>
      </c>
      <c r="S284" s="4">
        <v>1</v>
      </c>
      <c r="T284" s="4">
        <v>1</v>
      </c>
      <c r="U284" s="5" t="s">
        <v>3536</v>
      </c>
      <c r="V284" s="5" t="s">
        <v>3536</v>
      </c>
      <c r="W284" s="5" t="s">
        <v>2555</v>
      </c>
      <c r="X284" s="5" t="s">
        <v>2555</v>
      </c>
      <c r="Y284" s="4">
        <v>151</v>
      </c>
      <c r="Z284" s="4">
        <v>98</v>
      </c>
      <c r="AA284" s="4">
        <v>98</v>
      </c>
      <c r="AB284" s="4">
        <v>1</v>
      </c>
      <c r="AC284" s="4">
        <v>1</v>
      </c>
      <c r="AD284" s="4">
        <v>1</v>
      </c>
      <c r="AE284" s="4">
        <v>1</v>
      </c>
      <c r="AF284" s="4">
        <v>0</v>
      </c>
      <c r="AG284" s="4">
        <v>0</v>
      </c>
      <c r="AH284" s="4">
        <v>1</v>
      </c>
      <c r="AI284" s="4">
        <v>1</v>
      </c>
      <c r="AJ284" s="4">
        <v>0</v>
      </c>
      <c r="AK284" s="4">
        <v>0</v>
      </c>
      <c r="AL284" s="4">
        <v>0</v>
      </c>
      <c r="AM284" s="4">
        <v>0</v>
      </c>
      <c r="AN284" s="4">
        <v>0</v>
      </c>
      <c r="AO284" s="4">
        <v>0</v>
      </c>
      <c r="AP284" s="3" t="s">
        <v>58</v>
      </c>
      <c r="AQ284" s="3" t="s">
        <v>58</v>
      </c>
      <c r="AS284" s="6" t="str">
        <f>HYPERLINK("https://creighton-primo.hosted.exlibrisgroup.com/primo-explore/search?tab=default_tab&amp;search_scope=EVERYTHING&amp;vid=01CRU&amp;lang=en_US&amp;offset=0&amp;query=any,contains,991000899489702656","Catalog Record")</f>
        <v>Catalog Record</v>
      </c>
      <c r="AT284" s="6" t="str">
        <f>HYPERLINK("http://www.worldcat.org/oclc/22660732","WorldCat Record")</f>
        <v>WorldCat Record</v>
      </c>
      <c r="AU284" s="3" t="s">
        <v>3623</v>
      </c>
      <c r="AV284" s="3" t="s">
        <v>3624</v>
      </c>
      <c r="AW284" s="3" t="s">
        <v>3625</v>
      </c>
      <c r="AX284" s="3" t="s">
        <v>3625</v>
      </c>
      <c r="AY284" s="3" t="s">
        <v>3626</v>
      </c>
      <c r="AZ284" s="3" t="s">
        <v>73</v>
      </c>
      <c r="BB284" s="3" t="s">
        <v>3627</v>
      </c>
      <c r="BC284" s="3" t="s">
        <v>3628</v>
      </c>
      <c r="BD284" s="3" t="s">
        <v>3629</v>
      </c>
    </row>
    <row r="285" spans="1:56" ht="40.5" customHeight="1" x14ac:dyDescent="0.25">
      <c r="A285" s="7" t="s">
        <v>58</v>
      </c>
      <c r="B285" s="2" t="s">
        <v>3630</v>
      </c>
      <c r="C285" s="2" t="s">
        <v>3631</v>
      </c>
      <c r="D285" s="2" t="s">
        <v>3632</v>
      </c>
      <c r="F285" s="3" t="s">
        <v>58</v>
      </c>
      <c r="G285" s="3" t="s">
        <v>59</v>
      </c>
      <c r="H285" s="3" t="s">
        <v>58</v>
      </c>
      <c r="I285" s="3" t="s">
        <v>58</v>
      </c>
      <c r="J285" s="3" t="s">
        <v>60</v>
      </c>
      <c r="L285" s="2" t="s">
        <v>3633</v>
      </c>
      <c r="M285" s="3" t="s">
        <v>424</v>
      </c>
      <c r="O285" s="3" t="s">
        <v>64</v>
      </c>
      <c r="P285" s="3" t="s">
        <v>65</v>
      </c>
      <c r="Q285" s="2" t="s">
        <v>3634</v>
      </c>
      <c r="R285" s="3" t="s">
        <v>66</v>
      </c>
      <c r="S285" s="4">
        <v>10</v>
      </c>
      <c r="T285" s="4">
        <v>10</v>
      </c>
      <c r="U285" s="5" t="s">
        <v>3635</v>
      </c>
      <c r="V285" s="5" t="s">
        <v>3635</v>
      </c>
      <c r="W285" s="5" t="s">
        <v>2555</v>
      </c>
      <c r="X285" s="5" t="s">
        <v>2555</v>
      </c>
      <c r="Y285" s="4">
        <v>141</v>
      </c>
      <c r="Z285" s="4">
        <v>110</v>
      </c>
      <c r="AA285" s="4">
        <v>124</v>
      </c>
      <c r="AB285" s="4">
        <v>1</v>
      </c>
      <c r="AC285" s="4">
        <v>1</v>
      </c>
      <c r="AD285" s="4">
        <v>2</v>
      </c>
      <c r="AE285" s="4">
        <v>2</v>
      </c>
      <c r="AF285" s="4">
        <v>0</v>
      </c>
      <c r="AG285" s="4">
        <v>0</v>
      </c>
      <c r="AH285" s="4">
        <v>2</v>
      </c>
      <c r="AI285" s="4">
        <v>2</v>
      </c>
      <c r="AJ285" s="4">
        <v>0</v>
      </c>
      <c r="AK285" s="4">
        <v>0</v>
      </c>
      <c r="AL285" s="4">
        <v>0</v>
      </c>
      <c r="AM285" s="4">
        <v>0</v>
      </c>
      <c r="AN285" s="4">
        <v>0</v>
      </c>
      <c r="AO285" s="4">
        <v>0</v>
      </c>
      <c r="AP285" s="3" t="s">
        <v>58</v>
      </c>
      <c r="AQ285" s="3" t="s">
        <v>58</v>
      </c>
      <c r="AS285" s="6" t="str">
        <f>HYPERLINK("https://creighton-primo.hosted.exlibrisgroup.com/primo-explore/search?tab=default_tab&amp;search_scope=EVERYTHING&amp;vid=01CRU&amp;lang=en_US&amp;offset=0&amp;query=any,contains,991000899649702656","Catalog Record")</f>
        <v>Catalog Record</v>
      </c>
      <c r="AT285" s="6" t="str">
        <f>HYPERLINK("http://www.worldcat.org/oclc/11842282","WorldCat Record")</f>
        <v>WorldCat Record</v>
      </c>
      <c r="AU285" s="3" t="s">
        <v>3636</v>
      </c>
      <c r="AV285" s="3" t="s">
        <v>3637</v>
      </c>
      <c r="AW285" s="3" t="s">
        <v>3638</v>
      </c>
      <c r="AX285" s="3" t="s">
        <v>3638</v>
      </c>
      <c r="AY285" s="3" t="s">
        <v>3639</v>
      </c>
      <c r="AZ285" s="3" t="s">
        <v>73</v>
      </c>
      <c r="BB285" s="3" t="s">
        <v>3640</v>
      </c>
      <c r="BC285" s="3" t="s">
        <v>3641</v>
      </c>
      <c r="BD285" s="3" t="s">
        <v>3642</v>
      </c>
    </row>
    <row r="286" spans="1:56" ht="40.5" customHeight="1" x14ac:dyDescent="0.25">
      <c r="A286" s="7" t="s">
        <v>58</v>
      </c>
      <c r="B286" s="2" t="s">
        <v>3643</v>
      </c>
      <c r="C286" s="2" t="s">
        <v>3644</v>
      </c>
      <c r="D286" s="2" t="s">
        <v>3645</v>
      </c>
      <c r="F286" s="3" t="s">
        <v>58</v>
      </c>
      <c r="G286" s="3" t="s">
        <v>59</v>
      </c>
      <c r="H286" s="3" t="s">
        <v>58</v>
      </c>
      <c r="I286" s="3" t="s">
        <v>58</v>
      </c>
      <c r="J286" s="3" t="s">
        <v>60</v>
      </c>
      <c r="L286" s="2" t="s">
        <v>3646</v>
      </c>
      <c r="M286" s="3" t="s">
        <v>424</v>
      </c>
      <c r="O286" s="3" t="s">
        <v>64</v>
      </c>
      <c r="P286" s="3" t="s">
        <v>65</v>
      </c>
      <c r="Q286" s="2" t="s">
        <v>3647</v>
      </c>
      <c r="R286" s="3" t="s">
        <v>66</v>
      </c>
      <c r="S286" s="4">
        <v>7</v>
      </c>
      <c r="T286" s="4">
        <v>7</v>
      </c>
      <c r="U286" s="5" t="s">
        <v>3635</v>
      </c>
      <c r="V286" s="5" t="s">
        <v>3635</v>
      </c>
      <c r="W286" s="5" t="s">
        <v>2555</v>
      </c>
      <c r="X286" s="5" t="s">
        <v>2555</v>
      </c>
      <c r="Y286" s="4">
        <v>172</v>
      </c>
      <c r="Z286" s="4">
        <v>132</v>
      </c>
      <c r="AA286" s="4">
        <v>136</v>
      </c>
      <c r="AB286" s="4">
        <v>2</v>
      </c>
      <c r="AC286" s="4">
        <v>2</v>
      </c>
      <c r="AD286" s="4">
        <v>4</v>
      </c>
      <c r="AE286" s="4">
        <v>4</v>
      </c>
      <c r="AF286" s="4">
        <v>0</v>
      </c>
      <c r="AG286" s="4">
        <v>0</v>
      </c>
      <c r="AH286" s="4">
        <v>2</v>
      </c>
      <c r="AI286" s="4">
        <v>2</v>
      </c>
      <c r="AJ286" s="4">
        <v>2</v>
      </c>
      <c r="AK286" s="4">
        <v>2</v>
      </c>
      <c r="AL286" s="4">
        <v>1</v>
      </c>
      <c r="AM286" s="4">
        <v>1</v>
      </c>
      <c r="AN286" s="4">
        <v>0</v>
      </c>
      <c r="AO286" s="4">
        <v>0</v>
      </c>
      <c r="AP286" s="3" t="s">
        <v>58</v>
      </c>
      <c r="AQ286" s="3" t="s">
        <v>85</v>
      </c>
      <c r="AR286" s="6" t="str">
        <f>HYPERLINK("http://catalog.hathitrust.org/Record/000471378","HathiTrust Record")</f>
        <v>HathiTrust Record</v>
      </c>
      <c r="AS286" s="6" t="str">
        <f>HYPERLINK("https://creighton-primo.hosted.exlibrisgroup.com/primo-explore/search?tab=default_tab&amp;search_scope=EVERYTHING&amp;vid=01CRU&amp;lang=en_US&amp;offset=0&amp;query=any,contains,991000899609702656","Catalog Record")</f>
        <v>Catalog Record</v>
      </c>
      <c r="AT286" s="6" t="str">
        <f>HYPERLINK("http://www.worldcat.org/oclc/11306532","WorldCat Record")</f>
        <v>WorldCat Record</v>
      </c>
      <c r="AU286" s="3" t="s">
        <v>3648</v>
      </c>
      <c r="AV286" s="3" t="s">
        <v>3649</v>
      </c>
      <c r="AW286" s="3" t="s">
        <v>3650</v>
      </c>
      <c r="AX286" s="3" t="s">
        <v>3650</v>
      </c>
      <c r="AY286" s="3" t="s">
        <v>3651</v>
      </c>
      <c r="AZ286" s="3" t="s">
        <v>73</v>
      </c>
      <c r="BB286" s="3" t="s">
        <v>3652</v>
      </c>
      <c r="BC286" s="3" t="s">
        <v>3653</v>
      </c>
      <c r="BD286" s="3" t="s">
        <v>3654</v>
      </c>
    </row>
    <row r="287" spans="1:56" ht="40.5" customHeight="1" x14ac:dyDescent="0.25">
      <c r="A287" s="7" t="s">
        <v>58</v>
      </c>
      <c r="B287" s="2" t="s">
        <v>3655</v>
      </c>
      <c r="C287" s="2" t="s">
        <v>3656</v>
      </c>
      <c r="D287" s="2" t="s">
        <v>3657</v>
      </c>
      <c r="F287" s="3" t="s">
        <v>58</v>
      </c>
      <c r="G287" s="3" t="s">
        <v>59</v>
      </c>
      <c r="H287" s="3" t="s">
        <v>58</v>
      </c>
      <c r="I287" s="3" t="s">
        <v>58</v>
      </c>
      <c r="J287" s="3" t="s">
        <v>60</v>
      </c>
      <c r="K287" s="2" t="s">
        <v>3658</v>
      </c>
      <c r="L287" s="2" t="s">
        <v>3659</v>
      </c>
      <c r="M287" s="3" t="s">
        <v>659</v>
      </c>
      <c r="O287" s="3" t="s">
        <v>64</v>
      </c>
      <c r="P287" s="3" t="s">
        <v>117</v>
      </c>
      <c r="R287" s="3" t="s">
        <v>66</v>
      </c>
      <c r="S287" s="4">
        <v>9</v>
      </c>
      <c r="T287" s="4">
        <v>9</v>
      </c>
      <c r="U287" s="5" t="s">
        <v>3660</v>
      </c>
      <c r="V287" s="5" t="s">
        <v>3660</v>
      </c>
      <c r="W287" s="5" t="s">
        <v>3661</v>
      </c>
      <c r="X287" s="5" t="s">
        <v>3661</v>
      </c>
      <c r="Y287" s="4">
        <v>265</v>
      </c>
      <c r="Z287" s="4">
        <v>194</v>
      </c>
      <c r="AA287" s="4">
        <v>201</v>
      </c>
      <c r="AB287" s="4">
        <v>1</v>
      </c>
      <c r="AC287" s="4">
        <v>1</v>
      </c>
      <c r="AD287" s="4">
        <v>5</v>
      </c>
      <c r="AE287" s="4">
        <v>5</v>
      </c>
      <c r="AF287" s="4">
        <v>1</v>
      </c>
      <c r="AG287" s="4">
        <v>1</v>
      </c>
      <c r="AH287" s="4">
        <v>1</v>
      </c>
      <c r="AI287" s="4">
        <v>1</v>
      </c>
      <c r="AJ287" s="4">
        <v>3</v>
      </c>
      <c r="AK287" s="4">
        <v>3</v>
      </c>
      <c r="AL287" s="4">
        <v>0</v>
      </c>
      <c r="AM287" s="4">
        <v>0</v>
      </c>
      <c r="AN287" s="4">
        <v>0</v>
      </c>
      <c r="AO287" s="4">
        <v>0</v>
      </c>
      <c r="AP287" s="3" t="s">
        <v>58</v>
      </c>
      <c r="AQ287" s="3" t="s">
        <v>85</v>
      </c>
      <c r="AR287" s="6" t="str">
        <f>HYPERLINK("http://catalog.hathitrust.org/Record/001573217","HathiTrust Record")</f>
        <v>HathiTrust Record</v>
      </c>
      <c r="AS287" s="6" t="str">
        <f>HYPERLINK("https://creighton-primo.hosted.exlibrisgroup.com/primo-explore/search?tab=default_tab&amp;search_scope=EVERYTHING&amp;vid=01CRU&amp;lang=en_US&amp;offset=0&amp;query=any,contains,991000899819702656","Catalog Record")</f>
        <v>Catalog Record</v>
      </c>
      <c r="AT287" s="6" t="str">
        <f>HYPERLINK("http://www.worldcat.org/oclc/700631","WorldCat Record")</f>
        <v>WorldCat Record</v>
      </c>
      <c r="AU287" s="3" t="s">
        <v>3662</v>
      </c>
      <c r="AV287" s="3" t="s">
        <v>3663</v>
      </c>
      <c r="AW287" s="3" t="s">
        <v>3664</v>
      </c>
      <c r="AX287" s="3" t="s">
        <v>3664</v>
      </c>
      <c r="AY287" s="3" t="s">
        <v>3665</v>
      </c>
      <c r="AZ287" s="3" t="s">
        <v>73</v>
      </c>
      <c r="BC287" s="3" t="s">
        <v>3666</v>
      </c>
      <c r="BD287" s="3" t="s">
        <v>3667</v>
      </c>
    </row>
    <row r="288" spans="1:56" ht="40.5" customHeight="1" x14ac:dyDescent="0.25">
      <c r="A288" s="7" t="s">
        <v>58</v>
      </c>
      <c r="B288" s="2" t="s">
        <v>3668</v>
      </c>
      <c r="C288" s="2" t="s">
        <v>3669</v>
      </c>
      <c r="D288" s="2" t="s">
        <v>3670</v>
      </c>
      <c r="F288" s="3" t="s">
        <v>58</v>
      </c>
      <c r="G288" s="3" t="s">
        <v>59</v>
      </c>
      <c r="H288" s="3" t="s">
        <v>58</v>
      </c>
      <c r="I288" s="3" t="s">
        <v>58</v>
      </c>
      <c r="J288" s="3" t="s">
        <v>60</v>
      </c>
      <c r="K288" s="2" t="s">
        <v>3671</v>
      </c>
      <c r="L288" s="2" t="s">
        <v>3672</v>
      </c>
      <c r="M288" s="3" t="s">
        <v>759</v>
      </c>
      <c r="O288" s="3" t="s">
        <v>64</v>
      </c>
      <c r="P288" s="3" t="s">
        <v>117</v>
      </c>
      <c r="Q288" s="2" t="s">
        <v>1786</v>
      </c>
      <c r="R288" s="3" t="s">
        <v>66</v>
      </c>
      <c r="S288" s="4">
        <v>1</v>
      </c>
      <c r="T288" s="4">
        <v>1</v>
      </c>
      <c r="U288" s="5" t="s">
        <v>3673</v>
      </c>
      <c r="V288" s="5" t="s">
        <v>3673</v>
      </c>
      <c r="W288" s="5" t="s">
        <v>3674</v>
      </c>
      <c r="X288" s="5" t="s">
        <v>3674</v>
      </c>
      <c r="Y288" s="4">
        <v>84</v>
      </c>
      <c r="Z288" s="4">
        <v>60</v>
      </c>
      <c r="AA288" s="4">
        <v>60</v>
      </c>
      <c r="AB288" s="4">
        <v>1</v>
      </c>
      <c r="AC288" s="4">
        <v>1</v>
      </c>
      <c r="AD288" s="4">
        <v>1</v>
      </c>
      <c r="AE288" s="4">
        <v>1</v>
      </c>
      <c r="AF288" s="4">
        <v>0</v>
      </c>
      <c r="AG288" s="4">
        <v>0</v>
      </c>
      <c r="AH288" s="4">
        <v>1</v>
      </c>
      <c r="AI288" s="4">
        <v>1</v>
      </c>
      <c r="AJ288" s="4">
        <v>1</v>
      </c>
      <c r="AK288" s="4">
        <v>1</v>
      </c>
      <c r="AL288" s="4">
        <v>0</v>
      </c>
      <c r="AM288" s="4">
        <v>0</v>
      </c>
      <c r="AN288" s="4">
        <v>0</v>
      </c>
      <c r="AO288" s="4">
        <v>0</v>
      </c>
      <c r="AP288" s="3" t="s">
        <v>58</v>
      </c>
      <c r="AQ288" s="3" t="s">
        <v>58</v>
      </c>
      <c r="AS288" s="6" t="str">
        <f>HYPERLINK("https://creighton-primo.hosted.exlibrisgroup.com/primo-explore/search?tab=default_tab&amp;search_scope=EVERYTHING&amp;vid=01CRU&amp;lang=en_US&amp;offset=0&amp;query=any,contains,991001404269702656","Catalog Record")</f>
        <v>Catalog Record</v>
      </c>
      <c r="AT288" s="6" t="str">
        <f>HYPERLINK("http://www.worldcat.org/oclc/32275929","WorldCat Record")</f>
        <v>WorldCat Record</v>
      </c>
      <c r="AU288" s="3" t="s">
        <v>3675</v>
      </c>
      <c r="AV288" s="3" t="s">
        <v>3676</v>
      </c>
      <c r="AW288" s="3" t="s">
        <v>3677</v>
      </c>
      <c r="AX288" s="3" t="s">
        <v>3677</v>
      </c>
      <c r="AY288" s="3" t="s">
        <v>3678</v>
      </c>
      <c r="AZ288" s="3" t="s">
        <v>73</v>
      </c>
      <c r="BB288" s="3" t="s">
        <v>3679</v>
      </c>
      <c r="BC288" s="3" t="s">
        <v>3680</v>
      </c>
      <c r="BD288" s="3" t="s">
        <v>3681</v>
      </c>
    </row>
    <row r="289" spans="1:56" ht="40.5" customHeight="1" x14ac:dyDescent="0.25">
      <c r="A289" s="7" t="s">
        <v>58</v>
      </c>
      <c r="B289" s="2" t="s">
        <v>3682</v>
      </c>
      <c r="C289" s="2" t="s">
        <v>3683</v>
      </c>
      <c r="D289" s="2" t="s">
        <v>3684</v>
      </c>
      <c r="F289" s="3" t="s">
        <v>58</v>
      </c>
      <c r="G289" s="3" t="s">
        <v>59</v>
      </c>
      <c r="H289" s="3" t="s">
        <v>58</v>
      </c>
      <c r="I289" s="3" t="s">
        <v>58</v>
      </c>
      <c r="J289" s="3" t="s">
        <v>59</v>
      </c>
      <c r="K289" s="2" t="s">
        <v>3685</v>
      </c>
      <c r="L289" s="2" t="s">
        <v>3686</v>
      </c>
      <c r="M289" s="3" t="s">
        <v>644</v>
      </c>
      <c r="O289" s="3" t="s">
        <v>64</v>
      </c>
      <c r="P289" s="3" t="s">
        <v>117</v>
      </c>
      <c r="R289" s="3" t="s">
        <v>66</v>
      </c>
      <c r="S289" s="4">
        <v>2</v>
      </c>
      <c r="T289" s="4">
        <v>2</v>
      </c>
      <c r="U289" s="5" t="s">
        <v>3687</v>
      </c>
      <c r="V289" s="5" t="s">
        <v>3687</v>
      </c>
      <c r="W289" s="5" t="s">
        <v>3688</v>
      </c>
      <c r="X289" s="5" t="s">
        <v>3688</v>
      </c>
      <c r="Y289" s="4">
        <v>224</v>
      </c>
      <c r="Z289" s="4">
        <v>179</v>
      </c>
      <c r="AA289" s="4">
        <v>1090</v>
      </c>
      <c r="AB289" s="4">
        <v>3</v>
      </c>
      <c r="AC289" s="4">
        <v>15</v>
      </c>
      <c r="AD289" s="4">
        <v>9</v>
      </c>
      <c r="AE289" s="4">
        <v>45</v>
      </c>
      <c r="AF289" s="4">
        <v>1</v>
      </c>
      <c r="AG289" s="4">
        <v>12</v>
      </c>
      <c r="AH289" s="4">
        <v>2</v>
      </c>
      <c r="AI289" s="4">
        <v>11</v>
      </c>
      <c r="AJ289" s="4">
        <v>6</v>
      </c>
      <c r="AK289" s="4">
        <v>15</v>
      </c>
      <c r="AL289" s="4">
        <v>2</v>
      </c>
      <c r="AM289" s="4">
        <v>13</v>
      </c>
      <c r="AN289" s="4">
        <v>0</v>
      </c>
      <c r="AO289" s="4">
        <v>2</v>
      </c>
      <c r="AP289" s="3" t="s">
        <v>58</v>
      </c>
      <c r="AQ289" s="3" t="s">
        <v>58</v>
      </c>
      <c r="AS289" s="6" t="str">
        <f>HYPERLINK("https://creighton-primo.hosted.exlibrisgroup.com/primo-explore/search?tab=default_tab&amp;search_scope=EVERYTHING&amp;vid=01CRU&amp;lang=en_US&amp;offset=0&amp;query=any,contains,991001058679702656","Catalog Record")</f>
        <v>Catalog Record</v>
      </c>
      <c r="AT289" s="6" t="str">
        <f>HYPERLINK("http://www.worldcat.org/oclc/34282524","WorldCat Record")</f>
        <v>WorldCat Record</v>
      </c>
      <c r="AU289" s="3" t="s">
        <v>3689</v>
      </c>
      <c r="AV289" s="3" t="s">
        <v>3690</v>
      </c>
      <c r="AW289" s="3" t="s">
        <v>3691</v>
      </c>
      <c r="AX289" s="3" t="s">
        <v>3691</v>
      </c>
      <c r="AY289" s="3" t="s">
        <v>3692</v>
      </c>
      <c r="AZ289" s="3" t="s">
        <v>73</v>
      </c>
      <c r="BB289" s="3" t="s">
        <v>3693</v>
      </c>
      <c r="BC289" s="3" t="s">
        <v>3694</v>
      </c>
      <c r="BD289" s="3" t="s">
        <v>3695</v>
      </c>
    </row>
    <row r="290" spans="1:56" ht="40.5" customHeight="1" x14ac:dyDescent="0.25">
      <c r="A290" s="7" t="s">
        <v>58</v>
      </c>
      <c r="B290" s="2" t="s">
        <v>3696</v>
      </c>
      <c r="C290" s="2" t="s">
        <v>3697</v>
      </c>
      <c r="D290" s="2" t="s">
        <v>3698</v>
      </c>
      <c r="F290" s="3" t="s">
        <v>58</v>
      </c>
      <c r="G290" s="3" t="s">
        <v>59</v>
      </c>
      <c r="H290" s="3" t="s">
        <v>58</v>
      </c>
      <c r="I290" s="3" t="s">
        <v>58</v>
      </c>
      <c r="J290" s="3" t="s">
        <v>60</v>
      </c>
      <c r="K290" s="2" t="s">
        <v>3699</v>
      </c>
      <c r="L290" s="2" t="s">
        <v>3573</v>
      </c>
      <c r="M290" s="3" t="s">
        <v>1067</v>
      </c>
      <c r="O290" s="3" t="s">
        <v>64</v>
      </c>
      <c r="P290" s="3" t="s">
        <v>117</v>
      </c>
      <c r="R290" s="3" t="s">
        <v>66</v>
      </c>
      <c r="S290" s="4">
        <v>7</v>
      </c>
      <c r="T290" s="4">
        <v>7</v>
      </c>
      <c r="U290" s="5" t="s">
        <v>3700</v>
      </c>
      <c r="V290" s="5" t="s">
        <v>3700</v>
      </c>
      <c r="W290" s="5" t="s">
        <v>3315</v>
      </c>
      <c r="X290" s="5" t="s">
        <v>3315</v>
      </c>
      <c r="Y290" s="4">
        <v>93</v>
      </c>
      <c r="Z290" s="4">
        <v>74</v>
      </c>
      <c r="AA290" s="4">
        <v>103</v>
      </c>
      <c r="AB290" s="4">
        <v>2</v>
      </c>
      <c r="AC290" s="4">
        <v>2</v>
      </c>
      <c r="AD290" s="4">
        <v>1</v>
      </c>
      <c r="AE290" s="4">
        <v>2</v>
      </c>
      <c r="AF290" s="4">
        <v>0</v>
      </c>
      <c r="AG290" s="4">
        <v>1</v>
      </c>
      <c r="AH290" s="4">
        <v>0</v>
      </c>
      <c r="AI290" s="4">
        <v>0</v>
      </c>
      <c r="AJ290" s="4">
        <v>0</v>
      </c>
      <c r="AK290" s="4">
        <v>1</v>
      </c>
      <c r="AL290" s="4">
        <v>1</v>
      </c>
      <c r="AM290" s="4">
        <v>1</v>
      </c>
      <c r="AN290" s="4">
        <v>0</v>
      </c>
      <c r="AO290" s="4">
        <v>0</v>
      </c>
      <c r="AP290" s="3" t="s">
        <v>58</v>
      </c>
      <c r="AQ290" s="3" t="s">
        <v>85</v>
      </c>
      <c r="AR290" s="6" t="str">
        <f>HYPERLINK("http://catalog.hathitrust.org/Record/002461189","HathiTrust Record")</f>
        <v>HathiTrust Record</v>
      </c>
      <c r="AS290" s="6" t="str">
        <f>HYPERLINK("https://creighton-primo.hosted.exlibrisgroup.com/primo-explore/search?tab=default_tab&amp;search_scope=EVERYTHING&amp;vid=01CRU&amp;lang=en_US&amp;offset=0&amp;query=any,contains,991000827289702656","Catalog Record")</f>
        <v>Catalog Record</v>
      </c>
      <c r="AT290" s="6" t="str">
        <f>HYPERLINK("http://www.worldcat.org/oclc/22452089","WorldCat Record")</f>
        <v>WorldCat Record</v>
      </c>
      <c r="AU290" s="3" t="s">
        <v>3701</v>
      </c>
      <c r="AV290" s="3" t="s">
        <v>3702</v>
      </c>
      <c r="AW290" s="3" t="s">
        <v>3703</v>
      </c>
      <c r="AX290" s="3" t="s">
        <v>3703</v>
      </c>
      <c r="AY290" s="3" t="s">
        <v>3704</v>
      </c>
      <c r="AZ290" s="3" t="s">
        <v>73</v>
      </c>
      <c r="BB290" s="3" t="s">
        <v>3705</v>
      </c>
      <c r="BC290" s="3" t="s">
        <v>3706</v>
      </c>
      <c r="BD290" s="3" t="s">
        <v>3707</v>
      </c>
    </row>
    <row r="291" spans="1:56" ht="40.5" customHeight="1" x14ac:dyDescent="0.25">
      <c r="A291" s="7" t="s">
        <v>58</v>
      </c>
      <c r="B291" s="2" t="s">
        <v>3708</v>
      </c>
      <c r="C291" s="2" t="s">
        <v>3709</v>
      </c>
      <c r="D291" s="2" t="s">
        <v>3710</v>
      </c>
      <c r="E291" s="3" t="s">
        <v>96</v>
      </c>
      <c r="F291" s="3" t="s">
        <v>85</v>
      </c>
      <c r="G291" s="3" t="s">
        <v>59</v>
      </c>
      <c r="H291" s="3" t="s">
        <v>58</v>
      </c>
      <c r="I291" s="3" t="s">
        <v>58</v>
      </c>
      <c r="J291" s="3" t="s">
        <v>60</v>
      </c>
      <c r="L291" s="2" t="s">
        <v>3711</v>
      </c>
      <c r="M291" s="3" t="s">
        <v>424</v>
      </c>
      <c r="O291" s="3" t="s">
        <v>64</v>
      </c>
      <c r="P291" s="3" t="s">
        <v>886</v>
      </c>
      <c r="R291" s="3" t="s">
        <v>66</v>
      </c>
      <c r="S291" s="4">
        <v>2</v>
      </c>
      <c r="T291" s="4">
        <v>5</v>
      </c>
      <c r="U291" s="5" t="s">
        <v>3712</v>
      </c>
      <c r="V291" s="5" t="s">
        <v>3713</v>
      </c>
      <c r="W291" s="5" t="s">
        <v>2555</v>
      </c>
      <c r="X291" s="5" t="s">
        <v>2555</v>
      </c>
      <c r="Y291" s="4">
        <v>248</v>
      </c>
      <c r="Z291" s="4">
        <v>199</v>
      </c>
      <c r="AA291" s="4">
        <v>202</v>
      </c>
      <c r="AB291" s="4">
        <v>2</v>
      </c>
      <c r="AC291" s="4">
        <v>2</v>
      </c>
      <c r="AD291" s="4">
        <v>5</v>
      </c>
      <c r="AE291" s="4">
        <v>5</v>
      </c>
      <c r="AF291" s="4">
        <v>1</v>
      </c>
      <c r="AG291" s="4">
        <v>1</v>
      </c>
      <c r="AH291" s="4">
        <v>2</v>
      </c>
      <c r="AI291" s="4">
        <v>2</v>
      </c>
      <c r="AJ291" s="4">
        <v>3</v>
      </c>
      <c r="AK291" s="4">
        <v>3</v>
      </c>
      <c r="AL291" s="4">
        <v>1</v>
      </c>
      <c r="AM291" s="4">
        <v>1</v>
      </c>
      <c r="AN291" s="4">
        <v>0</v>
      </c>
      <c r="AO291" s="4">
        <v>0</v>
      </c>
      <c r="AP291" s="3" t="s">
        <v>58</v>
      </c>
      <c r="AQ291" s="3" t="s">
        <v>85</v>
      </c>
      <c r="AR291" s="6" t="str">
        <f>HYPERLINK("http://catalog.hathitrust.org/Record/000352820","HathiTrust Record")</f>
        <v>HathiTrust Record</v>
      </c>
      <c r="AS291" s="6" t="str">
        <f>HYPERLINK("https://creighton-primo.hosted.exlibrisgroup.com/primo-explore/search?tab=default_tab&amp;search_scope=EVERYTHING&amp;vid=01CRU&amp;lang=en_US&amp;offset=0&amp;query=any,contains,991000899869702656","Catalog Record")</f>
        <v>Catalog Record</v>
      </c>
      <c r="AT291" s="6" t="str">
        <f>HYPERLINK("http://www.worldcat.org/oclc/11550121","WorldCat Record")</f>
        <v>WorldCat Record</v>
      </c>
      <c r="AU291" s="3" t="s">
        <v>3714</v>
      </c>
      <c r="AV291" s="3" t="s">
        <v>3715</v>
      </c>
      <c r="AW291" s="3" t="s">
        <v>3716</v>
      </c>
      <c r="AX291" s="3" t="s">
        <v>3716</v>
      </c>
      <c r="AY291" s="3" t="s">
        <v>3717</v>
      </c>
      <c r="AZ291" s="3" t="s">
        <v>73</v>
      </c>
      <c r="BB291" s="3" t="s">
        <v>3718</v>
      </c>
      <c r="BC291" s="3" t="s">
        <v>3719</v>
      </c>
      <c r="BD291" s="3" t="s">
        <v>3720</v>
      </c>
    </row>
    <row r="292" spans="1:56" ht="40.5" customHeight="1" x14ac:dyDescent="0.25">
      <c r="A292" s="7" t="s">
        <v>58</v>
      </c>
      <c r="B292" s="2" t="s">
        <v>3708</v>
      </c>
      <c r="C292" s="2" t="s">
        <v>3709</v>
      </c>
      <c r="D292" s="2" t="s">
        <v>3710</v>
      </c>
      <c r="E292" s="3" t="s">
        <v>258</v>
      </c>
      <c r="F292" s="3" t="s">
        <v>85</v>
      </c>
      <c r="G292" s="3" t="s">
        <v>59</v>
      </c>
      <c r="H292" s="3" t="s">
        <v>58</v>
      </c>
      <c r="I292" s="3" t="s">
        <v>58</v>
      </c>
      <c r="J292" s="3" t="s">
        <v>60</v>
      </c>
      <c r="L292" s="2" t="s">
        <v>3711</v>
      </c>
      <c r="M292" s="3" t="s">
        <v>424</v>
      </c>
      <c r="O292" s="3" t="s">
        <v>64</v>
      </c>
      <c r="P292" s="3" t="s">
        <v>886</v>
      </c>
      <c r="R292" s="3" t="s">
        <v>66</v>
      </c>
      <c r="S292" s="4">
        <v>3</v>
      </c>
      <c r="T292" s="4">
        <v>5</v>
      </c>
      <c r="U292" s="5" t="s">
        <v>3713</v>
      </c>
      <c r="V292" s="5" t="s">
        <v>3713</v>
      </c>
      <c r="W292" s="5" t="s">
        <v>2555</v>
      </c>
      <c r="X292" s="5" t="s">
        <v>2555</v>
      </c>
      <c r="Y292" s="4">
        <v>248</v>
      </c>
      <c r="Z292" s="4">
        <v>199</v>
      </c>
      <c r="AA292" s="4">
        <v>202</v>
      </c>
      <c r="AB292" s="4">
        <v>2</v>
      </c>
      <c r="AC292" s="4">
        <v>2</v>
      </c>
      <c r="AD292" s="4">
        <v>5</v>
      </c>
      <c r="AE292" s="4">
        <v>5</v>
      </c>
      <c r="AF292" s="4">
        <v>1</v>
      </c>
      <c r="AG292" s="4">
        <v>1</v>
      </c>
      <c r="AH292" s="4">
        <v>2</v>
      </c>
      <c r="AI292" s="4">
        <v>2</v>
      </c>
      <c r="AJ292" s="4">
        <v>3</v>
      </c>
      <c r="AK292" s="4">
        <v>3</v>
      </c>
      <c r="AL292" s="4">
        <v>1</v>
      </c>
      <c r="AM292" s="4">
        <v>1</v>
      </c>
      <c r="AN292" s="4">
        <v>0</v>
      </c>
      <c r="AO292" s="4">
        <v>0</v>
      </c>
      <c r="AP292" s="3" t="s">
        <v>58</v>
      </c>
      <c r="AQ292" s="3" t="s">
        <v>85</v>
      </c>
      <c r="AR292" s="6" t="str">
        <f>HYPERLINK("http://catalog.hathitrust.org/Record/000352820","HathiTrust Record")</f>
        <v>HathiTrust Record</v>
      </c>
      <c r="AS292" s="6" t="str">
        <f>HYPERLINK("https://creighton-primo.hosted.exlibrisgroup.com/primo-explore/search?tab=default_tab&amp;search_scope=EVERYTHING&amp;vid=01CRU&amp;lang=en_US&amp;offset=0&amp;query=any,contains,991000899869702656","Catalog Record")</f>
        <v>Catalog Record</v>
      </c>
      <c r="AT292" s="6" t="str">
        <f>HYPERLINK("http://www.worldcat.org/oclc/11550121","WorldCat Record")</f>
        <v>WorldCat Record</v>
      </c>
      <c r="AU292" s="3" t="s">
        <v>3714</v>
      </c>
      <c r="AV292" s="3" t="s">
        <v>3715</v>
      </c>
      <c r="AW292" s="3" t="s">
        <v>3716</v>
      </c>
      <c r="AX292" s="3" t="s">
        <v>3716</v>
      </c>
      <c r="AY292" s="3" t="s">
        <v>3717</v>
      </c>
      <c r="AZ292" s="3" t="s">
        <v>73</v>
      </c>
      <c r="BB292" s="3" t="s">
        <v>3718</v>
      </c>
      <c r="BC292" s="3" t="s">
        <v>3721</v>
      </c>
      <c r="BD292" s="3" t="s">
        <v>3722</v>
      </c>
    </row>
    <row r="293" spans="1:56" ht="40.5" customHeight="1" x14ac:dyDescent="0.25">
      <c r="A293" s="7" t="s">
        <v>58</v>
      </c>
      <c r="B293" s="2" t="s">
        <v>3723</v>
      </c>
      <c r="C293" s="2" t="s">
        <v>3724</v>
      </c>
      <c r="D293" s="2" t="s">
        <v>3725</v>
      </c>
      <c r="F293" s="3" t="s">
        <v>58</v>
      </c>
      <c r="G293" s="3" t="s">
        <v>59</v>
      </c>
      <c r="H293" s="3" t="s">
        <v>58</v>
      </c>
      <c r="I293" s="3" t="s">
        <v>58</v>
      </c>
      <c r="J293" s="3" t="s">
        <v>60</v>
      </c>
      <c r="L293" s="2" t="s">
        <v>3726</v>
      </c>
      <c r="M293" s="3" t="s">
        <v>742</v>
      </c>
      <c r="O293" s="3" t="s">
        <v>64</v>
      </c>
      <c r="P293" s="3" t="s">
        <v>396</v>
      </c>
      <c r="Q293" s="2" t="s">
        <v>3727</v>
      </c>
      <c r="R293" s="3" t="s">
        <v>66</v>
      </c>
      <c r="S293" s="4">
        <v>7</v>
      </c>
      <c r="T293" s="4">
        <v>7</v>
      </c>
      <c r="U293" s="5" t="s">
        <v>3728</v>
      </c>
      <c r="V293" s="5" t="s">
        <v>3728</v>
      </c>
      <c r="W293" s="5" t="s">
        <v>3729</v>
      </c>
      <c r="X293" s="5" t="s">
        <v>3729</v>
      </c>
      <c r="Y293" s="4">
        <v>91</v>
      </c>
      <c r="Z293" s="4">
        <v>57</v>
      </c>
      <c r="AA293" s="4">
        <v>80</v>
      </c>
      <c r="AB293" s="4">
        <v>1</v>
      </c>
      <c r="AC293" s="4">
        <v>1</v>
      </c>
      <c r="AD293" s="4">
        <v>0</v>
      </c>
      <c r="AE293" s="4">
        <v>0</v>
      </c>
      <c r="AF293" s="4">
        <v>0</v>
      </c>
      <c r="AG293" s="4">
        <v>0</v>
      </c>
      <c r="AH293" s="4">
        <v>0</v>
      </c>
      <c r="AI293" s="4">
        <v>0</v>
      </c>
      <c r="AJ293" s="4">
        <v>0</v>
      </c>
      <c r="AK293" s="4">
        <v>0</v>
      </c>
      <c r="AL293" s="4">
        <v>0</v>
      </c>
      <c r="AM293" s="4">
        <v>0</v>
      </c>
      <c r="AN293" s="4">
        <v>0</v>
      </c>
      <c r="AO293" s="4">
        <v>0</v>
      </c>
      <c r="AP293" s="3" t="s">
        <v>58</v>
      </c>
      <c r="AQ293" s="3" t="s">
        <v>85</v>
      </c>
      <c r="AR293" s="6" t="str">
        <f>HYPERLINK("http://catalog.hathitrust.org/Record/002728140","HathiTrust Record")</f>
        <v>HathiTrust Record</v>
      </c>
      <c r="AS293" s="6" t="str">
        <f>HYPERLINK("https://creighton-primo.hosted.exlibrisgroup.com/primo-explore/search?tab=default_tab&amp;search_scope=EVERYTHING&amp;vid=01CRU&amp;lang=en_US&amp;offset=0&amp;query=any,contains,991001196129702656","Catalog Record")</f>
        <v>Catalog Record</v>
      </c>
      <c r="AT293" s="6" t="str">
        <f>HYPERLINK("http://www.worldcat.org/oclc/27770882","WorldCat Record")</f>
        <v>WorldCat Record</v>
      </c>
      <c r="AU293" s="3" t="s">
        <v>3730</v>
      </c>
      <c r="AV293" s="3" t="s">
        <v>3731</v>
      </c>
      <c r="AW293" s="3" t="s">
        <v>3732</v>
      </c>
      <c r="AX293" s="3" t="s">
        <v>3732</v>
      </c>
      <c r="AY293" s="3" t="s">
        <v>3733</v>
      </c>
      <c r="AZ293" s="3" t="s">
        <v>73</v>
      </c>
      <c r="BB293" s="3" t="s">
        <v>3734</v>
      </c>
      <c r="BC293" s="3" t="s">
        <v>3735</v>
      </c>
      <c r="BD293" s="3" t="s">
        <v>3736</v>
      </c>
    </row>
    <row r="294" spans="1:56" ht="40.5" customHeight="1" x14ac:dyDescent="0.25">
      <c r="A294" s="7" t="s">
        <v>58</v>
      </c>
      <c r="B294" s="2" t="s">
        <v>3737</v>
      </c>
      <c r="C294" s="2" t="s">
        <v>3738</v>
      </c>
      <c r="D294" s="2" t="s">
        <v>3739</v>
      </c>
      <c r="F294" s="3" t="s">
        <v>58</v>
      </c>
      <c r="G294" s="3" t="s">
        <v>59</v>
      </c>
      <c r="H294" s="3" t="s">
        <v>58</v>
      </c>
      <c r="I294" s="3" t="s">
        <v>58</v>
      </c>
      <c r="J294" s="3" t="s">
        <v>60</v>
      </c>
      <c r="L294" s="2" t="s">
        <v>3740</v>
      </c>
      <c r="M294" s="3" t="s">
        <v>614</v>
      </c>
      <c r="O294" s="3" t="s">
        <v>64</v>
      </c>
      <c r="P294" s="3" t="s">
        <v>135</v>
      </c>
      <c r="Q294" s="2" t="s">
        <v>3741</v>
      </c>
      <c r="R294" s="3" t="s">
        <v>66</v>
      </c>
      <c r="S294" s="4">
        <v>4</v>
      </c>
      <c r="T294" s="4">
        <v>4</v>
      </c>
      <c r="U294" s="5" t="s">
        <v>3742</v>
      </c>
      <c r="V294" s="5" t="s">
        <v>3742</v>
      </c>
      <c r="W294" s="5" t="s">
        <v>3743</v>
      </c>
      <c r="X294" s="5" t="s">
        <v>3743</v>
      </c>
      <c r="Y294" s="4">
        <v>86</v>
      </c>
      <c r="Z294" s="4">
        <v>51</v>
      </c>
      <c r="AA294" s="4">
        <v>51</v>
      </c>
      <c r="AB294" s="4">
        <v>1</v>
      </c>
      <c r="AC294" s="4">
        <v>1</v>
      </c>
      <c r="AD294" s="4">
        <v>1</v>
      </c>
      <c r="AE294" s="4">
        <v>1</v>
      </c>
      <c r="AF294" s="4">
        <v>0</v>
      </c>
      <c r="AG294" s="4">
        <v>0</v>
      </c>
      <c r="AH294" s="4">
        <v>1</v>
      </c>
      <c r="AI294" s="4">
        <v>1</v>
      </c>
      <c r="AJ294" s="4">
        <v>0</v>
      </c>
      <c r="AK294" s="4">
        <v>0</v>
      </c>
      <c r="AL294" s="4">
        <v>0</v>
      </c>
      <c r="AM294" s="4">
        <v>0</v>
      </c>
      <c r="AN294" s="4">
        <v>0</v>
      </c>
      <c r="AO294" s="4">
        <v>0</v>
      </c>
      <c r="AP294" s="3" t="s">
        <v>58</v>
      </c>
      <c r="AQ294" s="3" t="s">
        <v>58</v>
      </c>
      <c r="AS294" s="6" t="str">
        <f>HYPERLINK("https://creighton-primo.hosted.exlibrisgroup.com/primo-explore/search?tab=default_tab&amp;search_scope=EVERYTHING&amp;vid=01CRU&amp;lang=en_US&amp;offset=0&amp;query=any,contains,991000560659702656","Catalog Record")</f>
        <v>Catalog Record</v>
      </c>
      <c r="AT294" s="6" t="str">
        <f>HYPERLINK("http://www.worldcat.org/oclc/21669044","WorldCat Record")</f>
        <v>WorldCat Record</v>
      </c>
      <c r="AU294" s="3" t="s">
        <v>3744</v>
      </c>
      <c r="AV294" s="3" t="s">
        <v>3745</v>
      </c>
      <c r="AW294" s="3" t="s">
        <v>3746</v>
      </c>
      <c r="AX294" s="3" t="s">
        <v>3746</v>
      </c>
      <c r="AY294" s="3" t="s">
        <v>3747</v>
      </c>
      <c r="AZ294" s="3" t="s">
        <v>73</v>
      </c>
      <c r="BB294" s="3" t="s">
        <v>3748</v>
      </c>
      <c r="BC294" s="3" t="s">
        <v>3749</v>
      </c>
      <c r="BD294" s="3" t="s">
        <v>3750</v>
      </c>
    </row>
    <row r="295" spans="1:56" ht="40.5" customHeight="1" x14ac:dyDescent="0.25">
      <c r="A295" s="7" t="s">
        <v>58</v>
      </c>
      <c r="B295" s="2" t="s">
        <v>3751</v>
      </c>
      <c r="C295" s="2" t="s">
        <v>3752</v>
      </c>
      <c r="D295" s="2" t="s">
        <v>3753</v>
      </c>
      <c r="F295" s="3" t="s">
        <v>58</v>
      </c>
      <c r="G295" s="3" t="s">
        <v>59</v>
      </c>
      <c r="H295" s="3" t="s">
        <v>58</v>
      </c>
      <c r="I295" s="3" t="s">
        <v>58</v>
      </c>
      <c r="J295" s="3" t="s">
        <v>60</v>
      </c>
      <c r="K295" s="2" t="s">
        <v>3754</v>
      </c>
      <c r="L295" s="2" t="s">
        <v>3755</v>
      </c>
      <c r="M295" s="3" t="s">
        <v>116</v>
      </c>
      <c r="O295" s="3" t="s">
        <v>64</v>
      </c>
      <c r="P295" s="3" t="s">
        <v>65</v>
      </c>
      <c r="Q295" s="2" t="s">
        <v>3756</v>
      </c>
      <c r="R295" s="3" t="s">
        <v>66</v>
      </c>
      <c r="S295" s="4">
        <v>2</v>
      </c>
      <c r="T295" s="4">
        <v>2</v>
      </c>
      <c r="U295" s="5" t="s">
        <v>3757</v>
      </c>
      <c r="V295" s="5" t="s">
        <v>3757</v>
      </c>
      <c r="W295" s="5" t="s">
        <v>3700</v>
      </c>
      <c r="X295" s="5" t="s">
        <v>3700</v>
      </c>
      <c r="Y295" s="4">
        <v>68</v>
      </c>
      <c r="Z295" s="4">
        <v>49</v>
      </c>
      <c r="AA295" s="4">
        <v>56</v>
      </c>
      <c r="AB295" s="4">
        <v>2</v>
      </c>
      <c r="AC295" s="4">
        <v>2</v>
      </c>
      <c r="AD295" s="4">
        <v>2</v>
      </c>
      <c r="AE295" s="4">
        <v>2</v>
      </c>
      <c r="AF295" s="4">
        <v>1</v>
      </c>
      <c r="AG295" s="4">
        <v>1</v>
      </c>
      <c r="AH295" s="4">
        <v>1</v>
      </c>
      <c r="AI295" s="4">
        <v>1</v>
      </c>
      <c r="AJ295" s="4">
        <v>0</v>
      </c>
      <c r="AK295" s="4">
        <v>0</v>
      </c>
      <c r="AL295" s="4">
        <v>1</v>
      </c>
      <c r="AM295" s="4">
        <v>1</v>
      </c>
      <c r="AN295" s="4">
        <v>0</v>
      </c>
      <c r="AO295" s="4">
        <v>0</v>
      </c>
      <c r="AP295" s="3" t="s">
        <v>58</v>
      </c>
      <c r="AQ295" s="3" t="s">
        <v>85</v>
      </c>
      <c r="AR295" s="6" t="str">
        <f>HYPERLINK("http://catalog.hathitrust.org/Record/002612565","HathiTrust Record")</f>
        <v>HathiTrust Record</v>
      </c>
      <c r="AS295" s="6" t="str">
        <f>HYPERLINK("https://creighton-primo.hosted.exlibrisgroup.com/primo-explore/search?tab=default_tab&amp;search_scope=EVERYTHING&amp;vid=01CRU&amp;lang=en_US&amp;offset=0&amp;query=any,contains,991001512159702656","Catalog Record")</f>
        <v>Catalog Record</v>
      </c>
      <c r="AT295" s="6" t="str">
        <f>HYPERLINK("http://www.worldcat.org/oclc/28587386","WorldCat Record")</f>
        <v>WorldCat Record</v>
      </c>
      <c r="AU295" s="3" t="s">
        <v>3758</v>
      </c>
      <c r="AV295" s="3" t="s">
        <v>3759</v>
      </c>
      <c r="AW295" s="3" t="s">
        <v>3760</v>
      </c>
      <c r="AX295" s="3" t="s">
        <v>3760</v>
      </c>
      <c r="AY295" s="3" t="s">
        <v>3761</v>
      </c>
      <c r="AZ295" s="3" t="s">
        <v>73</v>
      </c>
      <c r="BB295" s="3" t="s">
        <v>3762</v>
      </c>
      <c r="BC295" s="3" t="s">
        <v>3763</v>
      </c>
      <c r="BD295" s="3" t="s">
        <v>3764</v>
      </c>
    </row>
    <row r="296" spans="1:56" ht="40.5" customHeight="1" x14ac:dyDescent="0.25">
      <c r="A296" s="7" t="s">
        <v>58</v>
      </c>
      <c r="B296" s="2" t="s">
        <v>3765</v>
      </c>
      <c r="C296" s="2" t="s">
        <v>3766</v>
      </c>
      <c r="D296" s="2" t="s">
        <v>3767</v>
      </c>
      <c r="F296" s="3" t="s">
        <v>58</v>
      </c>
      <c r="G296" s="3" t="s">
        <v>59</v>
      </c>
      <c r="H296" s="3" t="s">
        <v>58</v>
      </c>
      <c r="I296" s="3" t="s">
        <v>58</v>
      </c>
      <c r="J296" s="3" t="s">
        <v>60</v>
      </c>
      <c r="L296" s="2" t="s">
        <v>1690</v>
      </c>
      <c r="M296" s="3" t="s">
        <v>197</v>
      </c>
      <c r="O296" s="3" t="s">
        <v>64</v>
      </c>
      <c r="P296" s="3" t="s">
        <v>65</v>
      </c>
      <c r="R296" s="3" t="s">
        <v>66</v>
      </c>
      <c r="S296" s="4">
        <v>18</v>
      </c>
      <c r="T296" s="4">
        <v>18</v>
      </c>
      <c r="U296" s="5" t="s">
        <v>3768</v>
      </c>
      <c r="V296" s="5" t="s">
        <v>3768</v>
      </c>
      <c r="W296" s="5" t="s">
        <v>3769</v>
      </c>
      <c r="X296" s="5" t="s">
        <v>3769</v>
      </c>
      <c r="Y296" s="4">
        <v>198</v>
      </c>
      <c r="Z296" s="4">
        <v>151</v>
      </c>
      <c r="AA296" s="4">
        <v>153</v>
      </c>
      <c r="AB296" s="4">
        <v>1</v>
      </c>
      <c r="AC296" s="4">
        <v>1</v>
      </c>
      <c r="AD296" s="4">
        <v>9</v>
      </c>
      <c r="AE296" s="4">
        <v>9</v>
      </c>
      <c r="AF296" s="4">
        <v>3</v>
      </c>
      <c r="AG296" s="4">
        <v>3</v>
      </c>
      <c r="AH296" s="4">
        <v>3</v>
      </c>
      <c r="AI296" s="4">
        <v>3</v>
      </c>
      <c r="AJ296" s="4">
        <v>6</v>
      </c>
      <c r="AK296" s="4">
        <v>6</v>
      </c>
      <c r="AL296" s="4">
        <v>0</v>
      </c>
      <c r="AM296" s="4">
        <v>0</v>
      </c>
      <c r="AN296" s="4">
        <v>0</v>
      </c>
      <c r="AO296" s="4">
        <v>0</v>
      </c>
      <c r="AP296" s="3" t="s">
        <v>58</v>
      </c>
      <c r="AQ296" s="3" t="s">
        <v>85</v>
      </c>
      <c r="AR296" s="6" t="str">
        <f>HYPERLINK("http://catalog.hathitrust.org/Record/002627220","HathiTrust Record")</f>
        <v>HathiTrust Record</v>
      </c>
      <c r="AS296" s="6" t="str">
        <f>HYPERLINK("https://creighton-primo.hosted.exlibrisgroup.com/primo-explore/search?tab=default_tab&amp;search_scope=EVERYTHING&amp;vid=01CRU&amp;lang=en_US&amp;offset=0&amp;query=any,contains,991001110189702656","Catalog Record")</f>
        <v>Catalog Record</v>
      </c>
      <c r="AT296" s="6" t="str">
        <f>HYPERLINK("http://www.worldcat.org/oclc/16985774","WorldCat Record")</f>
        <v>WorldCat Record</v>
      </c>
      <c r="AU296" s="3" t="s">
        <v>3770</v>
      </c>
      <c r="AV296" s="3" t="s">
        <v>3771</v>
      </c>
      <c r="AW296" s="3" t="s">
        <v>3772</v>
      </c>
      <c r="AX296" s="3" t="s">
        <v>3772</v>
      </c>
      <c r="AY296" s="3" t="s">
        <v>3773</v>
      </c>
      <c r="AZ296" s="3" t="s">
        <v>73</v>
      </c>
      <c r="BB296" s="3" t="s">
        <v>3774</v>
      </c>
      <c r="BC296" s="3" t="s">
        <v>3775</v>
      </c>
      <c r="BD296" s="3" t="s">
        <v>3776</v>
      </c>
    </row>
    <row r="297" spans="1:56" ht="40.5" customHeight="1" x14ac:dyDescent="0.25">
      <c r="A297" s="7" t="s">
        <v>58</v>
      </c>
      <c r="B297" s="2" t="s">
        <v>3777</v>
      </c>
      <c r="C297" s="2" t="s">
        <v>3778</v>
      </c>
      <c r="D297" s="2" t="s">
        <v>3779</v>
      </c>
      <c r="F297" s="3" t="s">
        <v>58</v>
      </c>
      <c r="G297" s="3" t="s">
        <v>59</v>
      </c>
      <c r="H297" s="3" t="s">
        <v>58</v>
      </c>
      <c r="I297" s="3" t="s">
        <v>58</v>
      </c>
      <c r="J297" s="3" t="s">
        <v>60</v>
      </c>
      <c r="K297" s="2" t="s">
        <v>3780</v>
      </c>
      <c r="L297" s="2" t="s">
        <v>3781</v>
      </c>
      <c r="M297" s="3" t="s">
        <v>3782</v>
      </c>
      <c r="O297" s="3" t="s">
        <v>64</v>
      </c>
      <c r="P297" s="3" t="s">
        <v>117</v>
      </c>
      <c r="R297" s="3" t="s">
        <v>66</v>
      </c>
      <c r="S297" s="4">
        <v>12</v>
      </c>
      <c r="T297" s="4">
        <v>12</v>
      </c>
      <c r="U297" s="5" t="s">
        <v>3768</v>
      </c>
      <c r="V297" s="5" t="s">
        <v>3768</v>
      </c>
      <c r="W297" s="5" t="s">
        <v>3525</v>
      </c>
      <c r="X297" s="5" t="s">
        <v>3525</v>
      </c>
      <c r="Y297" s="4">
        <v>289</v>
      </c>
      <c r="Z297" s="4">
        <v>201</v>
      </c>
      <c r="AA297" s="4">
        <v>244</v>
      </c>
      <c r="AB297" s="4">
        <v>2</v>
      </c>
      <c r="AC297" s="4">
        <v>3</v>
      </c>
      <c r="AD297" s="4">
        <v>7</v>
      </c>
      <c r="AE297" s="4">
        <v>10</v>
      </c>
      <c r="AF297" s="4">
        <v>1</v>
      </c>
      <c r="AG297" s="4">
        <v>2</v>
      </c>
      <c r="AH297" s="4">
        <v>4</v>
      </c>
      <c r="AI297" s="4">
        <v>5</v>
      </c>
      <c r="AJ297" s="4">
        <v>3</v>
      </c>
      <c r="AK297" s="4">
        <v>3</v>
      </c>
      <c r="AL297" s="4">
        <v>1</v>
      </c>
      <c r="AM297" s="4">
        <v>2</v>
      </c>
      <c r="AN297" s="4">
        <v>0</v>
      </c>
      <c r="AO297" s="4">
        <v>0</v>
      </c>
      <c r="AP297" s="3" t="s">
        <v>58</v>
      </c>
      <c r="AQ297" s="3" t="s">
        <v>85</v>
      </c>
      <c r="AR297" s="6" t="str">
        <f>HYPERLINK("http://catalog.hathitrust.org/Record/001555742","HathiTrust Record")</f>
        <v>HathiTrust Record</v>
      </c>
      <c r="AS297" s="6" t="str">
        <f>HYPERLINK("https://creighton-primo.hosted.exlibrisgroup.com/primo-explore/search?tab=default_tab&amp;search_scope=EVERYTHING&amp;vid=01CRU&amp;lang=en_US&amp;offset=0&amp;query=any,contains,991000899909702656","Catalog Record")</f>
        <v>Catalog Record</v>
      </c>
      <c r="AT297" s="6" t="str">
        <f>HYPERLINK("http://www.worldcat.org/oclc/560128","WorldCat Record")</f>
        <v>WorldCat Record</v>
      </c>
      <c r="AU297" s="3" t="s">
        <v>3783</v>
      </c>
      <c r="AV297" s="3" t="s">
        <v>3784</v>
      </c>
      <c r="AW297" s="3" t="s">
        <v>3785</v>
      </c>
      <c r="AX297" s="3" t="s">
        <v>3785</v>
      </c>
      <c r="AY297" s="3" t="s">
        <v>3786</v>
      </c>
      <c r="AZ297" s="3" t="s">
        <v>73</v>
      </c>
      <c r="BC297" s="3" t="s">
        <v>3787</v>
      </c>
      <c r="BD297" s="3" t="s">
        <v>3788</v>
      </c>
    </row>
    <row r="298" spans="1:56" ht="40.5" customHeight="1" x14ac:dyDescent="0.25">
      <c r="A298" s="7" t="s">
        <v>58</v>
      </c>
      <c r="B298" s="2" t="s">
        <v>3789</v>
      </c>
      <c r="C298" s="2" t="s">
        <v>3790</v>
      </c>
      <c r="D298" s="2" t="s">
        <v>3791</v>
      </c>
      <c r="F298" s="3" t="s">
        <v>58</v>
      </c>
      <c r="G298" s="3" t="s">
        <v>59</v>
      </c>
      <c r="H298" s="3" t="s">
        <v>58</v>
      </c>
      <c r="I298" s="3" t="s">
        <v>58</v>
      </c>
      <c r="J298" s="3" t="s">
        <v>60</v>
      </c>
      <c r="K298" s="2" t="s">
        <v>3792</v>
      </c>
      <c r="L298" s="2" t="s">
        <v>3793</v>
      </c>
      <c r="M298" s="3" t="s">
        <v>726</v>
      </c>
      <c r="O298" s="3" t="s">
        <v>64</v>
      </c>
      <c r="P298" s="3" t="s">
        <v>65</v>
      </c>
      <c r="Q298" s="2" t="s">
        <v>3794</v>
      </c>
      <c r="R298" s="3" t="s">
        <v>66</v>
      </c>
      <c r="S298" s="4">
        <v>10</v>
      </c>
      <c r="T298" s="4">
        <v>10</v>
      </c>
      <c r="U298" s="5" t="s">
        <v>3795</v>
      </c>
      <c r="V298" s="5" t="s">
        <v>3795</v>
      </c>
      <c r="W298" s="5" t="s">
        <v>3796</v>
      </c>
      <c r="X298" s="5" t="s">
        <v>3796</v>
      </c>
      <c r="Y298" s="4">
        <v>170</v>
      </c>
      <c r="Z298" s="4">
        <v>166</v>
      </c>
      <c r="AA298" s="4">
        <v>176</v>
      </c>
      <c r="AB298" s="4">
        <v>3</v>
      </c>
      <c r="AC298" s="4">
        <v>3</v>
      </c>
      <c r="AD298" s="4">
        <v>3</v>
      </c>
      <c r="AE298" s="4">
        <v>3</v>
      </c>
      <c r="AF298" s="4">
        <v>0</v>
      </c>
      <c r="AG298" s="4">
        <v>0</v>
      </c>
      <c r="AH298" s="4">
        <v>0</v>
      </c>
      <c r="AI298" s="4">
        <v>0</v>
      </c>
      <c r="AJ298" s="4">
        <v>1</v>
      </c>
      <c r="AK298" s="4">
        <v>1</v>
      </c>
      <c r="AL298" s="4">
        <v>2</v>
      </c>
      <c r="AM298" s="4">
        <v>2</v>
      </c>
      <c r="AN298" s="4">
        <v>0</v>
      </c>
      <c r="AO298" s="4">
        <v>0</v>
      </c>
      <c r="AP298" s="3" t="s">
        <v>85</v>
      </c>
      <c r="AQ298" s="3" t="s">
        <v>58</v>
      </c>
      <c r="AR298" s="6" t="str">
        <f>HYPERLINK("http://catalog.hathitrust.org/Record/003197281","HathiTrust Record")</f>
        <v>HathiTrust Record</v>
      </c>
      <c r="AS298" s="6" t="str">
        <f>HYPERLINK("https://creighton-primo.hosted.exlibrisgroup.com/primo-explore/search?tab=default_tab&amp;search_scope=EVERYTHING&amp;vid=01CRU&amp;lang=en_US&amp;offset=0&amp;query=any,contains,991001302349702656","Catalog Record")</f>
        <v>Catalog Record</v>
      </c>
      <c r="AT298" s="6" t="str">
        <f>HYPERLINK("http://www.worldcat.org/oclc/21254160","WorldCat Record")</f>
        <v>WorldCat Record</v>
      </c>
      <c r="AU298" s="3" t="s">
        <v>3797</v>
      </c>
      <c r="AV298" s="3" t="s">
        <v>3798</v>
      </c>
      <c r="AW298" s="3" t="s">
        <v>3799</v>
      </c>
      <c r="AX298" s="3" t="s">
        <v>3799</v>
      </c>
      <c r="AY298" s="3" t="s">
        <v>3800</v>
      </c>
      <c r="AZ298" s="3" t="s">
        <v>73</v>
      </c>
      <c r="BC298" s="3" t="s">
        <v>3801</v>
      </c>
      <c r="BD298" s="3" t="s">
        <v>3802</v>
      </c>
    </row>
    <row r="299" spans="1:56" ht="40.5" customHeight="1" x14ac:dyDescent="0.25">
      <c r="A299" s="7" t="s">
        <v>58</v>
      </c>
      <c r="B299" s="2" t="s">
        <v>3803</v>
      </c>
      <c r="C299" s="2" t="s">
        <v>3804</v>
      </c>
      <c r="D299" s="2" t="s">
        <v>3805</v>
      </c>
      <c r="F299" s="3" t="s">
        <v>58</v>
      </c>
      <c r="G299" s="3" t="s">
        <v>59</v>
      </c>
      <c r="H299" s="3" t="s">
        <v>58</v>
      </c>
      <c r="I299" s="3" t="s">
        <v>58</v>
      </c>
      <c r="J299" s="3" t="s">
        <v>60</v>
      </c>
      <c r="K299" s="2" t="s">
        <v>3806</v>
      </c>
      <c r="L299" s="2" t="s">
        <v>3807</v>
      </c>
      <c r="M299" s="3" t="s">
        <v>467</v>
      </c>
      <c r="O299" s="3" t="s">
        <v>64</v>
      </c>
      <c r="P299" s="3" t="s">
        <v>65</v>
      </c>
      <c r="R299" s="3" t="s">
        <v>66</v>
      </c>
      <c r="S299" s="4">
        <v>2</v>
      </c>
      <c r="T299" s="4">
        <v>2</v>
      </c>
      <c r="U299" s="5" t="s">
        <v>3808</v>
      </c>
      <c r="V299" s="5" t="s">
        <v>3808</v>
      </c>
      <c r="W299" s="5" t="s">
        <v>1240</v>
      </c>
      <c r="X299" s="5" t="s">
        <v>1240</v>
      </c>
      <c r="Y299" s="4">
        <v>175</v>
      </c>
      <c r="Z299" s="4">
        <v>129</v>
      </c>
      <c r="AA299" s="4">
        <v>149</v>
      </c>
      <c r="AB299" s="4">
        <v>2</v>
      </c>
      <c r="AC299" s="4">
        <v>2</v>
      </c>
      <c r="AD299" s="4">
        <v>4</v>
      </c>
      <c r="AE299" s="4">
        <v>5</v>
      </c>
      <c r="AF299" s="4">
        <v>1</v>
      </c>
      <c r="AG299" s="4">
        <v>2</v>
      </c>
      <c r="AH299" s="4">
        <v>1</v>
      </c>
      <c r="AI299" s="4">
        <v>1</v>
      </c>
      <c r="AJ299" s="4">
        <v>2</v>
      </c>
      <c r="AK299" s="4">
        <v>3</v>
      </c>
      <c r="AL299" s="4">
        <v>1</v>
      </c>
      <c r="AM299" s="4">
        <v>1</v>
      </c>
      <c r="AN299" s="4">
        <v>0</v>
      </c>
      <c r="AO299" s="4">
        <v>0</v>
      </c>
      <c r="AP299" s="3" t="s">
        <v>58</v>
      </c>
      <c r="AQ299" s="3" t="s">
        <v>58</v>
      </c>
      <c r="AS299" s="6" t="str">
        <f>HYPERLINK("https://creighton-primo.hosted.exlibrisgroup.com/primo-explore/search?tab=default_tab&amp;search_scope=EVERYTHING&amp;vid=01CRU&amp;lang=en_US&amp;offset=0&amp;query=any,contains,991000899969702656","Catalog Record")</f>
        <v>Catalog Record</v>
      </c>
      <c r="AT299" s="6" t="str">
        <f>HYPERLINK("http://www.worldcat.org/oclc/7573509","WorldCat Record")</f>
        <v>WorldCat Record</v>
      </c>
      <c r="AU299" s="3" t="s">
        <v>3809</v>
      </c>
      <c r="AV299" s="3" t="s">
        <v>3810</v>
      </c>
      <c r="AW299" s="3" t="s">
        <v>3811</v>
      </c>
      <c r="AX299" s="3" t="s">
        <v>3811</v>
      </c>
      <c r="AY299" s="3" t="s">
        <v>3812</v>
      </c>
      <c r="AZ299" s="3" t="s">
        <v>73</v>
      </c>
      <c r="BB299" s="3" t="s">
        <v>3813</v>
      </c>
      <c r="BC299" s="3" t="s">
        <v>3814</v>
      </c>
      <c r="BD299" s="3" t="s">
        <v>3815</v>
      </c>
    </row>
    <row r="300" spans="1:56" ht="40.5" customHeight="1" x14ac:dyDescent="0.25">
      <c r="A300" s="7" t="s">
        <v>58</v>
      </c>
      <c r="B300" s="2" t="s">
        <v>3816</v>
      </c>
      <c r="C300" s="2" t="s">
        <v>3817</v>
      </c>
      <c r="D300" s="2" t="s">
        <v>3818</v>
      </c>
      <c r="F300" s="3" t="s">
        <v>58</v>
      </c>
      <c r="G300" s="3" t="s">
        <v>59</v>
      </c>
      <c r="H300" s="3" t="s">
        <v>58</v>
      </c>
      <c r="I300" s="3" t="s">
        <v>58</v>
      </c>
      <c r="J300" s="3" t="s">
        <v>60</v>
      </c>
      <c r="K300" s="2" t="s">
        <v>3819</v>
      </c>
      <c r="L300" s="2" t="s">
        <v>3820</v>
      </c>
      <c r="M300" s="3" t="s">
        <v>2567</v>
      </c>
      <c r="O300" s="3" t="s">
        <v>64</v>
      </c>
      <c r="P300" s="3" t="s">
        <v>135</v>
      </c>
      <c r="R300" s="3" t="s">
        <v>66</v>
      </c>
      <c r="S300" s="4">
        <v>1</v>
      </c>
      <c r="T300" s="4">
        <v>1</v>
      </c>
      <c r="U300" s="5" t="s">
        <v>3821</v>
      </c>
      <c r="V300" s="5" t="s">
        <v>3821</v>
      </c>
      <c r="W300" s="5" t="s">
        <v>3822</v>
      </c>
      <c r="X300" s="5" t="s">
        <v>3822</v>
      </c>
      <c r="Y300" s="4">
        <v>58</v>
      </c>
      <c r="Z300" s="4">
        <v>33</v>
      </c>
      <c r="AA300" s="4">
        <v>33</v>
      </c>
      <c r="AB300" s="4">
        <v>1</v>
      </c>
      <c r="AC300" s="4">
        <v>1</v>
      </c>
      <c r="AD300" s="4">
        <v>0</v>
      </c>
      <c r="AE300" s="4">
        <v>0</v>
      </c>
      <c r="AF300" s="4">
        <v>0</v>
      </c>
      <c r="AG300" s="4">
        <v>0</v>
      </c>
      <c r="AH300" s="4">
        <v>0</v>
      </c>
      <c r="AI300" s="4">
        <v>0</v>
      </c>
      <c r="AJ300" s="4">
        <v>0</v>
      </c>
      <c r="AK300" s="4">
        <v>0</v>
      </c>
      <c r="AL300" s="4">
        <v>0</v>
      </c>
      <c r="AM300" s="4">
        <v>0</v>
      </c>
      <c r="AN300" s="4">
        <v>0</v>
      </c>
      <c r="AO300" s="4">
        <v>0</v>
      </c>
      <c r="AP300" s="3" t="s">
        <v>58</v>
      </c>
      <c r="AQ300" s="3" t="s">
        <v>58</v>
      </c>
      <c r="AS300" s="6" t="str">
        <f>HYPERLINK("https://creighton-primo.hosted.exlibrisgroup.com/primo-explore/search?tab=default_tab&amp;search_scope=EVERYTHING&amp;vid=01CRU&amp;lang=en_US&amp;offset=0&amp;query=any,contains,991001574989702656","Catalog Record")</f>
        <v>Catalog Record</v>
      </c>
      <c r="AT300" s="6" t="str">
        <f>HYPERLINK("http://www.worldcat.org/oclc/435727801","WorldCat Record")</f>
        <v>WorldCat Record</v>
      </c>
      <c r="AU300" s="3" t="s">
        <v>3823</v>
      </c>
      <c r="AV300" s="3" t="s">
        <v>3824</v>
      </c>
      <c r="AW300" s="3" t="s">
        <v>3825</v>
      </c>
      <c r="AX300" s="3" t="s">
        <v>3825</v>
      </c>
      <c r="AY300" s="3" t="s">
        <v>3826</v>
      </c>
      <c r="AZ300" s="3" t="s">
        <v>73</v>
      </c>
      <c r="BB300" s="3" t="s">
        <v>3827</v>
      </c>
      <c r="BC300" s="3" t="s">
        <v>3828</v>
      </c>
      <c r="BD300" s="3" t="s">
        <v>3829</v>
      </c>
    </row>
    <row r="301" spans="1:56" ht="40.5" customHeight="1" x14ac:dyDescent="0.25">
      <c r="A301" s="7" t="s">
        <v>58</v>
      </c>
      <c r="B301" s="2" t="s">
        <v>3830</v>
      </c>
      <c r="C301" s="2" t="s">
        <v>3831</v>
      </c>
      <c r="D301" s="2" t="s">
        <v>3832</v>
      </c>
      <c r="F301" s="3" t="s">
        <v>58</v>
      </c>
      <c r="G301" s="3" t="s">
        <v>59</v>
      </c>
      <c r="H301" s="3" t="s">
        <v>58</v>
      </c>
      <c r="I301" s="3" t="s">
        <v>58</v>
      </c>
      <c r="J301" s="3" t="s">
        <v>60</v>
      </c>
      <c r="K301" s="2" t="s">
        <v>3833</v>
      </c>
      <c r="L301" s="2" t="s">
        <v>3834</v>
      </c>
      <c r="M301" s="3" t="s">
        <v>182</v>
      </c>
      <c r="O301" s="3" t="s">
        <v>64</v>
      </c>
      <c r="P301" s="3" t="s">
        <v>135</v>
      </c>
      <c r="R301" s="3" t="s">
        <v>66</v>
      </c>
      <c r="S301" s="4">
        <v>11</v>
      </c>
      <c r="T301" s="4">
        <v>11</v>
      </c>
      <c r="U301" s="5" t="s">
        <v>3835</v>
      </c>
      <c r="V301" s="5" t="s">
        <v>3835</v>
      </c>
      <c r="W301" s="5" t="s">
        <v>3836</v>
      </c>
      <c r="X301" s="5" t="s">
        <v>3836</v>
      </c>
      <c r="Y301" s="4">
        <v>288</v>
      </c>
      <c r="Z301" s="4">
        <v>163</v>
      </c>
      <c r="AA301" s="4">
        <v>198</v>
      </c>
      <c r="AB301" s="4">
        <v>3</v>
      </c>
      <c r="AC301" s="4">
        <v>3</v>
      </c>
      <c r="AD301" s="4">
        <v>9</v>
      </c>
      <c r="AE301" s="4">
        <v>11</v>
      </c>
      <c r="AF301" s="4">
        <v>4</v>
      </c>
      <c r="AG301" s="4">
        <v>5</v>
      </c>
      <c r="AH301" s="4">
        <v>3</v>
      </c>
      <c r="AI301" s="4">
        <v>3</v>
      </c>
      <c r="AJ301" s="4">
        <v>3</v>
      </c>
      <c r="AK301" s="4">
        <v>5</v>
      </c>
      <c r="AL301" s="4">
        <v>2</v>
      </c>
      <c r="AM301" s="4">
        <v>2</v>
      </c>
      <c r="AN301" s="4">
        <v>0</v>
      </c>
      <c r="AO301" s="4">
        <v>0</v>
      </c>
      <c r="AP301" s="3" t="s">
        <v>58</v>
      </c>
      <c r="AQ301" s="3" t="s">
        <v>58</v>
      </c>
      <c r="AS301" s="6" t="str">
        <f>HYPERLINK("https://creighton-primo.hosted.exlibrisgroup.com/primo-explore/search?tab=default_tab&amp;search_scope=EVERYTHING&amp;vid=01CRU&amp;lang=en_US&amp;offset=0&amp;query=any,contains,991001536139702656","Catalog Record")</f>
        <v>Catalog Record</v>
      </c>
      <c r="AT301" s="6" t="str">
        <f>HYPERLINK("http://www.worldcat.org/oclc/18686304","WorldCat Record")</f>
        <v>WorldCat Record</v>
      </c>
      <c r="AU301" s="3" t="s">
        <v>3837</v>
      </c>
      <c r="AV301" s="3" t="s">
        <v>3838</v>
      </c>
      <c r="AW301" s="3" t="s">
        <v>3839</v>
      </c>
      <c r="AX301" s="3" t="s">
        <v>3839</v>
      </c>
      <c r="AY301" s="3" t="s">
        <v>3840</v>
      </c>
      <c r="AZ301" s="3" t="s">
        <v>73</v>
      </c>
      <c r="BB301" s="3" t="s">
        <v>3841</v>
      </c>
      <c r="BC301" s="3" t="s">
        <v>3842</v>
      </c>
      <c r="BD301" s="3" t="s">
        <v>3843</v>
      </c>
    </row>
    <row r="302" spans="1:56" ht="40.5" customHeight="1" x14ac:dyDescent="0.25">
      <c r="A302" s="7" t="s">
        <v>58</v>
      </c>
      <c r="B302" s="2" t="s">
        <v>3844</v>
      </c>
      <c r="C302" s="2" t="s">
        <v>3845</v>
      </c>
      <c r="D302" s="2" t="s">
        <v>3846</v>
      </c>
      <c r="F302" s="3" t="s">
        <v>58</v>
      </c>
      <c r="G302" s="3" t="s">
        <v>59</v>
      </c>
      <c r="H302" s="3" t="s">
        <v>58</v>
      </c>
      <c r="I302" s="3" t="s">
        <v>58</v>
      </c>
      <c r="J302" s="3" t="s">
        <v>60</v>
      </c>
      <c r="L302" s="2" t="s">
        <v>3847</v>
      </c>
      <c r="M302" s="3" t="s">
        <v>831</v>
      </c>
      <c r="O302" s="3" t="s">
        <v>64</v>
      </c>
      <c r="P302" s="3" t="s">
        <v>135</v>
      </c>
      <c r="Q302" s="2" t="s">
        <v>3848</v>
      </c>
      <c r="R302" s="3" t="s">
        <v>66</v>
      </c>
      <c r="S302" s="4">
        <v>1</v>
      </c>
      <c r="T302" s="4">
        <v>1</v>
      </c>
      <c r="U302" s="5" t="s">
        <v>3849</v>
      </c>
      <c r="V302" s="5" t="s">
        <v>3849</v>
      </c>
      <c r="W302" s="5" t="s">
        <v>3850</v>
      </c>
      <c r="X302" s="5" t="s">
        <v>3850</v>
      </c>
      <c r="Y302" s="4">
        <v>63</v>
      </c>
      <c r="Z302" s="4">
        <v>38</v>
      </c>
      <c r="AA302" s="4">
        <v>38</v>
      </c>
      <c r="AB302" s="4">
        <v>1</v>
      </c>
      <c r="AC302" s="4">
        <v>1</v>
      </c>
      <c r="AD302" s="4">
        <v>0</v>
      </c>
      <c r="AE302" s="4">
        <v>0</v>
      </c>
      <c r="AF302" s="4">
        <v>0</v>
      </c>
      <c r="AG302" s="4">
        <v>0</v>
      </c>
      <c r="AH302" s="4">
        <v>0</v>
      </c>
      <c r="AI302" s="4">
        <v>0</v>
      </c>
      <c r="AJ302" s="4">
        <v>0</v>
      </c>
      <c r="AK302" s="4">
        <v>0</v>
      </c>
      <c r="AL302" s="4">
        <v>0</v>
      </c>
      <c r="AM302" s="4">
        <v>0</v>
      </c>
      <c r="AN302" s="4">
        <v>0</v>
      </c>
      <c r="AO302" s="4">
        <v>0</v>
      </c>
      <c r="AP302" s="3" t="s">
        <v>58</v>
      </c>
      <c r="AQ302" s="3" t="s">
        <v>58</v>
      </c>
      <c r="AS302" s="6" t="str">
        <f>HYPERLINK("https://creighton-primo.hosted.exlibrisgroup.com/primo-explore/search?tab=default_tab&amp;search_scope=EVERYTHING&amp;vid=01CRU&amp;lang=en_US&amp;offset=0&amp;query=any,contains,991001570339702656","Catalog Record")</f>
        <v>Catalog Record</v>
      </c>
      <c r="AT302" s="6" t="str">
        <f>HYPERLINK("http://www.worldcat.org/oclc/36729026","WorldCat Record")</f>
        <v>WorldCat Record</v>
      </c>
      <c r="AU302" s="3" t="s">
        <v>3851</v>
      </c>
      <c r="AV302" s="3" t="s">
        <v>3852</v>
      </c>
      <c r="AW302" s="3" t="s">
        <v>3853</v>
      </c>
      <c r="AX302" s="3" t="s">
        <v>3853</v>
      </c>
      <c r="AY302" s="3" t="s">
        <v>3854</v>
      </c>
      <c r="AZ302" s="3" t="s">
        <v>73</v>
      </c>
      <c r="BB302" s="3" t="s">
        <v>3855</v>
      </c>
      <c r="BC302" s="3" t="s">
        <v>3856</v>
      </c>
      <c r="BD302" s="3" t="s">
        <v>3857</v>
      </c>
    </row>
    <row r="303" spans="1:56" ht="40.5" customHeight="1" x14ac:dyDescent="0.25">
      <c r="A303" s="7" t="s">
        <v>58</v>
      </c>
      <c r="B303" s="2" t="s">
        <v>3858</v>
      </c>
      <c r="C303" s="2" t="s">
        <v>3859</v>
      </c>
      <c r="D303" s="2" t="s">
        <v>3860</v>
      </c>
      <c r="F303" s="3" t="s">
        <v>58</v>
      </c>
      <c r="G303" s="3" t="s">
        <v>59</v>
      </c>
      <c r="H303" s="3" t="s">
        <v>58</v>
      </c>
      <c r="I303" s="3" t="s">
        <v>58</v>
      </c>
      <c r="J303" s="3" t="s">
        <v>60</v>
      </c>
      <c r="K303" s="2" t="s">
        <v>3861</v>
      </c>
      <c r="L303" s="2" t="s">
        <v>3862</v>
      </c>
      <c r="M303" s="3" t="s">
        <v>150</v>
      </c>
      <c r="N303" s="2" t="s">
        <v>198</v>
      </c>
      <c r="O303" s="3" t="s">
        <v>64</v>
      </c>
      <c r="P303" s="3" t="s">
        <v>350</v>
      </c>
      <c r="Q303" s="2" t="s">
        <v>3863</v>
      </c>
      <c r="R303" s="3" t="s">
        <v>66</v>
      </c>
      <c r="S303" s="4">
        <v>1</v>
      </c>
      <c r="T303" s="4">
        <v>1</v>
      </c>
      <c r="U303" s="5" t="s">
        <v>3864</v>
      </c>
      <c r="V303" s="5" t="s">
        <v>3864</v>
      </c>
      <c r="W303" s="5" t="s">
        <v>3865</v>
      </c>
      <c r="X303" s="5" t="s">
        <v>3865</v>
      </c>
      <c r="Y303" s="4">
        <v>238</v>
      </c>
      <c r="Z303" s="4">
        <v>173</v>
      </c>
      <c r="AA303" s="4">
        <v>177</v>
      </c>
      <c r="AB303" s="4">
        <v>1</v>
      </c>
      <c r="AC303" s="4">
        <v>1</v>
      </c>
      <c r="AD303" s="4">
        <v>4</v>
      </c>
      <c r="AE303" s="4">
        <v>4</v>
      </c>
      <c r="AF303" s="4">
        <v>4</v>
      </c>
      <c r="AG303" s="4">
        <v>4</v>
      </c>
      <c r="AH303" s="4">
        <v>0</v>
      </c>
      <c r="AI303" s="4">
        <v>0</v>
      </c>
      <c r="AJ303" s="4">
        <v>0</v>
      </c>
      <c r="AK303" s="4">
        <v>0</v>
      </c>
      <c r="AL303" s="4">
        <v>0</v>
      </c>
      <c r="AM303" s="4">
        <v>0</v>
      </c>
      <c r="AN303" s="4">
        <v>0</v>
      </c>
      <c r="AO303" s="4">
        <v>0</v>
      </c>
      <c r="AP303" s="3" t="s">
        <v>58</v>
      </c>
      <c r="AQ303" s="3" t="s">
        <v>85</v>
      </c>
      <c r="AR303" s="6" t="str">
        <f>HYPERLINK("http://catalog.hathitrust.org/Record/005111262","HathiTrust Record")</f>
        <v>HathiTrust Record</v>
      </c>
      <c r="AS303" s="6" t="str">
        <f>HYPERLINK("https://creighton-primo.hosted.exlibrisgroup.com/primo-explore/search?tab=default_tab&amp;search_scope=EVERYTHING&amp;vid=01CRU&amp;lang=en_US&amp;offset=0&amp;query=any,contains,991001575269702656","Catalog Record")</f>
        <v>Catalog Record</v>
      </c>
      <c r="AT303" s="6" t="str">
        <f>HYPERLINK("http://www.worldcat.org/oclc/61309449","WorldCat Record")</f>
        <v>WorldCat Record</v>
      </c>
      <c r="AU303" s="3" t="s">
        <v>3866</v>
      </c>
      <c r="AV303" s="3" t="s">
        <v>3867</v>
      </c>
      <c r="AW303" s="3" t="s">
        <v>3868</v>
      </c>
      <c r="AX303" s="3" t="s">
        <v>3868</v>
      </c>
      <c r="AY303" s="3" t="s">
        <v>3869</v>
      </c>
      <c r="AZ303" s="3" t="s">
        <v>73</v>
      </c>
      <c r="BB303" s="3" t="s">
        <v>3870</v>
      </c>
      <c r="BC303" s="3" t="s">
        <v>3871</v>
      </c>
      <c r="BD303" s="3" t="s">
        <v>3872</v>
      </c>
    </row>
    <row r="304" spans="1:56" ht="40.5" customHeight="1" x14ac:dyDescent="0.25">
      <c r="A304" s="7" t="s">
        <v>58</v>
      </c>
      <c r="B304" s="2" t="s">
        <v>3873</v>
      </c>
      <c r="C304" s="2" t="s">
        <v>3874</v>
      </c>
      <c r="D304" s="2" t="s">
        <v>3875</v>
      </c>
      <c r="F304" s="3" t="s">
        <v>58</v>
      </c>
      <c r="G304" s="3" t="s">
        <v>59</v>
      </c>
      <c r="H304" s="3" t="s">
        <v>58</v>
      </c>
      <c r="I304" s="3" t="s">
        <v>85</v>
      </c>
      <c r="J304" s="3" t="s">
        <v>60</v>
      </c>
      <c r="K304" s="2" t="s">
        <v>3876</v>
      </c>
      <c r="L304" s="2" t="s">
        <v>3877</v>
      </c>
      <c r="M304" s="3" t="s">
        <v>81</v>
      </c>
      <c r="N304" s="2" t="s">
        <v>3878</v>
      </c>
      <c r="O304" s="3" t="s">
        <v>64</v>
      </c>
      <c r="P304" s="3" t="s">
        <v>3879</v>
      </c>
      <c r="R304" s="3" t="s">
        <v>66</v>
      </c>
      <c r="S304" s="4">
        <v>2</v>
      </c>
      <c r="T304" s="4">
        <v>2</v>
      </c>
      <c r="U304" s="5" t="s">
        <v>3880</v>
      </c>
      <c r="V304" s="5" t="s">
        <v>3880</v>
      </c>
      <c r="W304" s="5" t="s">
        <v>2555</v>
      </c>
      <c r="X304" s="5" t="s">
        <v>2555</v>
      </c>
      <c r="Y304" s="4">
        <v>112</v>
      </c>
      <c r="Z304" s="4">
        <v>102</v>
      </c>
      <c r="AA304" s="4">
        <v>225</v>
      </c>
      <c r="AB304" s="4">
        <v>1</v>
      </c>
      <c r="AC304" s="4">
        <v>2</v>
      </c>
      <c r="AD304" s="4">
        <v>2</v>
      </c>
      <c r="AE304" s="4">
        <v>9</v>
      </c>
      <c r="AF304" s="4">
        <v>0</v>
      </c>
      <c r="AG304" s="4">
        <v>4</v>
      </c>
      <c r="AH304" s="4">
        <v>0</v>
      </c>
      <c r="AI304" s="4">
        <v>0</v>
      </c>
      <c r="AJ304" s="4">
        <v>2</v>
      </c>
      <c r="AK304" s="4">
        <v>6</v>
      </c>
      <c r="AL304" s="4">
        <v>0</v>
      </c>
      <c r="AM304" s="4">
        <v>0</v>
      </c>
      <c r="AN304" s="4">
        <v>0</v>
      </c>
      <c r="AO304" s="4">
        <v>0</v>
      </c>
      <c r="AP304" s="3" t="s">
        <v>58</v>
      </c>
      <c r="AQ304" s="3" t="s">
        <v>85</v>
      </c>
      <c r="AR304" s="6" t="str">
        <f>HYPERLINK("http://catalog.hathitrust.org/Record/000013177","HathiTrust Record")</f>
        <v>HathiTrust Record</v>
      </c>
      <c r="AS304" s="6" t="str">
        <f>HYPERLINK("https://creighton-primo.hosted.exlibrisgroup.com/primo-explore/search?tab=default_tab&amp;search_scope=EVERYTHING&amp;vid=01CRU&amp;lang=en_US&amp;offset=0&amp;query=any,contains,991000903439702656","Catalog Record")</f>
        <v>Catalog Record</v>
      </c>
      <c r="AT304" s="6" t="str">
        <f>HYPERLINK("http://www.worldcat.org/oclc/857309","WorldCat Record")</f>
        <v>WorldCat Record</v>
      </c>
      <c r="AU304" s="3" t="s">
        <v>3881</v>
      </c>
      <c r="AV304" s="3" t="s">
        <v>3882</v>
      </c>
      <c r="AW304" s="3" t="s">
        <v>3883</v>
      </c>
      <c r="AX304" s="3" t="s">
        <v>3883</v>
      </c>
      <c r="AY304" s="3" t="s">
        <v>3884</v>
      </c>
      <c r="AZ304" s="3" t="s">
        <v>73</v>
      </c>
      <c r="BC304" s="3" t="s">
        <v>3885</v>
      </c>
      <c r="BD304" s="3" t="s">
        <v>3886</v>
      </c>
    </row>
    <row r="305" spans="1:56" ht="40.5" customHeight="1" x14ac:dyDescent="0.25">
      <c r="A305" s="7" t="s">
        <v>58</v>
      </c>
      <c r="B305" s="2" t="s">
        <v>3887</v>
      </c>
      <c r="C305" s="2" t="s">
        <v>3888</v>
      </c>
      <c r="D305" s="2" t="s">
        <v>3889</v>
      </c>
      <c r="F305" s="3" t="s">
        <v>58</v>
      </c>
      <c r="G305" s="3" t="s">
        <v>59</v>
      </c>
      <c r="H305" s="3" t="s">
        <v>58</v>
      </c>
      <c r="I305" s="3" t="s">
        <v>58</v>
      </c>
      <c r="J305" s="3" t="s">
        <v>60</v>
      </c>
      <c r="L305" s="2" t="s">
        <v>3890</v>
      </c>
      <c r="M305" s="3" t="s">
        <v>742</v>
      </c>
      <c r="O305" s="3" t="s">
        <v>64</v>
      </c>
      <c r="P305" s="3" t="s">
        <v>117</v>
      </c>
      <c r="R305" s="3" t="s">
        <v>66</v>
      </c>
      <c r="S305" s="4">
        <v>22</v>
      </c>
      <c r="T305" s="4">
        <v>22</v>
      </c>
      <c r="U305" s="5" t="s">
        <v>3891</v>
      </c>
      <c r="V305" s="5" t="s">
        <v>3891</v>
      </c>
      <c r="W305" s="5" t="s">
        <v>2102</v>
      </c>
      <c r="X305" s="5" t="s">
        <v>2102</v>
      </c>
      <c r="Y305" s="4">
        <v>87</v>
      </c>
      <c r="Z305" s="4">
        <v>55</v>
      </c>
      <c r="AA305" s="4">
        <v>98</v>
      </c>
      <c r="AB305" s="4">
        <v>1</v>
      </c>
      <c r="AC305" s="4">
        <v>1</v>
      </c>
      <c r="AD305" s="4">
        <v>2</v>
      </c>
      <c r="AE305" s="4">
        <v>5</v>
      </c>
      <c r="AF305" s="4">
        <v>0</v>
      </c>
      <c r="AG305" s="4">
        <v>2</v>
      </c>
      <c r="AH305" s="4">
        <v>1</v>
      </c>
      <c r="AI305" s="4">
        <v>2</v>
      </c>
      <c r="AJ305" s="4">
        <v>1</v>
      </c>
      <c r="AK305" s="4">
        <v>3</v>
      </c>
      <c r="AL305" s="4">
        <v>0</v>
      </c>
      <c r="AM305" s="4">
        <v>0</v>
      </c>
      <c r="AN305" s="4">
        <v>0</v>
      </c>
      <c r="AO305" s="4">
        <v>0</v>
      </c>
      <c r="AP305" s="3" t="s">
        <v>58</v>
      </c>
      <c r="AQ305" s="3" t="s">
        <v>58</v>
      </c>
      <c r="AS305" s="6" t="str">
        <f>HYPERLINK("https://creighton-primo.hosted.exlibrisgroup.com/primo-explore/search?tab=default_tab&amp;search_scope=EVERYTHING&amp;vid=01CRU&amp;lang=en_US&amp;offset=0&amp;query=any,contains,991001510799702656","Catalog Record")</f>
        <v>Catalog Record</v>
      </c>
      <c r="AT305" s="6" t="str">
        <f>HYPERLINK("http://www.worldcat.org/oclc/27221629","WorldCat Record")</f>
        <v>WorldCat Record</v>
      </c>
      <c r="AU305" s="3" t="s">
        <v>3892</v>
      </c>
      <c r="AV305" s="3" t="s">
        <v>3893</v>
      </c>
      <c r="AW305" s="3" t="s">
        <v>3894</v>
      </c>
      <c r="AX305" s="3" t="s">
        <v>3894</v>
      </c>
      <c r="AY305" s="3" t="s">
        <v>3895</v>
      </c>
      <c r="AZ305" s="3" t="s">
        <v>73</v>
      </c>
      <c r="BB305" s="3" t="s">
        <v>3896</v>
      </c>
      <c r="BC305" s="3" t="s">
        <v>3897</v>
      </c>
      <c r="BD305" s="3" t="s">
        <v>3898</v>
      </c>
    </row>
    <row r="306" spans="1:56" ht="40.5" customHeight="1" x14ac:dyDescent="0.25">
      <c r="A306" s="7" t="s">
        <v>58</v>
      </c>
      <c r="B306" s="2" t="s">
        <v>3899</v>
      </c>
      <c r="C306" s="2" t="s">
        <v>3900</v>
      </c>
      <c r="D306" s="2" t="s">
        <v>3901</v>
      </c>
      <c r="F306" s="3" t="s">
        <v>58</v>
      </c>
      <c r="G306" s="3" t="s">
        <v>59</v>
      </c>
      <c r="H306" s="3" t="s">
        <v>58</v>
      </c>
      <c r="I306" s="3" t="s">
        <v>58</v>
      </c>
      <c r="J306" s="3" t="s">
        <v>60</v>
      </c>
      <c r="K306" s="2" t="s">
        <v>3902</v>
      </c>
      <c r="L306" s="2" t="s">
        <v>3903</v>
      </c>
      <c r="M306" s="3" t="s">
        <v>3904</v>
      </c>
      <c r="O306" s="3" t="s">
        <v>64</v>
      </c>
      <c r="P306" s="3" t="s">
        <v>117</v>
      </c>
      <c r="R306" s="3" t="s">
        <v>66</v>
      </c>
      <c r="S306" s="4">
        <v>2</v>
      </c>
      <c r="T306" s="4">
        <v>2</v>
      </c>
      <c r="U306" s="5" t="s">
        <v>3905</v>
      </c>
      <c r="V306" s="5" t="s">
        <v>3905</v>
      </c>
      <c r="W306" s="5" t="s">
        <v>3525</v>
      </c>
      <c r="X306" s="5" t="s">
        <v>3525</v>
      </c>
      <c r="Y306" s="4">
        <v>229</v>
      </c>
      <c r="Z306" s="4">
        <v>165</v>
      </c>
      <c r="AA306" s="4">
        <v>192</v>
      </c>
      <c r="AB306" s="4">
        <v>1</v>
      </c>
      <c r="AC306" s="4">
        <v>1</v>
      </c>
      <c r="AD306" s="4">
        <v>7</v>
      </c>
      <c r="AE306" s="4">
        <v>7</v>
      </c>
      <c r="AF306" s="4">
        <v>2</v>
      </c>
      <c r="AG306" s="4">
        <v>2</v>
      </c>
      <c r="AH306" s="4">
        <v>1</v>
      </c>
      <c r="AI306" s="4">
        <v>1</v>
      </c>
      <c r="AJ306" s="4">
        <v>7</v>
      </c>
      <c r="AK306" s="4">
        <v>7</v>
      </c>
      <c r="AL306" s="4">
        <v>0</v>
      </c>
      <c r="AM306" s="4">
        <v>0</v>
      </c>
      <c r="AN306" s="4">
        <v>0</v>
      </c>
      <c r="AO306" s="4">
        <v>0</v>
      </c>
      <c r="AP306" s="3" t="s">
        <v>58</v>
      </c>
      <c r="AQ306" s="3" t="s">
        <v>58</v>
      </c>
      <c r="AR306" s="6" t="str">
        <f>HYPERLINK("http://catalog.hathitrust.org/Record/001553633","HathiTrust Record")</f>
        <v>HathiTrust Record</v>
      </c>
      <c r="AS306" s="6" t="str">
        <f>HYPERLINK("https://creighton-primo.hosted.exlibrisgroup.com/primo-explore/search?tab=default_tab&amp;search_scope=EVERYTHING&amp;vid=01CRU&amp;lang=en_US&amp;offset=0&amp;query=any,contains,991000903789702656","Catalog Record")</f>
        <v>Catalog Record</v>
      </c>
      <c r="AT306" s="6" t="str">
        <f>HYPERLINK("http://www.worldcat.org/oclc/1550810","WorldCat Record")</f>
        <v>WorldCat Record</v>
      </c>
      <c r="AU306" s="3" t="s">
        <v>3906</v>
      </c>
      <c r="AV306" s="3" t="s">
        <v>3907</v>
      </c>
      <c r="AW306" s="3" t="s">
        <v>3908</v>
      </c>
      <c r="AX306" s="3" t="s">
        <v>3908</v>
      </c>
      <c r="AY306" s="3" t="s">
        <v>3909</v>
      </c>
      <c r="AZ306" s="3" t="s">
        <v>73</v>
      </c>
      <c r="BC306" s="3" t="s">
        <v>3910</v>
      </c>
      <c r="BD306" s="3" t="s">
        <v>3911</v>
      </c>
    </row>
    <row r="307" spans="1:56" ht="40.5" customHeight="1" x14ac:dyDescent="0.25">
      <c r="A307" s="7" t="s">
        <v>58</v>
      </c>
      <c r="B307" s="2" t="s">
        <v>3912</v>
      </c>
      <c r="C307" s="2" t="s">
        <v>3913</v>
      </c>
      <c r="D307" s="2" t="s">
        <v>3914</v>
      </c>
      <c r="F307" s="3" t="s">
        <v>58</v>
      </c>
      <c r="G307" s="3" t="s">
        <v>59</v>
      </c>
      <c r="H307" s="3" t="s">
        <v>58</v>
      </c>
      <c r="I307" s="3" t="s">
        <v>58</v>
      </c>
      <c r="J307" s="3" t="s">
        <v>60</v>
      </c>
      <c r="K307" s="2" t="s">
        <v>3915</v>
      </c>
      <c r="L307" s="2" t="s">
        <v>3916</v>
      </c>
      <c r="M307" s="3" t="s">
        <v>63</v>
      </c>
      <c r="N307" s="2" t="s">
        <v>3917</v>
      </c>
      <c r="O307" s="3" t="s">
        <v>64</v>
      </c>
      <c r="P307" s="3" t="s">
        <v>65</v>
      </c>
      <c r="R307" s="3" t="s">
        <v>66</v>
      </c>
      <c r="S307" s="4">
        <v>11</v>
      </c>
      <c r="T307" s="4">
        <v>11</v>
      </c>
      <c r="U307" s="5" t="s">
        <v>3918</v>
      </c>
      <c r="V307" s="5" t="s">
        <v>3918</v>
      </c>
      <c r="W307" s="5" t="s">
        <v>2555</v>
      </c>
      <c r="X307" s="5" t="s">
        <v>2555</v>
      </c>
      <c r="Y307" s="4">
        <v>106</v>
      </c>
      <c r="Z307" s="4">
        <v>87</v>
      </c>
      <c r="AA307" s="4">
        <v>176</v>
      </c>
      <c r="AB307" s="4">
        <v>1</v>
      </c>
      <c r="AC307" s="4">
        <v>2</v>
      </c>
      <c r="AD307" s="4">
        <v>1</v>
      </c>
      <c r="AE307" s="4">
        <v>4</v>
      </c>
      <c r="AF307" s="4">
        <v>0</v>
      </c>
      <c r="AG307" s="4">
        <v>0</v>
      </c>
      <c r="AH307" s="4">
        <v>1</v>
      </c>
      <c r="AI307" s="4">
        <v>2</v>
      </c>
      <c r="AJ307" s="4">
        <v>0</v>
      </c>
      <c r="AK307" s="4">
        <v>2</v>
      </c>
      <c r="AL307" s="4">
        <v>0</v>
      </c>
      <c r="AM307" s="4">
        <v>1</v>
      </c>
      <c r="AN307" s="4">
        <v>0</v>
      </c>
      <c r="AO307" s="4">
        <v>0</v>
      </c>
      <c r="AP307" s="3" t="s">
        <v>58</v>
      </c>
      <c r="AQ307" s="3" t="s">
        <v>85</v>
      </c>
      <c r="AR307" s="6" t="str">
        <f>HYPERLINK("http://catalog.hathitrust.org/Record/000230592","HathiTrust Record")</f>
        <v>HathiTrust Record</v>
      </c>
      <c r="AS307" s="6" t="str">
        <f>HYPERLINK("https://creighton-primo.hosted.exlibrisgroup.com/primo-explore/search?tab=default_tab&amp;search_scope=EVERYTHING&amp;vid=01CRU&amp;lang=en_US&amp;offset=0&amp;query=any,contains,991000903709702656","Catalog Record")</f>
        <v>Catalog Record</v>
      </c>
      <c r="AT307" s="6" t="str">
        <f>HYPERLINK("http://www.worldcat.org/oclc/8195231","WorldCat Record")</f>
        <v>WorldCat Record</v>
      </c>
      <c r="AU307" s="3" t="s">
        <v>3919</v>
      </c>
      <c r="AV307" s="3" t="s">
        <v>3920</v>
      </c>
      <c r="AW307" s="3" t="s">
        <v>3921</v>
      </c>
      <c r="AX307" s="3" t="s">
        <v>3921</v>
      </c>
      <c r="AY307" s="3" t="s">
        <v>3922</v>
      </c>
      <c r="AZ307" s="3" t="s">
        <v>73</v>
      </c>
      <c r="BB307" s="3" t="s">
        <v>3923</v>
      </c>
      <c r="BC307" s="3" t="s">
        <v>3924</v>
      </c>
      <c r="BD307" s="3" t="s">
        <v>3925</v>
      </c>
    </row>
    <row r="308" spans="1:56" ht="40.5" customHeight="1" x14ac:dyDescent="0.25">
      <c r="A308" s="7" t="s">
        <v>58</v>
      </c>
      <c r="B308" s="2" t="s">
        <v>3926</v>
      </c>
      <c r="C308" s="2" t="s">
        <v>3927</v>
      </c>
      <c r="D308" s="2" t="s">
        <v>3928</v>
      </c>
      <c r="F308" s="3" t="s">
        <v>58</v>
      </c>
      <c r="G308" s="3" t="s">
        <v>59</v>
      </c>
      <c r="H308" s="3" t="s">
        <v>58</v>
      </c>
      <c r="I308" s="3" t="s">
        <v>58</v>
      </c>
      <c r="J308" s="3" t="s">
        <v>60</v>
      </c>
      <c r="K308" s="2" t="s">
        <v>3929</v>
      </c>
      <c r="L308" s="2" t="s">
        <v>3930</v>
      </c>
      <c r="M308" s="3" t="s">
        <v>973</v>
      </c>
      <c r="O308" s="3" t="s">
        <v>64</v>
      </c>
      <c r="P308" s="3" t="s">
        <v>674</v>
      </c>
      <c r="R308" s="3" t="s">
        <v>66</v>
      </c>
      <c r="S308" s="4">
        <v>14</v>
      </c>
      <c r="T308" s="4">
        <v>14</v>
      </c>
      <c r="U308" s="5" t="s">
        <v>3931</v>
      </c>
      <c r="V308" s="5" t="s">
        <v>3931</v>
      </c>
      <c r="W308" s="5" t="s">
        <v>2555</v>
      </c>
      <c r="X308" s="5" t="s">
        <v>2555</v>
      </c>
      <c r="Y308" s="4">
        <v>140</v>
      </c>
      <c r="Z308" s="4">
        <v>82</v>
      </c>
      <c r="AA308" s="4">
        <v>122</v>
      </c>
      <c r="AB308" s="4">
        <v>1</v>
      </c>
      <c r="AC308" s="4">
        <v>1</v>
      </c>
      <c r="AD308" s="4">
        <v>0</v>
      </c>
      <c r="AE308" s="4">
        <v>1</v>
      </c>
      <c r="AF308" s="4">
        <v>0</v>
      </c>
      <c r="AG308" s="4">
        <v>1</v>
      </c>
      <c r="AH308" s="4">
        <v>0</v>
      </c>
      <c r="AI308" s="4">
        <v>0</v>
      </c>
      <c r="AJ308" s="4">
        <v>0</v>
      </c>
      <c r="AK308" s="4">
        <v>1</v>
      </c>
      <c r="AL308" s="4">
        <v>0</v>
      </c>
      <c r="AM308" s="4">
        <v>0</v>
      </c>
      <c r="AN308" s="4">
        <v>0</v>
      </c>
      <c r="AO308" s="4">
        <v>0</v>
      </c>
      <c r="AP308" s="3" t="s">
        <v>58</v>
      </c>
      <c r="AQ308" s="3" t="s">
        <v>85</v>
      </c>
      <c r="AR308" s="6" t="str">
        <f>HYPERLINK("http://catalog.hathitrust.org/Record/102492449","HathiTrust Record")</f>
        <v>HathiTrust Record</v>
      </c>
      <c r="AS308" s="6" t="str">
        <f>HYPERLINK("https://creighton-primo.hosted.exlibrisgroup.com/primo-explore/search?tab=default_tab&amp;search_scope=EVERYTHING&amp;vid=01CRU&amp;lang=en_US&amp;offset=0&amp;query=any,contains,991000903629702656","Catalog Record")</f>
        <v>Catalog Record</v>
      </c>
      <c r="AT308" s="6" t="str">
        <f>HYPERLINK("http://www.worldcat.org/oclc/6092563","WorldCat Record")</f>
        <v>WorldCat Record</v>
      </c>
      <c r="AU308" s="3" t="s">
        <v>3932</v>
      </c>
      <c r="AV308" s="3" t="s">
        <v>3933</v>
      </c>
      <c r="AW308" s="3" t="s">
        <v>3934</v>
      </c>
      <c r="AX308" s="3" t="s">
        <v>3934</v>
      </c>
      <c r="AY308" s="3" t="s">
        <v>3935</v>
      </c>
      <c r="AZ308" s="3" t="s">
        <v>73</v>
      </c>
      <c r="BB308" s="3" t="s">
        <v>3936</v>
      </c>
      <c r="BC308" s="3" t="s">
        <v>3937</v>
      </c>
      <c r="BD308" s="3" t="s">
        <v>3938</v>
      </c>
    </row>
    <row r="309" spans="1:56" ht="40.5" customHeight="1" x14ac:dyDescent="0.25">
      <c r="A309" s="7" t="s">
        <v>58</v>
      </c>
      <c r="B309" s="2" t="s">
        <v>3939</v>
      </c>
      <c r="C309" s="2" t="s">
        <v>3940</v>
      </c>
      <c r="D309" s="2" t="s">
        <v>3941</v>
      </c>
      <c r="F309" s="3" t="s">
        <v>58</v>
      </c>
      <c r="G309" s="3" t="s">
        <v>59</v>
      </c>
      <c r="H309" s="3" t="s">
        <v>58</v>
      </c>
      <c r="I309" s="3" t="s">
        <v>58</v>
      </c>
      <c r="J309" s="3" t="s">
        <v>60</v>
      </c>
      <c r="L309" s="2" t="s">
        <v>3942</v>
      </c>
      <c r="M309" s="3" t="s">
        <v>742</v>
      </c>
      <c r="O309" s="3" t="s">
        <v>64</v>
      </c>
      <c r="P309" s="3" t="s">
        <v>886</v>
      </c>
      <c r="Q309" s="2" t="s">
        <v>2709</v>
      </c>
      <c r="R309" s="3" t="s">
        <v>66</v>
      </c>
      <c r="S309" s="4">
        <v>4</v>
      </c>
      <c r="T309" s="4">
        <v>4</v>
      </c>
      <c r="U309" s="5" t="s">
        <v>3943</v>
      </c>
      <c r="V309" s="5" t="s">
        <v>3943</v>
      </c>
      <c r="W309" s="5" t="s">
        <v>3944</v>
      </c>
      <c r="X309" s="5" t="s">
        <v>3944</v>
      </c>
      <c r="Y309" s="4">
        <v>129</v>
      </c>
      <c r="Z309" s="4">
        <v>105</v>
      </c>
      <c r="AA309" s="4">
        <v>131</v>
      </c>
      <c r="AB309" s="4">
        <v>1</v>
      </c>
      <c r="AC309" s="4">
        <v>1</v>
      </c>
      <c r="AD309" s="4">
        <v>4</v>
      </c>
      <c r="AE309" s="4">
        <v>4</v>
      </c>
      <c r="AF309" s="4">
        <v>1</v>
      </c>
      <c r="AG309" s="4">
        <v>1</v>
      </c>
      <c r="AH309" s="4">
        <v>2</v>
      </c>
      <c r="AI309" s="4">
        <v>2</v>
      </c>
      <c r="AJ309" s="4">
        <v>2</v>
      </c>
      <c r="AK309" s="4">
        <v>2</v>
      </c>
      <c r="AL309" s="4">
        <v>0</v>
      </c>
      <c r="AM309" s="4">
        <v>0</v>
      </c>
      <c r="AN309" s="4">
        <v>0</v>
      </c>
      <c r="AO309" s="4">
        <v>0</v>
      </c>
      <c r="AP309" s="3" t="s">
        <v>58</v>
      </c>
      <c r="AQ309" s="3" t="s">
        <v>85</v>
      </c>
      <c r="AR309" s="6" t="str">
        <f>HYPERLINK("http://catalog.hathitrust.org/Record/002734062","HathiTrust Record")</f>
        <v>HathiTrust Record</v>
      </c>
      <c r="AS309" s="6" t="str">
        <f>HYPERLINK("https://creighton-primo.hosted.exlibrisgroup.com/primo-explore/search?tab=default_tab&amp;search_scope=EVERYTHING&amp;vid=01CRU&amp;lang=en_US&amp;offset=0&amp;query=any,contains,991001546889702656","Catalog Record")</f>
        <v>Catalog Record</v>
      </c>
      <c r="AT309" s="6" t="str">
        <f>HYPERLINK("http://www.worldcat.org/oclc/26853516","WorldCat Record")</f>
        <v>WorldCat Record</v>
      </c>
      <c r="AU309" s="3" t="s">
        <v>3945</v>
      </c>
      <c r="AV309" s="3" t="s">
        <v>3946</v>
      </c>
      <c r="AW309" s="3" t="s">
        <v>3947</v>
      </c>
      <c r="AX309" s="3" t="s">
        <v>3947</v>
      </c>
      <c r="AY309" s="3" t="s">
        <v>3948</v>
      </c>
      <c r="AZ309" s="3" t="s">
        <v>73</v>
      </c>
      <c r="BB309" s="3" t="s">
        <v>3949</v>
      </c>
      <c r="BC309" s="3" t="s">
        <v>3950</v>
      </c>
      <c r="BD309" s="3" t="s">
        <v>3951</v>
      </c>
    </row>
    <row r="310" spans="1:56" ht="40.5" customHeight="1" x14ac:dyDescent="0.25">
      <c r="A310" s="7" t="s">
        <v>58</v>
      </c>
      <c r="B310" s="2" t="s">
        <v>3952</v>
      </c>
      <c r="C310" s="2" t="s">
        <v>3953</v>
      </c>
      <c r="D310" s="2" t="s">
        <v>3954</v>
      </c>
      <c r="F310" s="3" t="s">
        <v>58</v>
      </c>
      <c r="G310" s="3" t="s">
        <v>59</v>
      </c>
      <c r="H310" s="3" t="s">
        <v>58</v>
      </c>
      <c r="I310" s="3" t="s">
        <v>58</v>
      </c>
      <c r="J310" s="3" t="s">
        <v>60</v>
      </c>
      <c r="K310" s="2" t="s">
        <v>3955</v>
      </c>
      <c r="L310" s="2" t="s">
        <v>3956</v>
      </c>
      <c r="M310" s="3" t="s">
        <v>3957</v>
      </c>
      <c r="N310" s="2" t="s">
        <v>3958</v>
      </c>
      <c r="O310" s="3" t="s">
        <v>64</v>
      </c>
      <c r="P310" s="3" t="s">
        <v>2358</v>
      </c>
      <c r="R310" s="3" t="s">
        <v>66</v>
      </c>
      <c r="S310" s="4">
        <v>1</v>
      </c>
      <c r="T310" s="4">
        <v>1</v>
      </c>
      <c r="U310" s="5" t="s">
        <v>67</v>
      </c>
      <c r="V310" s="5" t="s">
        <v>67</v>
      </c>
      <c r="W310" s="5" t="s">
        <v>3525</v>
      </c>
      <c r="X310" s="5" t="s">
        <v>3525</v>
      </c>
      <c r="Y310" s="4">
        <v>66</v>
      </c>
      <c r="Z310" s="4">
        <v>58</v>
      </c>
      <c r="AA310" s="4">
        <v>88</v>
      </c>
      <c r="AB310" s="4">
        <v>1</v>
      </c>
      <c r="AC310" s="4">
        <v>1</v>
      </c>
      <c r="AD310" s="4">
        <v>0</v>
      </c>
      <c r="AE310" s="4">
        <v>0</v>
      </c>
      <c r="AF310" s="4">
        <v>0</v>
      </c>
      <c r="AG310" s="4">
        <v>0</v>
      </c>
      <c r="AH310" s="4">
        <v>0</v>
      </c>
      <c r="AI310" s="4">
        <v>0</v>
      </c>
      <c r="AJ310" s="4">
        <v>0</v>
      </c>
      <c r="AK310" s="4">
        <v>0</v>
      </c>
      <c r="AL310" s="4">
        <v>0</v>
      </c>
      <c r="AM310" s="4">
        <v>0</v>
      </c>
      <c r="AN310" s="4">
        <v>0</v>
      </c>
      <c r="AO310" s="4">
        <v>0</v>
      </c>
      <c r="AP310" s="3" t="s">
        <v>58</v>
      </c>
      <c r="AQ310" s="3" t="s">
        <v>85</v>
      </c>
      <c r="AR310" s="6" t="str">
        <f>HYPERLINK("http://catalog.hathitrust.org/Record/001561145","HathiTrust Record")</f>
        <v>HathiTrust Record</v>
      </c>
      <c r="AS310" s="6" t="str">
        <f>HYPERLINK("https://creighton-primo.hosted.exlibrisgroup.com/primo-explore/search?tab=default_tab&amp;search_scope=EVERYTHING&amp;vid=01CRU&amp;lang=en_US&amp;offset=0&amp;query=any,contains,991000903549702656","Catalog Record")</f>
        <v>Catalog Record</v>
      </c>
      <c r="AT310" s="6" t="str">
        <f>HYPERLINK("http://www.worldcat.org/oclc/3618216","WorldCat Record")</f>
        <v>WorldCat Record</v>
      </c>
      <c r="AU310" s="3" t="s">
        <v>3959</v>
      </c>
      <c r="AV310" s="3" t="s">
        <v>3960</v>
      </c>
      <c r="AW310" s="3" t="s">
        <v>3961</v>
      </c>
      <c r="AX310" s="3" t="s">
        <v>3961</v>
      </c>
      <c r="AY310" s="3" t="s">
        <v>3962</v>
      </c>
      <c r="AZ310" s="3" t="s">
        <v>73</v>
      </c>
      <c r="BC310" s="3" t="s">
        <v>3963</v>
      </c>
      <c r="BD310" s="3" t="s">
        <v>3964</v>
      </c>
    </row>
    <row r="311" spans="1:56" ht="40.5" customHeight="1" x14ac:dyDescent="0.25">
      <c r="A311" s="7" t="s">
        <v>58</v>
      </c>
      <c r="B311" s="2" t="s">
        <v>3965</v>
      </c>
      <c r="C311" s="2" t="s">
        <v>3966</v>
      </c>
      <c r="D311" s="2" t="s">
        <v>3967</v>
      </c>
      <c r="F311" s="3" t="s">
        <v>58</v>
      </c>
      <c r="G311" s="3" t="s">
        <v>59</v>
      </c>
      <c r="H311" s="3" t="s">
        <v>58</v>
      </c>
      <c r="I311" s="3" t="s">
        <v>58</v>
      </c>
      <c r="J311" s="3" t="s">
        <v>60</v>
      </c>
      <c r="L311" s="2" t="s">
        <v>3968</v>
      </c>
      <c r="M311" s="3" t="s">
        <v>3969</v>
      </c>
      <c r="N311" s="2" t="s">
        <v>3970</v>
      </c>
      <c r="O311" s="3" t="s">
        <v>64</v>
      </c>
      <c r="P311" s="3" t="s">
        <v>117</v>
      </c>
      <c r="Q311" s="2" t="s">
        <v>3971</v>
      </c>
      <c r="R311" s="3" t="s">
        <v>66</v>
      </c>
      <c r="S311" s="4">
        <v>0</v>
      </c>
      <c r="T311" s="4">
        <v>0</v>
      </c>
      <c r="U311" s="5" t="s">
        <v>3972</v>
      </c>
      <c r="V311" s="5" t="s">
        <v>3972</v>
      </c>
      <c r="W311" s="5" t="s">
        <v>3973</v>
      </c>
      <c r="X311" s="5" t="s">
        <v>3973</v>
      </c>
      <c r="Y311" s="4">
        <v>104</v>
      </c>
      <c r="Z311" s="4">
        <v>82</v>
      </c>
      <c r="AA311" s="4">
        <v>140</v>
      </c>
      <c r="AB311" s="4">
        <v>1</v>
      </c>
      <c r="AC311" s="4">
        <v>3</v>
      </c>
      <c r="AD311" s="4">
        <v>2</v>
      </c>
      <c r="AE311" s="4">
        <v>5</v>
      </c>
      <c r="AF311" s="4">
        <v>0</v>
      </c>
      <c r="AG311" s="4">
        <v>1</v>
      </c>
      <c r="AH311" s="4">
        <v>0</v>
      </c>
      <c r="AI311" s="4">
        <v>0</v>
      </c>
      <c r="AJ311" s="4">
        <v>2</v>
      </c>
      <c r="AK311" s="4">
        <v>2</v>
      </c>
      <c r="AL311" s="4">
        <v>0</v>
      </c>
      <c r="AM311" s="4">
        <v>2</v>
      </c>
      <c r="AN311" s="4">
        <v>0</v>
      </c>
      <c r="AO311" s="4">
        <v>0</v>
      </c>
      <c r="AP311" s="3" t="s">
        <v>58</v>
      </c>
      <c r="AQ311" s="3" t="s">
        <v>58</v>
      </c>
      <c r="AS311" s="6" t="str">
        <f>HYPERLINK("https://creighton-primo.hosted.exlibrisgroup.com/primo-explore/search?tab=default_tab&amp;search_scope=EVERYTHING&amp;vid=01CRU&amp;lang=en_US&amp;offset=0&amp;query=any,contains,991001475039702656","Catalog Record")</f>
        <v>Catalog Record</v>
      </c>
      <c r="AT311" s="6" t="str">
        <f>HYPERLINK("http://www.worldcat.org/oclc/166372380","WorldCat Record")</f>
        <v>WorldCat Record</v>
      </c>
      <c r="AU311" s="3" t="s">
        <v>3974</v>
      </c>
      <c r="AV311" s="3" t="s">
        <v>3975</v>
      </c>
      <c r="AW311" s="3" t="s">
        <v>3976</v>
      </c>
      <c r="AX311" s="3" t="s">
        <v>3976</v>
      </c>
      <c r="AY311" s="3" t="s">
        <v>3977</v>
      </c>
      <c r="AZ311" s="3" t="s">
        <v>73</v>
      </c>
      <c r="BB311" s="3" t="s">
        <v>3978</v>
      </c>
      <c r="BC311" s="3" t="s">
        <v>3979</v>
      </c>
      <c r="BD311" s="3" t="s">
        <v>3980</v>
      </c>
    </row>
    <row r="312" spans="1:56" ht="40.5" customHeight="1" x14ac:dyDescent="0.25">
      <c r="A312" s="7" t="s">
        <v>58</v>
      </c>
      <c r="B312" s="2" t="s">
        <v>3981</v>
      </c>
      <c r="C312" s="2" t="s">
        <v>3982</v>
      </c>
      <c r="D312" s="2" t="s">
        <v>3983</v>
      </c>
      <c r="F312" s="3" t="s">
        <v>58</v>
      </c>
      <c r="G312" s="3" t="s">
        <v>59</v>
      </c>
      <c r="H312" s="3" t="s">
        <v>58</v>
      </c>
      <c r="I312" s="3" t="s">
        <v>58</v>
      </c>
      <c r="J312" s="3" t="s">
        <v>60</v>
      </c>
      <c r="L312" s="2" t="s">
        <v>3984</v>
      </c>
      <c r="M312" s="3" t="s">
        <v>2764</v>
      </c>
      <c r="O312" s="3" t="s">
        <v>64</v>
      </c>
      <c r="P312" s="3" t="s">
        <v>366</v>
      </c>
      <c r="Q312" s="2" t="s">
        <v>3985</v>
      </c>
      <c r="R312" s="3" t="s">
        <v>66</v>
      </c>
      <c r="S312" s="4">
        <v>0</v>
      </c>
      <c r="T312" s="4">
        <v>0</v>
      </c>
      <c r="U312" s="5" t="s">
        <v>3986</v>
      </c>
      <c r="V312" s="5" t="s">
        <v>3986</v>
      </c>
      <c r="W312" s="5" t="s">
        <v>3987</v>
      </c>
      <c r="X312" s="5" t="s">
        <v>3987</v>
      </c>
      <c r="Y312" s="4">
        <v>116</v>
      </c>
      <c r="Z312" s="4">
        <v>80</v>
      </c>
      <c r="AA312" s="4">
        <v>120</v>
      </c>
      <c r="AB312" s="4">
        <v>2</v>
      </c>
      <c r="AC312" s="4">
        <v>2</v>
      </c>
      <c r="AD312" s="4">
        <v>4</v>
      </c>
      <c r="AE312" s="4">
        <v>6</v>
      </c>
      <c r="AF312" s="4">
        <v>1</v>
      </c>
      <c r="AG312" s="4">
        <v>2</v>
      </c>
      <c r="AH312" s="4">
        <v>2</v>
      </c>
      <c r="AI312" s="4">
        <v>2</v>
      </c>
      <c r="AJ312" s="4">
        <v>1</v>
      </c>
      <c r="AK312" s="4">
        <v>3</v>
      </c>
      <c r="AL312" s="4">
        <v>1</v>
      </c>
      <c r="AM312" s="4">
        <v>1</v>
      </c>
      <c r="AN312" s="4">
        <v>0</v>
      </c>
      <c r="AO312" s="4">
        <v>0</v>
      </c>
      <c r="AP312" s="3" t="s">
        <v>58</v>
      </c>
      <c r="AQ312" s="3" t="s">
        <v>85</v>
      </c>
      <c r="AR312" s="6" t="str">
        <f>HYPERLINK("http://catalog.hathitrust.org/Record/004913824","HathiTrust Record")</f>
        <v>HathiTrust Record</v>
      </c>
      <c r="AS312" s="6" t="str">
        <f>HYPERLINK("https://creighton-primo.hosted.exlibrisgroup.com/primo-explore/search?tab=default_tab&amp;search_scope=EVERYTHING&amp;vid=01CRU&amp;lang=en_US&amp;offset=0&amp;query=any,contains,991000445629702656","Catalog Record")</f>
        <v>Catalog Record</v>
      </c>
      <c r="AT312" s="6" t="str">
        <f>HYPERLINK("http://www.worldcat.org/oclc/54966665","WorldCat Record")</f>
        <v>WorldCat Record</v>
      </c>
      <c r="AU312" s="3" t="s">
        <v>3988</v>
      </c>
      <c r="AV312" s="3" t="s">
        <v>3989</v>
      </c>
      <c r="AW312" s="3" t="s">
        <v>3990</v>
      </c>
      <c r="AX312" s="3" t="s">
        <v>3990</v>
      </c>
      <c r="AY312" s="3" t="s">
        <v>3991</v>
      </c>
      <c r="AZ312" s="3" t="s">
        <v>73</v>
      </c>
      <c r="BB312" s="3" t="s">
        <v>3992</v>
      </c>
      <c r="BC312" s="3" t="s">
        <v>3993</v>
      </c>
      <c r="BD312" s="3" t="s">
        <v>3994</v>
      </c>
    </row>
    <row r="313" spans="1:56" ht="40.5" customHeight="1" x14ac:dyDescent="0.25">
      <c r="A313" s="7" t="s">
        <v>58</v>
      </c>
      <c r="B313" s="2" t="s">
        <v>3995</v>
      </c>
      <c r="C313" s="2" t="s">
        <v>3996</v>
      </c>
      <c r="D313" s="2" t="s">
        <v>3997</v>
      </c>
      <c r="F313" s="3" t="s">
        <v>58</v>
      </c>
      <c r="G313" s="3" t="s">
        <v>59</v>
      </c>
      <c r="H313" s="3" t="s">
        <v>58</v>
      </c>
      <c r="I313" s="3" t="s">
        <v>58</v>
      </c>
      <c r="J313" s="3" t="s">
        <v>60</v>
      </c>
      <c r="L313" s="2" t="s">
        <v>3998</v>
      </c>
      <c r="M313" s="3" t="s">
        <v>182</v>
      </c>
      <c r="O313" s="3" t="s">
        <v>64</v>
      </c>
      <c r="P313" s="3" t="s">
        <v>230</v>
      </c>
      <c r="Q313" s="2" t="s">
        <v>3999</v>
      </c>
      <c r="R313" s="3" t="s">
        <v>66</v>
      </c>
      <c r="S313" s="4">
        <v>5</v>
      </c>
      <c r="T313" s="4">
        <v>5</v>
      </c>
      <c r="U313" s="5" t="s">
        <v>4000</v>
      </c>
      <c r="V313" s="5" t="s">
        <v>4000</v>
      </c>
      <c r="W313" s="5" t="s">
        <v>4001</v>
      </c>
      <c r="X313" s="5" t="s">
        <v>4001</v>
      </c>
      <c r="Y313" s="4">
        <v>102</v>
      </c>
      <c r="Z313" s="4">
        <v>86</v>
      </c>
      <c r="AA313" s="4">
        <v>90</v>
      </c>
      <c r="AB313" s="4">
        <v>1</v>
      </c>
      <c r="AC313" s="4">
        <v>1</v>
      </c>
      <c r="AD313" s="4">
        <v>0</v>
      </c>
      <c r="AE313" s="4">
        <v>0</v>
      </c>
      <c r="AF313" s="4">
        <v>0</v>
      </c>
      <c r="AG313" s="4">
        <v>0</v>
      </c>
      <c r="AH313" s="4">
        <v>0</v>
      </c>
      <c r="AI313" s="4">
        <v>0</v>
      </c>
      <c r="AJ313" s="4">
        <v>0</v>
      </c>
      <c r="AK313" s="4">
        <v>0</v>
      </c>
      <c r="AL313" s="4">
        <v>0</v>
      </c>
      <c r="AM313" s="4">
        <v>0</v>
      </c>
      <c r="AN313" s="4">
        <v>0</v>
      </c>
      <c r="AO313" s="4">
        <v>0</v>
      </c>
      <c r="AP313" s="3" t="s">
        <v>58</v>
      </c>
      <c r="AQ313" s="3" t="s">
        <v>85</v>
      </c>
      <c r="AR313" s="6" t="str">
        <f>HYPERLINK("http://catalog.hathitrust.org/Record/000907796","HathiTrust Record")</f>
        <v>HathiTrust Record</v>
      </c>
      <c r="AS313" s="6" t="str">
        <f>HYPERLINK("https://creighton-primo.hosted.exlibrisgroup.com/primo-explore/search?tab=default_tab&amp;search_scope=EVERYTHING&amp;vid=01CRU&amp;lang=en_US&amp;offset=0&amp;query=any,contains,991001415999702656","Catalog Record")</f>
        <v>Catalog Record</v>
      </c>
      <c r="AT313" s="6" t="str">
        <f>HYPERLINK("http://www.worldcat.org/oclc/17231244","WorldCat Record")</f>
        <v>WorldCat Record</v>
      </c>
      <c r="AU313" s="3" t="s">
        <v>4002</v>
      </c>
      <c r="AV313" s="3" t="s">
        <v>4003</v>
      </c>
      <c r="AW313" s="3" t="s">
        <v>4004</v>
      </c>
      <c r="AX313" s="3" t="s">
        <v>4004</v>
      </c>
      <c r="AY313" s="3" t="s">
        <v>4005</v>
      </c>
      <c r="AZ313" s="3" t="s">
        <v>73</v>
      </c>
      <c r="BB313" s="3" t="s">
        <v>4006</v>
      </c>
      <c r="BC313" s="3" t="s">
        <v>4007</v>
      </c>
      <c r="BD313" s="3" t="s">
        <v>4008</v>
      </c>
    </row>
    <row r="314" spans="1:56" ht="40.5" customHeight="1" x14ac:dyDescent="0.25">
      <c r="A314" s="7" t="s">
        <v>58</v>
      </c>
      <c r="B314" s="2" t="s">
        <v>4009</v>
      </c>
      <c r="C314" s="2" t="s">
        <v>4010</v>
      </c>
      <c r="D314" s="2" t="s">
        <v>4011</v>
      </c>
      <c r="F314" s="3" t="s">
        <v>58</v>
      </c>
      <c r="G314" s="3" t="s">
        <v>59</v>
      </c>
      <c r="H314" s="3" t="s">
        <v>58</v>
      </c>
      <c r="I314" s="3" t="s">
        <v>58</v>
      </c>
      <c r="J314" s="3" t="s">
        <v>60</v>
      </c>
      <c r="L314" s="2" t="s">
        <v>4012</v>
      </c>
      <c r="M314" s="3" t="s">
        <v>1267</v>
      </c>
      <c r="N314" s="2" t="s">
        <v>4013</v>
      </c>
      <c r="O314" s="3" t="s">
        <v>64</v>
      </c>
      <c r="P314" s="3" t="s">
        <v>117</v>
      </c>
      <c r="R314" s="3" t="s">
        <v>66</v>
      </c>
      <c r="S314" s="4">
        <v>16</v>
      </c>
      <c r="T314" s="4">
        <v>16</v>
      </c>
      <c r="U314" s="5" t="s">
        <v>4014</v>
      </c>
      <c r="V314" s="5" t="s">
        <v>4014</v>
      </c>
      <c r="W314" s="5" t="s">
        <v>4015</v>
      </c>
      <c r="X314" s="5" t="s">
        <v>4015</v>
      </c>
      <c r="Y314" s="4">
        <v>667</v>
      </c>
      <c r="Z314" s="4">
        <v>531</v>
      </c>
      <c r="AA314" s="4">
        <v>825</v>
      </c>
      <c r="AB314" s="4">
        <v>5</v>
      </c>
      <c r="AC314" s="4">
        <v>7</v>
      </c>
      <c r="AD314" s="4">
        <v>28</v>
      </c>
      <c r="AE314" s="4">
        <v>41</v>
      </c>
      <c r="AF314" s="4">
        <v>11</v>
      </c>
      <c r="AG314" s="4">
        <v>17</v>
      </c>
      <c r="AH314" s="4">
        <v>6</v>
      </c>
      <c r="AI314" s="4">
        <v>8</v>
      </c>
      <c r="AJ314" s="4">
        <v>15</v>
      </c>
      <c r="AK314" s="4">
        <v>19</v>
      </c>
      <c r="AL314" s="4">
        <v>4</v>
      </c>
      <c r="AM314" s="4">
        <v>6</v>
      </c>
      <c r="AN314" s="4">
        <v>0</v>
      </c>
      <c r="AO314" s="4">
        <v>0</v>
      </c>
      <c r="AP314" s="3" t="s">
        <v>58</v>
      </c>
      <c r="AQ314" s="3" t="s">
        <v>85</v>
      </c>
      <c r="AR314" s="6" t="str">
        <f>HYPERLINK("http://catalog.hathitrust.org/Record/004026056","HathiTrust Record")</f>
        <v>HathiTrust Record</v>
      </c>
      <c r="AS314" s="6" t="str">
        <f>HYPERLINK("https://creighton-primo.hosted.exlibrisgroup.com/primo-explore/search?tab=default_tab&amp;search_scope=EVERYTHING&amp;vid=01CRU&amp;lang=en_US&amp;offset=0&amp;query=any,contains,991000504069702656","Catalog Record")</f>
        <v>Catalog Record</v>
      </c>
      <c r="AT314" s="6" t="str">
        <f>HYPERLINK("http://www.worldcat.org/oclc/40073831","WorldCat Record")</f>
        <v>WorldCat Record</v>
      </c>
      <c r="AU314" s="3" t="s">
        <v>4016</v>
      </c>
      <c r="AV314" s="3" t="s">
        <v>4017</v>
      </c>
      <c r="AW314" s="3" t="s">
        <v>4018</v>
      </c>
      <c r="AX314" s="3" t="s">
        <v>4018</v>
      </c>
      <c r="AY314" s="3" t="s">
        <v>4019</v>
      </c>
      <c r="AZ314" s="3" t="s">
        <v>73</v>
      </c>
      <c r="BB314" s="3" t="s">
        <v>4020</v>
      </c>
      <c r="BC314" s="3" t="s">
        <v>4021</v>
      </c>
      <c r="BD314" s="3" t="s">
        <v>4022</v>
      </c>
    </row>
    <row r="315" spans="1:56" ht="40.5" customHeight="1" x14ac:dyDescent="0.25">
      <c r="A315" s="7" t="s">
        <v>58</v>
      </c>
      <c r="B315" s="2" t="s">
        <v>4023</v>
      </c>
      <c r="C315" s="2" t="s">
        <v>4024</v>
      </c>
      <c r="D315" s="2" t="s">
        <v>4025</v>
      </c>
      <c r="E315" s="3" t="s">
        <v>96</v>
      </c>
      <c r="F315" s="3" t="s">
        <v>58</v>
      </c>
      <c r="G315" s="3" t="s">
        <v>59</v>
      </c>
      <c r="H315" s="3" t="s">
        <v>58</v>
      </c>
      <c r="I315" s="3" t="s">
        <v>58</v>
      </c>
      <c r="J315" s="3" t="s">
        <v>60</v>
      </c>
      <c r="L315" s="2" t="s">
        <v>4026</v>
      </c>
      <c r="M315" s="3" t="s">
        <v>614</v>
      </c>
      <c r="O315" s="3" t="s">
        <v>64</v>
      </c>
      <c r="P315" s="3" t="s">
        <v>135</v>
      </c>
      <c r="R315" s="3" t="s">
        <v>66</v>
      </c>
      <c r="S315" s="4">
        <v>2</v>
      </c>
      <c r="T315" s="4">
        <v>2</v>
      </c>
      <c r="U315" s="5" t="s">
        <v>3232</v>
      </c>
      <c r="V315" s="5" t="s">
        <v>3232</v>
      </c>
      <c r="W315" s="5" t="s">
        <v>3232</v>
      </c>
      <c r="X315" s="5" t="s">
        <v>3232</v>
      </c>
      <c r="Y315" s="4">
        <v>69</v>
      </c>
      <c r="Z315" s="4">
        <v>55</v>
      </c>
      <c r="AA315" s="4">
        <v>168</v>
      </c>
      <c r="AB315" s="4">
        <v>1</v>
      </c>
      <c r="AC315" s="4">
        <v>2</v>
      </c>
      <c r="AD315" s="4">
        <v>0</v>
      </c>
      <c r="AE315" s="4">
        <v>3</v>
      </c>
      <c r="AF315" s="4">
        <v>0</v>
      </c>
      <c r="AG315" s="4">
        <v>0</v>
      </c>
      <c r="AH315" s="4">
        <v>0</v>
      </c>
      <c r="AI315" s="4">
        <v>1</v>
      </c>
      <c r="AJ315" s="4">
        <v>0</v>
      </c>
      <c r="AK315" s="4">
        <v>2</v>
      </c>
      <c r="AL315" s="4">
        <v>0</v>
      </c>
      <c r="AM315" s="4">
        <v>1</v>
      </c>
      <c r="AN315" s="4">
        <v>0</v>
      </c>
      <c r="AO315" s="4">
        <v>0</v>
      </c>
      <c r="AP315" s="3" t="s">
        <v>58</v>
      </c>
      <c r="AQ315" s="3" t="s">
        <v>58</v>
      </c>
      <c r="AS315" s="6" t="str">
        <f>HYPERLINK("https://creighton-primo.hosted.exlibrisgroup.com/primo-explore/search?tab=default_tab&amp;search_scope=EVERYTHING&amp;vid=01CRU&amp;lang=en_US&amp;offset=0&amp;query=any,contains,991000769409702656","Catalog Record")</f>
        <v>Catalog Record</v>
      </c>
      <c r="AT315" s="6" t="str">
        <f>HYPERLINK("http://www.worldcat.org/oclc/18741371","WorldCat Record")</f>
        <v>WorldCat Record</v>
      </c>
      <c r="AU315" s="3" t="s">
        <v>4027</v>
      </c>
      <c r="AV315" s="3" t="s">
        <v>4028</v>
      </c>
      <c r="AW315" s="3" t="s">
        <v>4029</v>
      </c>
      <c r="AX315" s="3" t="s">
        <v>4029</v>
      </c>
      <c r="AY315" s="3" t="s">
        <v>4030</v>
      </c>
      <c r="AZ315" s="3" t="s">
        <v>73</v>
      </c>
      <c r="BB315" s="3" t="s">
        <v>4031</v>
      </c>
      <c r="BC315" s="3" t="s">
        <v>4032</v>
      </c>
      <c r="BD315" s="3" t="s">
        <v>4033</v>
      </c>
    </row>
    <row r="316" spans="1:56" ht="40.5" customHeight="1" x14ac:dyDescent="0.25">
      <c r="A316" s="7" t="s">
        <v>58</v>
      </c>
      <c r="B316" s="2" t="s">
        <v>4034</v>
      </c>
      <c r="C316" s="2" t="s">
        <v>4035</v>
      </c>
      <c r="D316" s="2" t="s">
        <v>4036</v>
      </c>
      <c r="E316" s="3" t="s">
        <v>4034</v>
      </c>
      <c r="F316" s="3" t="s">
        <v>58</v>
      </c>
      <c r="G316" s="3" t="s">
        <v>59</v>
      </c>
      <c r="H316" s="3" t="s">
        <v>58</v>
      </c>
      <c r="I316" s="3" t="s">
        <v>58</v>
      </c>
      <c r="J316" s="3" t="s">
        <v>59</v>
      </c>
      <c r="K316" s="2" t="s">
        <v>4037</v>
      </c>
      <c r="L316" s="2" t="s">
        <v>4038</v>
      </c>
      <c r="M316" s="3" t="s">
        <v>4039</v>
      </c>
      <c r="O316" s="3" t="s">
        <v>64</v>
      </c>
      <c r="P316" s="3" t="s">
        <v>135</v>
      </c>
      <c r="Q316" s="2" t="s">
        <v>4040</v>
      </c>
      <c r="R316" s="3" t="s">
        <v>66</v>
      </c>
      <c r="S316" s="4">
        <v>0</v>
      </c>
      <c r="T316" s="4">
        <v>0</v>
      </c>
      <c r="U316" s="5" t="s">
        <v>2569</v>
      </c>
      <c r="V316" s="5" t="s">
        <v>2569</v>
      </c>
      <c r="W316" s="5" t="s">
        <v>2569</v>
      </c>
      <c r="X316" s="5" t="s">
        <v>2569</v>
      </c>
      <c r="Y316" s="4">
        <v>139</v>
      </c>
      <c r="Z316" s="4">
        <v>87</v>
      </c>
      <c r="AA316" s="4">
        <v>672</v>
      </c>
      <c r="AB316" s="4">
        <v>3</v>
      </c>
      <c r="AC316" s="4">
        <v>13</v>
      </c>
      <c r="AD316" s="4">
        <v>3</v>
      </c>
      <c r="AE316" s="4">
        <v>31</v>
      </c>
      <c r="AF316" s="4">
        <v>0</v>
      </c>
      <c r="AG316" s="4">
        <v>8</v>
      </c>
      <c r="AH316" s="4">
        <v>0</v>
      </c>
      <c r="AI316" s="4">
        <v>7</v>
      </c>
      <c r="AJ316" s="4">
        <v>1</v>
      </c>
      <c r="AK316" s="4">
        <v>9</v>
      </c>
      <c r="AL316" s="4">
        <v>2</v>
      </c>
      <c r="AM316" s="4">
        <v>11</v>
      </c>
      <c r="AN316" s="4">
        <v>0</v>
      </c>
      <c r="AO316" s="4">
        <v>1</v>
      </c>
      <c r="AP316" s="3" t="s">
        <v>58</v>
      </c>
      <c r="AQ316" s="3" t="s">
        <v>58</v>
      </c>
      <c r="AS316" s="6" t="str">
        <f>HYPERLINK("https://creighton-primo.hosted.exlibrisgroup.com/primo-explore/search?tab=default_tab&amp;search_scope=EVERYTHING&amp;vid=01CRU&amp;lang=en_US&amp;offset=0&amp;query=any,contains,991000031539702656","Catalog Record")</f>
        <v>Catalog Record</v>
      </c>
      <c r="AT316" s="6" t="str">
        <f>HYPERLINK("http://www.worldcat.org/oclc/435728270","WorldCat Record")</f>
        <v>WorldCat Record</v>
      </c>
      <c r="AU316" s="3" t="s">
        <v>4041</v>
      </c>
      <c r="AV316" s="3" t="s">
        <v>4042</v>
      </c>
      <c r="AW316" s="3" t="s">
        <v>4043</v>
      </c>
      <c r="AX316" s="3" t="s">
        <v>4043</v>
      </c>
      <c r="AY316" s="3" t="s">
        <v>4044</v>
      </c>
      <c r="AZ316" s="3" t="s">
        <v>73</v>
      </c>
      <c r="BB316" s="3" t="s">
        <v>4045</v>
      </c>
      <c r="BC316" s="3" t="s">
        <v>4046</v>
      </c>
      <c r="BD316" s="3" t="s">
        <v>4047</v>
      </c>
    </row>
    <row r="317" spans="1:56" ht="40.5" customHeight="1" x14ac:dyDescent="0.25">
      <c r="A317" s="7" t="s">
        <v>58</v>
      </c>
      <c r="B317" s="2" t="s">
        <v>4048</v>
      </c>
      <c r="C317" s="2" t="s">
        <v>4049</v>
      </c>
      <c r="D317" s="2" t="s">
        <v>4050</v>
      </c>
      <c r="E317" s="3" t="s">
        <v>96</v>
      </c>
      <c r="F317" s="3" t="s">
        <v>85</v>
      </c>
      <c r="G317" s="3" t="s">
        <v>59</v>
      </c>
      <c r="H317" s="3" t="s">
        <v>58</v>
      </c>
      <c r="I317" s="3" t="s">
        <v>58</v>
      </c>
      <c r="J317" s="3" t="s">
        <v>60</v>
      </c>
      <c r="L317" s="2" t="s">
        <v>4051</v>
      </c>
      <c r="M317" s="3" t="s">
        <v>973</v>
      </c>
      <c r="O317" s="3" t="s">
        <v>64</v>
      </c>
      <c r="P317" s="3" t="s">
        <v>65</v>
      </c>
      <c r="Q317" s="2" t="s">
        <v>4052</v>
      </c>
      <c r="R317" s="3" t="s">
        <v>66</v>
      </c>
      <c r="S317" s="4">
        <v>0</v>
      </c>
      <c r="T317" s="4">
        <v>2</v>
      </c>
      <c r="V317" s="5" t="s">
        <v>4053</v>
      </c>
      <c r="W317" s="5" t="s">
        <v>2555</v>
      </c>
      <c r="X317" s="5" t="s">
        <v>2555</v>
      </c>
      <c r="Y317" s="4">
        <v>323</v>
      </c>
      <c r="Z317" s="4">
        <v>242</v>
      </c>
      <c r="AA317" s="4">
        <v>267</v>
      </c>
      <c r="AB317" s="4">
        <v>1</v>
      </c>
      <c r="AC317" s="4">
        <v>1</v>
      </c>
      <c r="AD317" s="4">
        <v>4</v>
      </c>
      <c r="AE317" s="4">
        <v>5</v>
      </c>
      <c r="AF317" s="4">
        <v>1</v>
      </c>
      <c r="AG317" s="4">
        <v>2</v>
      </c>
      <c r="AH317" s="4">
        <v>3</v>
      </c>
      <c r="AI317" s="4">
        <v>3</v>
      </c>
      <c r="AJ317" s="4">
        <v>2</v>
      </c>
      <c r="AK317" s="4">
        <v>2</v>
      </c>
      <c r="AL317" s="4">
        <v>0</v>
      </c>
      <c r="AM317" s="4">
        <v>0</v>
      </c>
      <c r="AN317" s="4">
        <v>0</v>
      </c>
      <c r="AO317" s="4">
        <v>0</v>
      </c>
      <c r="AP317" s="3" t="s">
        <v>58</v>
      </c>
      <c r="AQ317" s="3" t="s">
        <v>85</v>
      </c>
      <c r="AR317" s="6" t="str">
        <f>HYPERLINK("http://catalog.hathitrust.org/Record/000730175","HathiTrust Record")</f>
        <v>HathiTrust Record</v>
      </c>
      <c r="AS317" s="6" t="str">
        <f>HYPERLINK("https://creighton-primo.hosted.exlibrisgroup.com/primo-explore/search?tab=default_tab&amp;search_scope=EVERYTHING&amp;vid=01CRU&amp;lang=en_US&amp;offset=0&amp;query=any,contains,991000903479702656","Catalog Record")</f>
        <v>Catalog Record</v>
      </c>
      <c r="AT317" s="6" t="str">
        <f>HYPERLINK("http://www.worldcat.org/oclc/6420380","WorldCat Record")</f>
        <v>WorldCat Record</v>
      </c>
      <c r="AU317" s="3" t="s">
        <v>4054</v>
      </c>
      <c r="AV317" s="3" t="s">
        <v>4055</v>
      </c>
      <c r="AW317" s="3" t="s">
        <v>4056</v>
      </c>
      <c r="AX317" s="3" t="s">
        <v>4056</v>
      </c>
      <c r="AY317" s="3" t="s">
        <v>4057</v>
      </c>
      <c r="AZ317" s="3" t="s">
        <v>73</v>
      </c>
      <c r="BB317" s="3" t="s">
        <v>4058</v>
      </c>
      <c r="BC317" s="3" t="s">
        <v>4059</v>
      </c>
      <c r="BD317" s="3" t="s">
        <v>4060</v>
      </c>
    </row>
    <row r="318" spans="1:56" ht="40.5" customHeight="1" x14ac:dyDescent="0.25">
      <c r="A318" s="7" t="s">
        <v>58</v>
      </c>
      <c r="B318" s="2" t="s">
        <v>4048</v>
      </c>
      <c r="C318" s="2" t="s">
        <v>4049</v>
      </c>
      <c r="D318" s="2" t="s">
        <v>4050</v>
      </c>
      <c r="E318" s="3" t="s">
        <v>258</v>
      </c>
      <c r="F318" s="3" t="s">
        <v>85</v>
      </c>
      <c r="G318" s="3" t="s">
        <v>59</v>
      </c>
      <c r="H318" s="3" t="s">
        <v>58</v>
      </c>
      <c r="I318" s="3" t="s">
        <v>58</v>
      </c>
      <c r="J318" s="3" t="s">
        <v>60</v>
      </c>
      <c r="L318" s="2" t="s">
        <v>4051</v>
      </c>
      <c r="M318" s="3" t="s">
        <v>973</v>
      </c>
      <c r="O318" s="3" t="s">
        <v>64</v>
      </c>
      <c r="P318" s="3" t="s">
        <v>65</v>
      </c>
      <c r="Q318" s="2" t="s">
        <v>4052</v>
      </c>
      <c r="R318" s="3" t="s">
        <v>66</v>
      </c>
      <c r="S318" s="4">
        <v>2</v>
      </c>
      <c r="T318" s="4">
        <v>2</v>
      </c>
      <c r="U318" s="5" t="s">
        <v>4053</v>
      </c>
      <c r="V318" s="5" t="s">
        <v>4053</v>
      </c>
      <c r="W318" s="5" t="s">
        <v>2555</v>
      </c>
      <c r="X318" s="5" t="s">
        <v>2555</v>
      </c>
      <c r="Y318" s="4">
        <v>323</v>
      </c>
      <c r="Z318" s="4">
        <v>242</v>
      </c>
      <c r="AA318" s="4">
        <v>267</v>
      </c>
      <c r="AB318" s="4">
        <v>1</v>
      </c>
      <c r="AC318" s="4">
        <v>1</v>
      </c>
      <c r="AD318" s="4">
        <v>4</v>
      </c>
      <c r="AE318" s="4">
        <v>5</v>
      </c>
      <c r="AF318" s="4">
        <v>1</v>
      </c>
      <c r="AG318" s="4">
        <v>2</v>
      </c>
      <c r="AH318" s="4">
        <v>3</v>
      </c>
      <c r="AI318" s="4">
        <v>3</v>
      </c>
      <c r="AJ318" s="4">
        <v>2</v>
      </c>
      <c r="AK318" s="4">
        <v>2</v>
      </c>
      <c r="AL318" s="4">
        <v>0</v>
      </c>
      <c r="AM318" s="4">
        <v>0</v>
      </c>
      <c r="AN318" s="4">
        <v>0</v>
      </c>
      <c r="AO318" s="4">
        <v>0</v>
      </c>
      <c r="AP318" s="3" t="s">
        <v>58</v>
      </c>
      <c r="AQ318" s="3" t="s">
        <v>85</v>
      </c>
      <c r="AR318" s="6" t="str">
        <f>HYPERLINK("http://catalog.hathitrust.org/Record/000730175","HathiTrust Record")</f>
        <v>HathiTrust Record</v>
      </c>
      <c r="AS318" s="6" t="str">
        <f>HYPERLINK("https://creighton-primo.hosted.exlibrisgroup.com/primo-explore/search?tab=default_tab&amp;search_scope=EVERYTHING&amp;vid=01CRU&amp;lang=en_US&amp;offset=0&amp;query=any,contains,991000903479702656","Catalog Record")</f>
        <v>Catalog Record</v>
      </c>
      <c r="AT318" s="6" t="str">
        <f>HYPERLINK("http://www.worldcat.org/oclc/6420380","WorldCat Record")</f>
        <v>WorldCat Record</v>
      </c>
      <c r="AU318" s="3" t="s">
        <v>4054</v>
      </c>
      <c r="AV318" s="3" t="s">
        <v>4055</v>
      </c>
      <c r="AW318" s="3" t="s">
        <v>4056</v>
      </c>
      <c r="AX318" s="3" t="s">
        <v>4056</v>
      </c>
      <c r="AY318" s="3" t="s">
        <v>4057</v>
      </c>
      <c r="AZ318" s="3" t="s">
        <v>73</v>
      </c>
      <c r="BB318" s="3" t="s">
        <v>4058</v>
      </c>
      <c r="BC318" s="3" t="s">
        <v>4061</v>
      </c>
      <c r="BD318" s="3" t="s">
        <v>4062</v>
      </c>
    </row>
    <row r="319" spans="1:56" ht="40.5" customHeight="1" x14ac:dyDescent="0.25">
      <c r="A319" s="7" t="s">
        <v>58</v>
      </c>
      <c r="B319" s="2" t="s">
        <v>4063</v>
      </c>
      <c r="C319" s="2" t="s">
        <v>4064</v>
      </c>
      <c r="D319" s="2" t="s">
        <v>4065</v>
      </c>
      <c r="F319" s="3" t="s">
        <v>58</v>
      </c>
      <c r="G319" s="3" t="s">
        <v>59</v>
      </c>
      <c r="H319" s="3" t="s">
        <v>58</v>
      </c>
      <c r="I319" s="3" t="s">
        <v>58</v>
      </c>
      <c r="J319" s="3" t="s">
        <v>60</v>
      </c>
      <c r="K319" s="2" t="s">
        <v>4066</v>
      </c>
      <c r="L319" s="2" t="s">
        <v>4067</v>
      </c>
      <c r="M319" s="3" t="s">
        <v>644</v>
      </c>
      <c r="N319" s="2" t="s">
        <v>4068</v>
      </c>
      <c r="O319" s="3" t="s">
        <v>64</v>
      </c>
      <c r="P319" s="3" t="s">
        <v>135</v>
      </c>
      <c r="R319" s="3" t="s">
        <v>66</v>
      </c>
      <c r="S319" s="4">
        <v>6</v>
      </c>
      <c r="T319" s="4">
        <v>6</v>
      </c>
      <c r="U319" s="5" t="s">
        <v>4069</v>
      </c>
      <c r="V319" s="5" t="s">
        <v>4069</v>
      </c>
      <c r="W319" s="5" t="s">
        <v>4070</v>
      </c>
      <c r="X319" s="5" t="s">
        <v>4070</v>
      </c>
      <c r="Y319" s="4">
        <v>204</v>
      </c>
      <c r="Z319" s="4">
        <v>132</v>
      </c>
      <c r="AA319" s="4">
        <v>137</v>
      </c>
      <c r="AB319" s="4">
        <v>1</v>
      </c>
      <c r="AC319" s="4">
        <v>1</v>
      </c>
      <c r="AD319" s="4">
        <v>4</v>
      </c>
      <c r="AE319" s="4">
        <v>4</v>
      </c>
      <c r="AF319" s="4">
        <v>2</v>
      </c>
      <c r="AG319" s="4">
        <v>2</v>
      </c>
      <c r="AH319" s="4">
        <v>1</v>
      </c>
      <c r="AI319" s="4">
        <v>1</v>
      </c>
      <c r="AJ319" s="4">
        <v>3</v>
      </c>
      <c r="AK319" s="4">
        <v>3</v>
      </c>
      <c r="AL319" s="4">
        <v>0</v>
      </c>
      <c r="AM319" s="4">
        <v>0</v>
      </c>
      <c r="AN319" s="4">
        <v>0</v>
      </c>
      <c r="AO319" s="4">
        <v>0</v>
      </c>
      <c r="AP319" s="3" t="s">
        <v>58</v>
      </c>
      <c r="AQ319" s="3" t="s">
        <v>58</v>
      </c>
      <c r="AS319" s="6" t="str">
        <f>HYPERLINK("https://creighton-primo.hosted.exlibrisgroup.com/primo-explore/search?tab=default_tab&amp;search_scope=EVERYTHING&amp;vid=01CRU&amp;lang=en_US&amp;offset=0&amp;query=any,contains,991000901849702656","Catalog Record")</f>
        <v>Catalog Record</v>
      </c>
      <c r="AT319" s="6" t="str">
        <f>HYPERLINK("http://www.worldcat.org/oclc/34951210","WorldCat Record")</f>
        <v>WorldCat Record</v>
      </c>
      <c r="AU319" s="3" t="s">
        <v>4071</v>
      </c>
      <c r="AV319" s="3" t="s">
        <v>4072</v>
      </c>
      <c r="AW319" s="3" t="s">
        <v>4073</v>
      </c>
      <c r="AX319" s="3" t="s">
        <v>4073</v>
      </c>
      <c r="AY319" s="3" t="s">
        <v>4074</v>
      </c>
      <c r="AZ319" s="3" t="s">
        <v>73</v>
      </c>
      <c r="BB319" s="3" t="s">
        <v>4075</v>
      </c>
      <c r="BC319" s="3" t="s">
        <v>4076</v>
      </c>
      <c r="BD319" s="3" t="s">
        <v>4077</v>
      </c>
    </row>
    <row r="320" spans="1:56" ht="40.5" customHeight="1" x14ac:dyDescent="0.25">
      <c r="A320" s="7" t="s">
        <v>58</v>
      </c>
      <c r="B320" s="2" t="s">
        <v>4078</v>
      </c>
      <c r="C320" s="2" t="s">
        <v>4079</v>
      </c>
      <c r="D320" s="2" t="s">
        <v>4080</v>
      </c>
      <c r="E320" s="3" t="s">
        <v>1707</v>
      </c>
      <c r="F320" s="3" t="s">
        <v>58</v>
      </c>
      <c r="G320" s="3" t="s">
        <v>59</v>
      </c>
      <c r="H320" s="3" t="s">
        <v>58</v>
      </c>
      <c r="I320" s="3" t="s">
        <v>58</v>
      </c>
      <c r="J320" s="3" t="s">
        <v>60</v>
      </c>
      <c r="K320" s="2" t="s">
        <v>4081</v>
      </c>
      <c r="L320" s="2" t="s">
        <v>4082</v>
      </c>
      <c r="M320" s="3" t="s">
        <v>4083</v>
      </c>
      <c r="O320" s="3" t="s">
        <v>64</v>
      </c>
      <c r="P320" s="3" t="s">
        <v>117</v>
      </c>
      <c r="Q320" s="2" t="s">
        <v>4084</v>
      </c>
      <c r="R320" s="3" t="s">
        <v>66</v>
      </c>
      <c r="S320" s="4">
        <v>2</v>
      </c>
      <c r="T320" s="4">
        <v>2</v>
      </c>
      <c r="U320" s="5" t="s">
        <v>4085</v>
      </c>
      <c r="V320" s="5" t="s">
        <v>4085</v>
      </c>
      <c r="W320" s="5" t="s">
        <v>2090</v>
      </c>
      <c r="X320" s="5" t="s">
        <v>2090</v>
      </c>
      <c r="Y320" s="4">
        <v>19</v>
      </c>
      <c r="Z320" s="4">
        <v>10</v>
      </c>
      <c r="AA320" s="4">
        <v>23</v>
      </c>
      <c r="AB320" s="4">
        <v>1</v>
      </c>
      <c r="AC320" s="4">
        <v>2</v>
      </c>
      <c r="AD320" s="4">
        <v>0</v>
      </c>
      <c r="AE320" s="4">
        <v>2</v>
      </c>
      <c r="AF320" s="4">
        <v>0</v>
      </c>
      <c r="AG320" s="4">
        <v>1</v>
      </c>
      <c r="AH320" s="4">
        <v>0</v>
      </c>
      <c r="AI320" s="4">
        <v>1</v>
      </c>
      <c r="AJ320" s="4">
        <v>0</v>
      </c>
      <c r="AK320" s="4">
        <v>0</v>
      </c>
      <c r="AL320" s="4">
        <v>0</v>
      </c>
      <c r="AM320" s="4">
        <v>1</v>
      </c>
      <c r="AN320" s="4">
        <v>0</v>
      </c>
      <c r="AO320" s="4">
        <v>0</v>
      </c>
      <c r="AP320" s="3" t="s">
        <v>58</v>
      </c>
      <c r="AQ320" s="3" t="s">
        <v>58</v>
      </c>
      <c r="AS320" s="6" t="str">
        <f>HYPERLINK("https://creighton-primo.hosted.exlibrisgroup.com/primo-explore/search?tab=default_tab&amp;search_scope=EVERYTHING&amp;vid=01CRU&amp;lang=en_US&amp;offset=0&amp;query=any,contains,991000904069702656","Catalog Record")</f>
        <v>Catalog Record</v>
      </c>
      <c r="AT320" s="6" t="str">
        <f>HYPERLINK("http://www.worldcat.org/oclc/8979723","WorldCat Record")</f>
        <v>WorldCat Record</v>
      </c>
      <c r="AU320" s="3" t="s">
        <v>4086</v>
      </c>
      <c r="AV320" s="3" t="s">
        <v>4087</v>
      </c>
      <c r="AW320" s="3" t="s">
        <v>4088</v>
      </c>
      <c r="AX320" s="3" t="s">
        <v>4088</v>
      </c>
      <c r="AY320" s="3" t="s">
        <v>4089</v>
      </c>
      <c r="AZ320" s="3" t="s">
        <v>73</v>
      </c>
      <c r="BC320" s="3" t="s">
        <v>4090</v>
      </c>
      <c r="BD320" s="3" t="s">
        <v>4091</v>
      </c>
    </row>
    <row r="321" spans="1:56" ht="40.5" customHeight="1" x14ac:dyDescent="0.25">
      <c r="A321" s="7" t="s">
        <v>58</v>
      </c>
      <c r="B321" s="2" t="s">
        <v>4092</v>
      </c>
      <c r="C321" s="2" t="s">
        <v>4093</v>
      </c>
      <c r="D321" s="2" t="s">
        <v>4094</v>
      </c>
      <c r="E321" s="3" t="s">
        <v>3243</v>
      </c>
      <c r="F321" s="3" t="s">
        <v>58</v>
      </c>
      <c r="G321" s="3" t="s">
        <v>59</v>
      </c>
      <c r="H321" s="3" t="s">
        <v>58</v>
      </c>
      <c r="I321" s="3" t="s">
        <v>58</v>
      </c>
      <c r="J321" s="3" t="s">
        <v>60</v>
      </c>
      <c r="K321" s="2" t="s">
        <v>4095</v>
      </c>
      <c r="L321" s="2" t="s">
        <v>4096</v>
      </c>
      <c r="M321" s="3" t="s">
        <v>395</v>
      </c>
      <c r="O321" s="3" t="s">
        <v>64</v>
      </c>
      <c r="P321" s="3" t="s">
        <v>117</v>
      </c>
      <c r="Q321" s="2" t="s">
        <v>4097</v>
      </c>
      <c r="R321" s="3" t="s">
        <v>66</v>
      </c>
      <c r="S321" s="4">
        <v>1</v>
      </c>
      <c r="T321" s="4">
        <v>1</v>
      </c>
      <c r="U321" s="5" t="s">
        <v>4098</v>
      </c>
      <c r="V321" s="5" t="s">
        <v>4098</v>
      </c>
      <c r="W321" s="5" t="s">
        <v>2090</v>
      </c>
      <c r="X321" s="5" t="s">
        <v>2090</v>
      </c>
      <c r="Y321" s="4">
        <v>34</v>
      </c>
      <c r="Z321" s="4">
        <v>20</v>
      </c>
      <c r="AA321" s="4">
        <v>37</v>
      </c>
      <c r="AB321" s="4">
        <v>1</v>
      </c>
      <c r="AC321" s="4">
        <v>1</v>
      </c>
      <c r="AD321" s="4">
        <v>0</v>
      </c>
      <c r="AE321" s="4">
        <v>0</v>
      </c>
      <c r="AF321" s="4">
        <v>0</v>
      </c>
      <c r="AG321" s="4">
        <v>0</v>
      </c>
      <c r="AH321" s="4">
        <v>0</v>
      </c>
      <c r="AI321" s="4">
        <v>0</v>
      </c>
      <c r="AJ321" s="4">
        <v>0</v>
      </c>
      <c r="AK321" s="4">
        <v>0</v>
      </c>
      <c r="AL321" s="4">
        <v>0</v>
      </c>
      <c r="AM321" s="4">
        <v>0</v>
      </c>
      <c r="AN321" s="4">
        <v>0</v>
      </c>
      <c r="AO321" s="4">
        <v>0</v>
      </c>
      <c r="AP321" s="3" t="s">
        <v>58</v>
      </c>
      <c r="AQ321" s="3" t="s">
        <v>58</v>
      </c>
      <c r="AS321" s="6" t="str">
        <f>HYPERLINK("https://creighton-primo.hosted.exlibrisgroup.com/primo-explore/search?tab=default_tab&amp;search_scope=EVERYTHING&amp;vid=01CRU&amp;lang=en_US&amp;offset=0&amp;query=any,contains,991000903979702656","Catalog Record")</f>
        <v>Catalog Record</v>
      </c>
      <c r="AT321" s="6" t="str">
        <f>HYPERLINK("http://www.worldcat.org/oclc/5908665","WorldCat Record")</f>
        <v>WorldCat Record</v>
      </c>
      <c r="AU321" s="3" t="s">
        <v>4099</v>
      </c>
      <c r="AV321" s="3" t="s">
        <v>4100</v>
      </c>
      <c r="AW321" s="3" t="s">
        <v>4101</v>
      </c>
      <c r="AX321" s="3" t="s">
        <v>4101</v>
      </c>
      <c r="AY321" s="3" t="s">
        <v>4102</v>
      </c>
      <c r="AZ321" s="3" t="s">
        <v>73</v>
      </c>
      <c r="BC321" s="3" t="s">
        <v>4103</v>
      </c>
      <c r="BD321" s="3" t="s">
        <v>4104</v>
      </c>
    </row>
    <row r="322" spans="1:56" ht="40.5" customHeight="1" x14ac:dyDescent="0.25">
      <c r="A322" s="7" t="s">
        <v>58</v>
      </c>
      <c r="B322" s="2" t="s">
        <v>4105</v>
      </c>
      <c r="C322" s="2" t="s">
        <v>4106</v>
      </c>
      <c r="D322" s="2" t="s">
        <v>4107</v>
      </c>
      <c r="E322" s="3" t="s">
        <v>1447</v>
      </c>
      <c r="F322" s="3" t="s">
        <v>58</v>
      </c>
      <c r="G322" s="3" t="s">
        <v>59</v>
      </c>
      <c r="H322" s="3" t="s">
        <v>58</v>
      </c>
      <c r="I322" s="3" t="s">
        <v>58</v>
      </c>
      <c r="J322" s="3" t="s">
        <v>60</v>
      </c>
      <c r="K322" s="2" t="s">
        <v>4108</v>
      </c>
      <c r="L322" s="2" t="s">
        <v>4109</v>
      </c>
      <c r="M322" s="3" t="s">
        <v>1338</v>
      </c>
      <c r="O322" s="3" t="s">
        <v>64</v>
      </c>
      <c r="P322" s="3" t="s">
        <v>117</v>
      </c>
      <c r="Q322" s="2" t="s">
        <v>4110</v>
      </c>
      <c r="R322" s="3" t="s">
        <v>66</v>
      </c>
      <c r="S322" s="4">
        <v>1</v>
      </c>
      <c r="T322" s="4">
        <v>1</v>
      </c>
      <c r="U322" s="5" t="s">
        <v>4111</v>
      </c>
      <c r="V322" s="5" t="s">
        <v>4111</v>
      </c>
      <c r="W322" s="5" t="s">
        <v>2090</v>
      </c>
      <c r="X322" s="5" t="s">
        <v>2090</v>
      </c>
      <c r="Y322" s="4">
        <v>40</v>
      </c>
      <c r="Z322" s="4">
        <v>18</v>
      </c>
      <c r="AA322" s="4">
        <v>35</v>
      </c>
      <c r="AB322" s="4">
        <v>1</v>
      </c>
      <c r="AC322" s="4">
        <v>2</v>
      </c>
      <c r="AD322" s="4">
        <v>0</v>
      </c>
      <c r="AE322" s="4">
        <v>2</v>
      </c>
      <c r="AF322" s="4">
        <v>0</v>
      </c>
      <c r="AG322" s="4">
        <v>1</v>
      </c>
      <c r="AH322" s="4">
        <v>0</v>
      </c>
      <c r="AI322" s="4">
        <v>1</v>
      </c>
      <c r="AJ322" s="4">
        <v>0</v>
      </c>
      <c r="AK322" s="4">
        <v>0</v>
      </c>
      <c r="AL322" s="4">
        <v>0</v>
      </c>
      <c r="AM322" s="4">
        <v>1</v>
      </c>
      <c r="AN322" s="4">
        <v>0</v>
      </c>
      <c r="AO322" s="4">
        <v>0</v>
      </c>
      <c r="AP322" s="3" t="s">
        <v>58</v>
      </c>
      <c r="AQ322" s="3" t="s">
        <v>58</v>
      </c>
      <c r="AS322" s="6" t="str">
        <f>HYPERLINK("https://creighton-primo.hosted.exlibrisgroup.com/primo-explore/search?tab=default_tab&amp;search_scope=EVERYTHING&amp;vid=01CRU&amp;lang=en_US&amp;offset=0&amp;query=any,contains,991000904029702656","Catalog Record")</f>
        <v>Catalog Record</v>
      </c>
      <c r="AT322" s="6" t="str">
        <f>HYPERLINK("http://www.worldcat.org/oclc/5908734","WorldCat Record")</f>
        <v>WorldCat Record</v>
      </c>
      <c r="AU322" s="3" t="s">
        <v>4112</v>
      </c>
      <c r="AV322" s="3" t="s">
        <v>4113</v>
      </c>
      <c r="AW322" s="3" t="s">
        <v>4114</v>
      </c>
      <c r="AX322" s="3" t="s">
        <v>4114</v>
      </c>
      <c r="AY322" s="3" t="s">
        <v>4115</v>
      </c>
      <c r="AZ322" s="3" t="s">
        <v>73</v>
      </c>
      <c r="BC322" s="3" t="s">
        <v>4116</v>
      </c>
      <c r="BD322" s="3" t="s">
        <v>4117</v>
      </c>
    </row>
    <row r="323" spans="1:56" ht="40.5" customHeight="1" x14ac:dyDescent="0.25">
      <c r="A323" s="7" t="s">
        <v>58</v>
      </c>
      <c r="B323" s="2" t="s">
        <v>4118</v>
      </c>
      <c r="C323" s="2" t="s">
        <v>4119</v>
      </c>
      <c r="D323" s="2" t="s">
        <v>4120</v>
      </c>
      <c r="F323" s="3" t="s">
        <v>58</v>
      </c>
      <c r="G323" s="3" t="s">
        <v>59</v>
      </c>
      <c r="H323" s="3" t="s">
        <v>58</v>
      </c>
      <c r="I323" s="3" t="s">
        <v>85</v>
      </c>
      <c r="J323" s="3" t="s">
        <v>60</v>
      </c>
      <c r="K323" s="2" t="s">
        <v>4121</v>
      </c>
      <c r="L323" s="2" t="s">
        <v>4122</v>
      </c>
      <c r="M323" s="3" t="s">
        <v>4123</v>
      </c>
      <c r="N323" s="2" t="s">
        <v>198</v>
      </c>
      <c r="O323" s="3" t="s">
        <v>64</v>
      </c>
      <c r="P323" s="3" t="s">
        <v>3204</v>
      </c>
      <c r="R323" s="3" t="s">
        <v>66</v>
      </c>
      <c r="S323" s="4">
        <v>3</v>
      </c>
      <c r="T323" s="4">
        <v>3</v>
      </c>
      <c r="U323" s="5" t="s">
        <v>4124</v>
      </c>
      <c r="V323" s="5" t="s">
        <v>4124</v>
      </c>
      <c r="W323" s="5" t="s">
        <v>4124</v>
      </c>
      <c r="X323" s="5" t="s">
        <v>4124</v>
      </c>
      <c r="Y323" s="4">
        <v>338</v>
      </c>
      <c r="Z323" s="4">
        <v>251</v>
      </c>
      <c r="AA323" s="4">
        <v>490</v>
      </c>
      <c r="AB323" s="4">
        <v>4</v>
      </c>
      <c r="AC323" s="4">
        <v>7</v>
      </c>
      <c r="AD323" s="4">
        <v>8</v>
      </c>
      <c r="AE323" s="4">
        <v>17</v>
      </c>
      <c r="AF323" s="4">
        <v>4</v>
      </c>
      <c r="AG323" s="4">
        <v>9</v>
      </c>
      <c r="AH323" s="4">
        <v>2</v>
      </c>
      <c r="AI323" s="4">
        <v>3</v>
      </c>
      <c r="AJ323" s="4">
        <v>2</v>
      </c>
      <c r="AK323" s="4">
        <v>5</v>
      </c>
      <c r="AL323" s="4">
        <v>2</v>
      </c>
      <c r="AM323" s="4">
        <v>4</v>
      </c>
      <c r="AN323" s="4">
        <v>0</v>
      </c>
      <c r="AO323" s="4">
        <v>0</v>
      </c>
      <c r="AP323" s="3" t="s">
        <v>58</v>
      </c>
      <c r="AQ323" s="3" t="s">
        <v>58</v>
      </c>
      <c r="AS323" s="6" t="str">
        <f>HYPERLINK("https://creighton-primo.hosted.exlibrisgroup.com/primo-explore/search?tab=default_tab&amp;search_scope=EVERYTHING&amp;vid=01CRU&amp;lang=en_US&amp;offset=0&amp;query=any,contains,991000345119702656","Catalog Record")</f>
        <v>Catalog Record</v>
      </c>
      <c r="AT323" s="6" t="str">
        <f>HYPERLINK("http://www.worldcat.org/oclc/45304224","WorldCat Record")</f>
        <v>WorldCat Record</v>
      </c>
      <c r="AU323" s="3" t="s">
        <v>4125</v>
      </c>
      <c r="AV323" s="3" t="s">
        <v>4126</v>
      </c>
      <c r="AW323" s="3" t="s">
        <v>4127</v>
      </c>
      <c r="AX323" s="3" t="s">
        <v>4127</v>
      </c>
      <c r="AY323" s="3" t="s">
        <v>4128</v>
      </c>
      <c r="AZ323" s="3" t="s">
        <v>73</v>
      </c>
      <c r="BB323" s="3" t="s">
        <v>4129</v>
      </c>
      <c r="BC323" s="3" t="s">
        <v>4130</v>
      </c>
      <c r="BD323" s="3" t="s">
        <v>4131</v>
      </c>
    </row>
    <row r="324" spans="1:56" ht="40.5" customHeight="1" x14ac:dyDescent="0.25">
      <c r="A324" s="7" t="s">
        <v>58</v>
      </c>
      <c r="B324" s="2" t="s">
        <v>4132</v>
      </c>
      <c r="C324" s="2" t="s">
        <v>4133</v>
      </c>
      <c r="D324" s="2" t="s">
        <v>4134</v>
      </c>
      <c r="F324" s="3" t="s">
        <v>58</v>
      </c>
      <c r="G324" s="3" t="s">
        <v>59</v>
      </c>
      <c r="H324" s="3" t="s">
        <v>58</v>
      </c>
      <c r="I324" s="3" t="s">
        <v>58</v>
      </c>
      <c r="J324" s="3" t="s">
        <v>60</v>
      </c>
      <c r="K324" s="2" t="s">
        <v>4135</v>
      </c>
      <c r="L324" s="2" t="s">
        <v>4136</v>
      </c>
      <c r="M324" s="3" t="s">
        <v>98</v>
      </c>
      <c r="N324" s="2" t="s">
        <v>4137</v>
      </c>
      <c r="O324" s="3" t="s">
        <v>64</v>
      </c>
      <c r="P324" s="3" t="s">
        <v>65</v>
      </c>
      <c r="R324" s="3" t="s">
        <v>66</v>
      </c>
      <c r="S324" s="4">
        <v>1</v>
      </c>
      <c r="T324" s="4">
        <v>1</v>
      </c>
      <c r="U324" s="5" t="s">
        <v>4138</v>
      </c>
      <c r="V324" s="5" t="s">
        <v>4138</v>
      </c>
      <c r="W324" s="5" t="s">
        <v>2555</v>
      </c>
      <c r="X324" s="5" t="s">
        <v>2555</v>
      </c>
      <c r="Y324" s="4">
        <v>189</v>
      </c>
      <c r="Z324" s="4">
        <v>150</v>
      </c>
      <c r="AA324" s="4">
        <v>277</v>
      </c>
      <c r="AB324" s="4">
        <v>1</v>
      </c>
      <c r="AC324" s="4">
        <v>3</v>
      </c>
      <c r="AD324" s="4">
        <v>0</v>
      </c>
      <c r="AE324" s="4">
        <v>5</v>
      </c>
      <c r="AF324" s="4">
        <v>0</v>
      </c>
      <c r="AG324" s="4">
        <v>1</v>
      </c>
      <c r="AH324" s="4">
        <v>0</v>
      </c>
      <c r="AI324" s="4">
        <v>2</v>
      </c>
      <c r="AJ324" s="4">
        <v>0</v>
      </c>
      <c r="AK324" s="4">
        <v>1</v>
      </c>
      <c r="AL324" s="4">
        <v>0</v>
      </c>
      <c r="AM324" s="4">
        <v>2</v>
      </c>
      <c r="AN324" s="4">
        <v>0</v>
      </c>
      <c r="AO324" s="4">
        <v>0</v>
      </c>
      <c r="AP324" s="3" t="s">
        <v>58</v>
      </c>
      <c r="AQ324" s="3" t="s">
        <v>58</v>
      </c>
      <c r="AS324" s="6" t="str">
        <f>HYPERLINK("https://creighton-primo.hosted.exlibrisgroup.com/primo-explore/search?tab=default_tab&amp;search_scope=EVERYTHING&amp;vid=01CRU&amp;lang=en_US&amp;offset=0&amp;query=any,contains,991000903949702656","Catalog Record")</f>
        <v>Catalog Record</v>
      </c>
      <c r="AT324" s="6" t="str">
        <f>HYPERLINK("http://www.worldcat.org/oclc/9350445","WorldCat Record")</f>
        <v>WorldCat Record</v>
      </c>
      <c r="AU324" s="3" t="s">
        <v>4139</v>
      </c>
      <c r="AV324" s="3" t="s">
        <v>4140</v>
      </c>
      <c r="AW324" s="3" t="s">
        <v>4141</v>
      </c>
      <c r="AX324" s="3" t="s">
        <v>4141</v>
      </c>
      <c r="AY324" s="3" t="s">
        <v>4142</v>
      </c>
      <c r="AZ324" s="3" t="s">
        <v>73</v>
      </c>
      <c r="BB324" s="3" t="s">
        <v>4143</v>
      </c>
      <c r="BC324" s="3" t="s">
        <v>4144</v>
      </c>
      <c r="BD324" s="3" t="s">
        <v>4145</v>
      </c>
    </row>
    <row r="325" spans="1:56" ht="40.5" customHeight="1" x14ac:dyDescent="0.25">
      <c r="A325" s="7" t="s">
        <v>58</v>
      </c>
      <c r="B325" s="2" t="s">
        <v>4146</v>
      </c>
      <c r="C325" s="2" t="s">
        <v>4147</v>
      </c>
      <c r="D325" s="2" t="s">
        <v>4148</v>
      </c>
      <c r="F325" s="3" t="s">
        <v>58</v>
      </c>
      <c r="G325" s="3" t="s">
        <v>59</v>
      </c>
      <c r="H325" s="3" t="s">
        <v>58</v>
      </c>
      <c r="I325" s="3" t="s">
        <v>58</v>
      </c>
      <c r="J325" s="3" t="s">
        <v>60</v>
      </c>
      <c r="L325" s="2" t="s">
        <v>4149</v>
      </c>
      <c r="M325" s="3" t="s">
        <v>424</v>
      </c>
      <c r="O325" s="3" t="s">
        <v>64</v>
      </c>
      <c r="P325" s="3" t="s">
        <v>230</v>
      </c>
      <c r="R325" s="3" t="s">
        <v>66</v>
      </c>
      <c r="S325" s="4">
        <v>4</v>
      </c>
      <c r="T325" s="4">
        <v>4</v>
      </c>
      <c r="U325" s="5" t="s">
        <v>4150</v>
      </c>
      <c r="V325" s="5" t="s">
        <v>4150</v>
      </c>
      <c r="W325" s="5" t="s">
        <v>2555</v>
      </c>
      <c r="X325" s="5" t="s">
        <v>2555</v>
      </c>
      <c r="Y325" s="4">
        <v>143</v>
      </c>
      <c r="Z325" s="4">
        <v>82</v>
      </c>
      <c r="AA325" s="4">
        <v>83</v>
      </c>
      <c r="AB325" s="4">
        <v>1</v>
      </c>
      <c r="AC325" s="4">
        <v>1</v>
      </c>
      <c r="AD325" s="4">
        <v>2</v>
      </c>
      <c r="AE325" s="4">
        <v>2</v>
      </c>
      <c r="AF325" s="4">
        <v>0</v>
      </c>
      <c r="AG325" s="4">
        <v>0</v>
      </c>
      <c r="AH325" s="4">
        <v>0</v>
      </c>
      <c r="AI325" s="4">
        <v>0</v>
      </c>
      <c r="AJ325" s="4">
        <v>2</v>
      </c>
      <c r="AK325" s="4">
        <v>2</v>
      </c>
      <c r="AL325" s="4">
        <v>0</v>
      </c>
      <c r="AM325" s="4">
        <v>0</v>
      </c>
      <c r="AN325" s="4">
        <v>0</v>
      </c>
      <c r="AO325" s="4">
        <v>0</v>
      </c>
      <c r="AP325" s="3" t="s">
        <v>58</v>
      </c>
      <c r="AQ325" s="3" t="s">
        <v>85</v>
      </c>
      <c r="AR325" s="6" t="str">
        <f>HYPERLINK("http://catalog.hathitrust.org/Record/000556933","HathiTrust Record")</f>
        <v>HathiTrust Record</v>
      </c>
      <c r="AS325" s="6" t="str">
        <f>HYPERLINK("https://creighton-primo.hosted.exlibrisgroup.com/primo-explore/search?tab=default_tab&amp;search_scope=EVERYTHING&amp;vid=01CRU&amp;lang=en_US&amp;offset=0&amp;query=any,contains,991000911949702656","Catalog Record")</f>
        <v>Catalog Record</v>
      </c>
      <c r="AT325" s="6" t="str">
        <f>HYPERLINK("http://www.worldcat.org/oclc/13089504","WorldCat Record")</f>
        <v>WorldCat Record</v>
      </c>
      <c r="AU325" s="3" t="s">
        <v>4151</v>
      </c>
      <c r="AV325" s="3" t="s">
        <v>4152</v>
      </c>
      <c r="AW325" s="3" t="s">
        <v>4153</v>
      </c>
      <c r="AX325" s="3" t="s">
        <v>4153</v>
      </c>
      <c r="AY325" s="3" t="s">
        <v>4154</v>
      </c>
      <c r="AZ325" s="3" t="s">
        <v>73</v>
      </c>
      <c r="BB325" s="3" t="s">
        <v>4155</v>
      </c>
      <c r="BC325" s="3" t="s">
        <v>4156</v>
      </c>
      <c r="BD325" s="3" t="s">
        <v>4157</v>
      </c>
    </row>
    <row r="326" spans="1:56" ht="40.5" customHeight="1" x14ac:dyDescent="0.25">
      <c r="A326" s="7" t="s">
        <v>58</v>
      </c>
      <c r="B326" s="2" t="s">
        <v>4158</v>
      </c>
      <c r="C326" s="2" t="s">
        <v>4159</v>
      </c>
      <c r="D326" s="2" t="s">
        <v>4160</v>
      </c>
      <c r="F326" s="3" t="s">
        <v>58</v>
      </c>
      <c r="G326" s="3" t="s">
        <v>59</v>
      </c>
      <c r="H326" s="3" t="s">
        <v>85</v>
      </c>
      <c r="I326" s="3" t="s">
        <v>58</v>
      </c>
      <c r="J326" s="3" t="s">
        <v>60</v>
      </c>
      <c r="L326" s="2" t="s">
        <v>4161</v>
      </c>
      <c r="M326" s="3" t="s">
        <v>229</v>
      </c>
      <c r="O326" s="3" t="s">
        <v>64</v>
      </c>
      <c r="P326" s="3" t="s">
        <v>674</v>
      </c>
      <c r="R326" s="3" t="s">
        <v>66</v>
      </c>
      <c r="S326" s="4">
        <v>5</v>
      </c>
      <c r="T326" s="4">
        <v>5</v>
      </c>
      <c r="U326" s="5" t="s">
        <v>4150</v>
      </c>
      <c r="V326" s="5" t="s">
        <v>4150</v>
      </c>
      <c r="W326" s="5" t="s">
        <v>2555</v>
      </c>
      <c r="X326" s="5" t="s">
        <v>2555</v>
      </c>
      <c r="Y326" s="4">
        <v>403</v>
      </c>
      <c r="Z326" s="4">
        <v>289</v>
      </c>
      <c r="AA326" s="4">
        <v>310</v>
      </c>
      <c r="AB326" s="4">
        <v>4</v>
      </c>
      <c r="AC326" s="4">
        <v>4</v>
      </c>
      <c r="AD326" s="4">
        <v>10</v>
      </c>
      <c r="AE326" s="4">
        <v>10</v>
      </c>
      <c r="AF326" s="4">
        <v>2</v>
      </c>
      <c r="AG326" s="4">
        <v>2</v>
      </c>
      <c r="AH326" s="4">
        <v>3</v>
      </c>
      <c r="AI326" s="4">
        <v>3</v>
      </c>
      <c r="AJ326" s="4">
        <v>6</v>
      </c>
      <c r="AK326" s="4">
        <v>6</v>
      </c>
      <c r="AL326" s="4">
        <v>2</v>
      </c>
      <c r="AM326" s="4">
        <v>2</v>
      </c>
      <c r="AN326" s="4">
        <v>0</v>
      </c>
      <c r="AO326" s="4">
        <v>0</v>
      </c>
      <c r="AP326" s="3" t="s">
        <v>58</v>
      </c>
      <c r="AQ326" s="3" t="s">
        <v>85</v>
      </c>
      <c r="AR326" s="6" t="str">
        <f>HYPERLINK("http://catalog.hathitrust.org/Record/000040580","HathiTrust Record")</f>
        <v>HathiTrust Record</v>
      </c>
      <c r="AS326" s="6" t="str">
        <f>HYPERLINK("https://creighton-primo.hosted.exlibrisgroup.com/primo-explore/search?tab=default_tab&amp;search_scope=EVERYTHING&amp;vid=01CRU&amp;lang=en_US&amp;offset=0&amp;query=any,contains,991000903869702656","Catalog Record")</f>
        <v>Catalog Record</v>
      </c>
      <c r="AT326" s="6" t="str">
        <f>HYPERLINK("http://www.worldcat.org/oclc/5101903","WorldCat Record")</f>
        <v>WorldCat Record</v>
      </c>
      <c r="AU326" s="3" t="s">
        <v>4162</v>
      </c>
      <c r="AV326" s="3" t="s">
        <v>4163</v>
      </c>
      <c r="AW326" s="3" t="s">
        <v>4164</v>
      </c>
      <c r="AX326" s="3" t="s">
        <v>4164</v>
      </c>
      <c r="AY326" s="3" t="s">
        <v>4165</v>
      </c>
      <c r="AZ326" s="3" t="s">
        <v>73</v>
      </c>
      <c r="BB326" s="3" t="s">
        <v>4166</v>
      </c>
      <c r="BC326" s="3" t="s">
        <v>4167</v>
      </c>
      <c r="BD326" s="3" t="s">
        <v>4168</v>
      </c>
    </row>
    <row r="327" spans="1:56" ht="40.5" customHeight="1" x14ac:dyDescent="0.25">
      <c r="A327" s="7" t="s">
        <v>58</v>
      </c>
      <c r="B327" s="2" t="s">
        <v>4169</v>
      </c>
      <c r="C327" s="2" t="s">
        <v>4170</v>
      </c>
      <c r="D327" s="2" t="s">
        <v>4171</v>
      </c>
      <c r="F327" s="3" t="s">
        <v>58</v>
      </c>
      <c r="G327" s="3" t="s">
        <v>59</v>
      </c>
      <c r="H327" s="3" t="s">
        <v>58</v>
      </c>
      <c r="I327" s="3" t="s">
        <v>58</v>
      </c>
      <c r="J327" s="3" t="s">
        <v>60</v>
      </c>
      <c r="K327" s="2" t="s">
        <v>4172</v>
      </c>
      <c r="L327" s="2" t="s">
        <v>4173</v>
      </c>
      <c r="M327" s="3" t="s">
        <v>1536</v>
      </c>
      <c r="N327" s="2" t="s">
        <v>288</v>
      </c>
      <c r="O327" s="3" t="s">
        <v>64</v>
      </c>
      <c r="P327" s="3" t="s">
        <v>2358</v>
      </c>
      <c r="R327" s="3" t="s">
        <v>66</v>
      </c>
      <c r="S327" s="4">
        <v>4</v>
      </c>
      <c r="T327" s="4">
        <v>4</v>
      </c>
      <c r="U327" s="5" t="s">
        <v>4174</v>
      </c>
      <c r="V327" s="5" t="s">
        <v>4174</v>
      </c>
      <c r="W327" s="5" t="s">
        <v>4175</v>
      </c>
      <c r="X327" s="5" t="s">
        <v>4175</v>
      </c>
      <c r="Y327" s="4">
        <v>305</v>
      </c>
      <c r="Z327" s="4">
        <v>156</v>
      </c>
      <c r="AA327" s="4">
        <v>358</v>
      </c>
      <c r="AB327" s="4">
        <v>1</v>
      </c>
      <c r="AC327" s="4">
        <v>3</v>
      </c>
      <c r="AD327" s="4">
        <v>7</v>
      </c>
      <c r="AE327" s="4">
        <v>15</v>
      </c>
      <c r="AF327" s="4">
        <v>3</v>
      </c>
      <c r="AG327" s="4">
        <v>5</v>
      </c>
      <c r="AH327" s="4">
        <v>3</v>
      </c>
      <c r="AI327" s="4">
        <v>5</v>
      </c>
      <c r="AJ327" s="4">
        <v>3</v>
      </c>
      <c r="AK327" s="4">
        <v>7</v>
      </c>
      <c r="AL327" s="4">
        <v>0</v>
      </c>
      <c r="AM327" s="4">
        <v>2</v>
      </c>
      <c r="AN327" s="4">
        <v>0</v>
      </c>
      <c r="AO327" s="4">
        <v>0</v>
      </c>
      <c r="AP327" s="3" t="s">
        <v>58</v>
      </c>
      <c r="AQ327" s="3" t="s">
        <v>58</v>
      </c>
      <c r="AS327" s="6" t="str">
        <f>HYPERLINK("https://creighton-primo.hosted.exlibrisgroup.com/primo-explore/search?tab=default_tab&amp;search_scope=EVERYTHING&amp;vid=01CRU&amp;lang=en_US&amp;offset=0&amp;query=any,contains,991000374839702656","Catalog Record")</f>
        <v>Catalog Record</v>
      </c>
      <c r="AT327" s="6" t="str">
        <f>HYPERLINK("http://www.worldcat.org/oclc/53178315","WorldCat Record")</f>
        <v>WorldCat Record</v>
      </c>
      <c r="AU327" s="3" t="s">
        <v>4176</v>
      </c>
      <c r="AV327" s="3" t="s">
        <v>4177</v>
      </c>
      <c r="AW327" s="3" t="s">
        <v>4178</v>
      </c>
      <c r="AX327" s="3" t="s">
        <v>4178</v>
      </c>
      <c r="AY327" s="3" t="s">
        <v>4179</v>
      </c>
      <c r="AZ327" s="3" t="s">
        <v>73</v>
      </c>
      <c r="BB327" s="3" t="s">
        <v>4180</v>
      </c>
      <c r="BC327" s="3" t="s">
        <v>4181</v>
      </c>
      <c r="BD327" s="3" t="s">
        <v>4182</v>
      </c>
    </row>
    <row r="328" spans="1:56" ht="40.5" customHeight="1" x14ac:dyDescent="0.25">
      <c r="A328" s="7" t="s">
        <v>58</v>
      </c>
      <c r="B328" s="2" t="s">
        <v>4183</v>
      </c>
      <c r="C328" s="2" t="s">
        <v>4184</v>
      </c>
      <c r="D328" s="2" t="s">
        <v>4185</v>
      </c>
      <c r="F328" s="3" t="s">
        <v>58</v>
      </c>
      <c r="G328" s="3" t="s">
        <v>59</v>
      </c>
      <c r="H328" s="3" t="s">
        <v>58</v>
      </c>
      <c r="I328" s="3" t="s">
        <v>58</v>
      </c>
      <c r="J328" s="3" t="s">
        <v>60</v>
      </c>
      <c r="L328" s="2" t="s">
        <v>4186</v>
      </c>
      <c r="M328" s="3" t="s">
        <v>496</v>
      </c>
      <c r="O328" s="3" t="s">
        <v>64</v>
      </c>
      <c r="P328" s="3" t="s">
        <v>674</v>
      </c>
      <c r="Q328" s="2" t="s">
        <v>4187</v>
      </c>
      <c r="R328" s="3" t="s">
        <v>66</v>
      </c>
      <c r="S328" s="4">
        <v>1</v>
      </c>
      <c r="T328" s="4">
        <v>1</v>
      </c>
      <c r="U328" s="5" t="s">
        <v>4188</v>
      </c>
      <c r="V328" s="5" t="s">
        <v>4188</v>
      </c>
      <c r="W328" s="5" t="s">
        <v>2555</v>
      </c>
      <c r="X328" s="5" t="s">
        <v>2555</v>
      </c>
      <c r="Y328" s="4">
        <v>23</v>
      </c>
      <c r="Z328" s="4">
        <v>15</v>
      </c>
      <c r="AA328" s="4">
        <v>207</v>
      </c>
      <c r="AB328" s="4">
        <v>1</v>
      </c>
      <c r="AC328" s="4">
        <v>2</v>
      </c>
      <c r="AD328" s="4">
        <v>0</v>
      </c>
      <c r="AE328" s="4">
        <v>6</v>
      </c>
      <c r="AF328" s="4">
        <v>0</v>
      </c>
      <c r="AG328" s="4">
        <v>1</v>
      </c>
      <c r="AH328" s="4">
        <v>0</v>
      </c>
      <c r="AI328" s="4">
        <v>2</v>
      </c>
      <c r="AJ328" s="4">
        <v>0</v>
      </c>
      <c r="AK328" s="4">
        <v>3</v>
      </c>
      <c r="AL328" s="4">
        <v>0</v>
      </c>
      <c r="AM328" s="4">
        <v>1</v>
      </c>
      <c r="AN328" s="4">
        <v>0</v>
      </c>
      <c r="AO328" s="4">
        <v>0</v>
      </c>
      <c r="AP328" s="3" t="s">
        <v>58</v>
      </c>
      <c r="AQ328" s="3" t="s">
        <v>58</v>
      </c>
      <c r="AS328" s="6" t="str">
        <f>HYPERLINK("https://creighton-primo.hosted.exlibrisgroup.com/primo-explore/search?tab=default_tab&amp;search_scope=EVERYTHING&amp;vid=01CRU&amp;lang=en_US&amp;offset=0&amp;query=any,contains,991000903829702656","Catalog Record")</f>
        <v>Catalog Record</v>
      </c>
      <c r="AT328" s="6" t="str">
        <f>HYPERLINK("http://www.worldcat.org/oclc/10726109","WorldCat Record")</f>
        <v>WorldCat Record</v>
      </c>
      <c r="AU328" s="3" t="s">
        <v>4189</v>
      </c>
      <c r="AV328" s="3" t="s">
        <v>4190</v>
      </c>
      <c r="AW328" s="3" t="s">
        <v>4191</v>
      </c>
      <c r="AX328" s="3" t="s">
        <v>4191</v>
      </c>
      <c r="AY328" s="3" t="s">
        <v>4192</v>
      </c>
      <c r="AZ328" s="3" t="s">
        <v>73</v>
      </c>
      <c r="BB328" s="3" t="s">
        <v>4193</v>
      </c>
      <c r="BC328" s="3" t="s">
        <v>4194</v>
      </c>
      <c r="BD328" s="3" t="s">
        <v>4195</v>
      </c>
    </row>
    <row r="329" spans="1:56" ht="40.5" customHeight="1" x14ac:dyDescent="0.25">
      <c r="A329" s="7" t="s">
        <v>58</v>
      </c>
      <c r="B329" s="2" t="s">
        <v>4196</v>
      </c>
      <c r="C329" s="2" t="s">
        <v>4197</v>
      </c>
      <c r="D329" s="2" t="s">
        <v>4198</v>
      </c>
      <c r="F329" s="3" t="s">
        <v>58</v>
      </c>
      <c r="G329" s="3" t="s">
        <v>59</v>
      </c>
      <c r="H329" s="3" t="s">
        <v>58</v>
      </c>
      <c r="I329" s="3" t="s">
        <v>58</v>
      </c>
      <c r="J329" s="3" t="s">
        <v>60</v>
      </c>
      <c r="L329" s="2" t="s">
        <v>3257</v>
      </c>
      <c r="M329" s="3" t="s">
        <v>726</v>
      </c>
      <c r="O329" s="3" t="s">
        <v>64</v>
      </c>
      <c r="P329" s="3" t="s">
        <v>65</v>
      </c>
      <c r="Q329" s="2" t="s">
        <v>4199</v>
      </c>
      <c r="R329" s="3" t="s">
        <v>66</v>
      </c>
      <c r="S329" s="4">
        <v>3</v>
      </c>
      <c r="T329" s="4">
        <v>3</v>
      </c>
      <c r="U329" s="5" t="s">
        <v>4200</v>
      </c>
      <c r="V329" s="5" t="s">
        <v>4200</v>
      </c>
      <c r="W329" s="5" t="s">
        <v>3315</v>
      </c>
      <c r="X329" s="5" t="s">
        <v>3315</v>
      </c>
      <c r="Y329" s="4">
        <v>112</v>
      </c>
      <c r="Z329" s="4">
        <v>76</v>
      </c>
      <c r="AA329" s="4">
        <v>94</v>
      </c>
      <c r="AB329" s="4">
        <v>2</v>
      </c>
      <c r="AC329" s="4">
        <v>2</v>
      </c>
      <c r="AD329" s="4">
        <v>3</v>
      </c>
      <c r="AE329" s="4">
        <v>3</v>
      </c>
      <c r="AF329" s="4">
        <v>0</v>
      </c>
      <c r="AG329" s="4">
        <v>0</v>
      </c>
      <c r="AH329" s="4">
        <v>1</v>
      </c>
      <c r="AI329" s="4">
        <v>1</v>
      </c>
      <c r="AJ329" s="4">
        <v>1</v>
      </c>
      <c r="AK329" s="4">
        <v>1</v>
      </c>
      <c r="AL329" s="4">
        <v>1</v>
      </c>
      <c r="AM329" s="4">
        <v>1</v>
      </c>
      <c r="AN329" s="4">
        <v>0</v>
      </c>
      <c r="AO329" s="4">
        <v>0</v>
      </c>
      <c r="AP329" s="3" t="s">
        <v>58</v>
      </c>
      <c r="AQ329" s="3" t="s">
        <v>85</v>
      </c>
      <c r="AR329" s="6" t="str">
        <f>HYPERLINK("http://catalog.hathitrust.org/Record/002219906","HathiTrust Record")</f>
        <v>HathiTrust Record</v>
      </c>
      <c r="AS329" s="6" t="str">
        <f>HYPERLINK("https://creighton-primo.hosted.exlibrisgroup.com/primo-explore/search?tab=default_tab&amp;search_scope=EVERYTHING&amp;vid=01CRU&amp;lang=en_US&amp;offset=0&amp;query=any,contains,991000827489702656","Catalog Record")</f>
        <v>Catalog Record</v>
      </c>
      <c r="AT329" s="6" t="str">
        <f>HYPERLINK("http://www.worldcat.org/oclc/21408385","WorldCat Record")</f>
        <v>WorldCat Record</v>
      </c>
      <c r="AU329" s="3" t="s">
        <v>4201</v>
      </c>
      <c r="AV329" s="3" t="s">
        <v>4202</v>
      </c>
      <c r="AW329" s="3" t="s">
        <v>4203</v>
      </c>
      <c r="AX329" s="3" t="s">
        <v>4203</v>
      </c>
      <c r="AY329" s="3" t="s">
        <v>4204</v>
      </c>
      <c r="AZ329" s="3" t="s">
        <v>73</v>
      </c>
      <c r="BB329" s="3" t="s">
        <v>4205</v>
      </c>
      <c r="BC329" s="3" t="s">
        <v>4206</v>
      </c>
      <c r="BD329" s="3" t="s">
        <v>4207</v>
      </c>
    </row>
    <row r="330" spans="1:56" ht="40.5" customHeight="1" x14ac:dyDescent="0.25">
      <c r="A330" s="7" t="s">
        <v>58</v>
      </c>
      <c r="B330" s="2" t="s">
        <v>4208</v>
      </c>
      <c r="C330" s="2" t="s">
        <v>4209</v>
      </c>
      <c r="D330" s="2" t="s">
        <v>4210</v>
      </c>
      <c r="F330" s="3" t="s">
        <v>58</v>
      </c>
      <c r="G330" s="3" t="s">
        <v>59</v>
      </c>
      <c r="H330" s="3" t="s">
        <v>58</v>
      </c>
      <c r="I330" s="3" t="s">
        <v>58</v>
      </c>
      <c r="J330" s="3" t="s">
        <v>60</v>
      </c>
      <c r="L330" s="2" t="s">
        <v>3231</v>
      </c>
      <c r="M330" s="3" t="s">
        <v>1067</v>
      </c>
      <c r="N330" s="2" t="s">
        <v>2273</v>
      </c>
      <c r="O330" s="3" t="s">
        <v>64</v>
      </c>
      <c r="P330" s="3" t="s">
        <v>135</v>
      </c>
      <c r="Q330" s="2" t="s">
        <v>118</v>
      </c>
      <c r="R330" s="3" t="s">
        <v>66</v>
      </c>
      <c r="S330" s="4">
        <v>5</v>
      </c>
      <c r="T330" s="4">
        <v>5</v>
      </c>
      <c r="U330" s="5" t="s">
        <v>4211</v>
      </c>
      <c r="V330" s="5" t="s">
        <v>4211</v>
      </c>
      <c r="W330" s="5" t="s">
        <v>120</v>
      </c>
      <c r="X330" s="5" t="s">
        <v>120</v>
      </c>
      <c r="Y330" s="4">
        <v>222</v>
      </c>
      <c r="Z330" s="4">
        <v>106</v>
      </c>
      <c r="AA330" s="4">
        <v>111</v>
      </c>
      <c r="AB330" s="4">
        <v>2</v>
      </c>
      <c r="AC330" s="4">
        <v>2</v>
      </c>
      <c r="AD330" s="4">
        <v>6</v>
      </c>
      <c r="AE330" s="4">
        <v>6</v>
      </c>
      <c r="AF330" s="4">
        <v>2</v>
      </c>
      <c r="AG330" s="4">
        <v>2</v>
      </c>
      <c r="AH330" s="4">
        <v>2</v>
      </c>
      <c r="AI330" s="4">
        <v>2</v>
      </c>
      <c r="AJ330" s="4">
        <v>3</v>
      </c>
      <c r="AK330" s="4">
        <v>3</v>
      </c>
      <c r="AL330" s="4">
        <v>1</v>
      </c>
      <c r="AM330" s="4">
        <v>1</v>
      </c>
      <c r="AN330" s="4">
        <v>0</v>
      </c>
      <c r="AO330" s="4">
        <v>0</v>
      </c>
      <c r="AP330" s="3" t="s">
        <v>58</v>
      </c>
      <c r="AQ330" s="3" t="s">
        <v>85</v>
      </c>
      <c r="AR330" s="6" t="str">
        <f>HYPERLINK("http://catalog.hathitrust.org/Record/002557351","HathiTrust Record")</f>
        <v>HathiTrust Record</v>
      </c>
      <c r="AS330" s="6" t="str">
        <f>HYPERLINK("https://creighton-primo.hosted.exlibrisgroup.com/primo-explore/search?tab=default_tab&amp;search_scope=EVERYTHING&amp;vid=01CRU&amp;lang=en_US&amp;offset=0&amp;query=any,contains,991001013129702656","Catalog Record")</f>
        <v>Catalog Record</v>
      </c>
      <c r="AT330" s="6" t="str">
        <f>HYPERLINK("http://www.worldcat.org/oclc/23733261","WorldCat Record")</f>
        <v>WorldCat Record</v>
      </c>
      <c r="AU330" s="3" t="s">
        <v>4212</v>
      </c>
      <c r="AV330" s="3" t="s">
        <v>4213</v>
      </c>
      <c r="AW330" s="3" t="s">
        <v>4214</v>
      </c>
      <c r="AX330" s="3" t="s">
        <v>4214</v>
      </c>
      <c r="AY330" s="3" t="s">
        <v>4215</v>
      </c>
      <c r="AZ330" s="3" t="s">
        <v>73</v>
      </c>
      <c r="BB330" s="3" t="s">
        <v>4216</v>
      </c>
      <c r="BC330" s="3" t="s">
        <v>4217</v>
      </c>
      <c r="BD330" s="3" t="s">
        <v>4218</v>
      </c>
    </row>
    <row r="331" spans="1:56" ht="40.5" customHeight="1" x14ac:dyDescent="0.25">
      <c r="A331" s="7" t="s">
        <v>58</v>
      </c>
      <c r="B331" s="2" t="s">
        <v>4219</v>
      </c>
      <c r="C331" s="2" t="s">
        <v>4220</v>
      </c>
      <c r="D331" s="2" t="s">
        <v>4221</v>
      </c>
      <c r="F331" s="3" t="s">
        <v>58</v>
      </c>
      <c r="G331" s="3" t="s">
        <v>59</v>
      </c>
      <c r="H331" s="3" t="s">
        <v>58</v>
      </c>
      <c r="I331" s="3" t="s">
        <v>58</v>
      </c>
      <c r="J331" s="3" t="s">
        <v>60</v>
      </c>
      <c r="K331" s="2" t="s">
        <v>4222</v>
      </c>
      <c r="L331" s="2" t="s">
        <v>466</v>
      </c>
      <c r="M331" s="3" t="s">
        <v>467</v>
      </c>
      <c r="N331" s="2" t="s">
        <v>198</v>
      </c>
      <c r="O331" s="3" t="s">
        <v>64</v>
      </c>
      <c r="P331" s="3" t="s">
        <v>135</v>
      </c>
      <c r="R331" s="3" t="s">
        <v>66</v>
      </c>
      <c r="S331" s="4">
        <v>2</v>
      </c>
      <c r="T331" s="4">
        <v>2</v>
      </c>
      <c r="U331" s="5" t="s">
        <v>4211</v>
      </c>
      <c r="V331" s="5" t="s">
        <v>4211</v>
      </c>
      <c r="W331" s="5" t="s">
        <v>2555</v>
      </c>
      <c r="X331" s="5" t="s">
        <v>2555</v>
      </c>
      <c r="Y331" s="4">
        <v>201</v>
      </c>
      <c r="Z331" s="4">
        <v>128</v>
      </c>
      <c r="AA331" s="4">
        <v>215</v>
      </c>
      <c r="AB331" s="4">
        <v>3</v>
      </c>
      <c r="AC331" s="4">
        <v>3</v>
      </c>
      <c r="AD331" s="4">
        <v>10</v>
      </c>
      <c r="AE331" s="4">
        <v>10</v>
      </c>
      <c r="AF331" s="4">
        <v>4</v>
      </c>
      <c r="AG331" s="4">
        <v>4</v>
      </c>
      <c r="AH331" s="4">
        <v>2</v>
      </c>
      <c r="AI331" s="4">
        <v>2</v>
      </c>
      <c r="AJ331" s="4">
        <v>6</v>
      </c>
      <c r="AK331" s="4">
        <v>6</v>
      </c>
      <c r="AL331" s="4">
        <v>2</v>
      </c>
      <c r="AM331" s="4">
        <v>2</v>
      </c>
      <c r="AN331" s="4">
        <v>0</v>
      </c>
      <c r="AO331" s="4">
        <v>0</v>
      </c>
      <c r="AP331" s="3" t="s">
        <v>58</v>
      </c>
      <c r="AQ331" s="3" t="s">
        <v>85</v>
      </c>
      <c r="AR331" s="6" t="str">
        <f>HYPERLINK("http://catalog.hathitrust.org/Record/000570427","HathiTrust Record")</f>
        <v>HathiTrust Record</v>
      </c>
      <c r="AS331" s="6" t="str">
        <f>HYPERLINK("https://creighton-primo.hosted.exlibrisgroup.com/primo-explore/search?tab=default_tab&amp;search_scope=EVERYTHING&amp;vid=01CRU&amp;lang=en_US&amp;offset=0&amp;query=any,contains,991000904149702656","Catalog Record")</f>
        <v>Catalog Record</v>
      </c>
      <c r="AT331" s="6" t="str">
        <f>HYPERLINK("http://www.worldcat.org/oclc/7807074","WorldCat Record")</f>
        <v>WorldCat Record</v>
      </c>
      <c r="AU331" s="3" t="s">
        <v>4223</v>
      </c>
      <c r="AV331" s="3" t="s">
        <v>4224</v>
      </c>
      <c r="AW331" s="3" t="s">
        <v>4225</v>
      </c>
      <c r="AX331" s="3" t="s">
        <v>4225</v>
      </c>
      <c r="AY331" s="3" t="s">
        <v>4226</v>
      </c>
      <c r="AZ331" s="3" t="s">
        <v>73</v>
      </c>
      <c r="BB331" s="3" t="s">
        <v>4227</v>
      </c>
      <c r="BC331" s="3" t="s">
        <v>4228</v>
      </c>
      <c r="BD331" s="3" t="s">
        <v>4229</v>
      </c>
    </row>
    <row r="332" spans="1:56" ht="40.5" customHeight="1" x14ac:dyDescent="0.25">
      <c r="A332" s="7" t="s">
        <v>58</v>
      </c>
      <c r="B332" s="2" t="s">
        <v>4230</v>
      </c>
      <c r="C332" s="2" t="s">
        <v>4231</v>
      </c>
      <c r="D332" s="2" t="s">
        <v>4232</v>
      </c>
      <c r="F332" s="3" t="s">
        <v>58</v>
      </c>
      <c r="G332" s="3" t="s">
        <v>59</v>
      </c>
      <c r="H332" s="3" t="s">
        <v>58</v>
      </c>
      <c r="I332" s="3" t="s">
        <v>58</v>
      </c>
      <c r="J332" s="3" t="s">
        <v>59</v>
      </c>
      <c r="K332" s="2" t="s">
        <v>4233</v>
      </c>
      <c r="L332" s="2" t="s">
        <v>4234</v>
      </c>
      <c r="M332" s="3" t="s">
        <v>63</v>
      </c>
      <c r="O332" s="3" t="s">
        <v>64</v>
      </c>
      <c r="P332" s="3" t="s">
        <v>135</v>
      </c>
      <c r="R332" s="3" t="s">
        <v>66</v>
      </c>
      <c r="S332" s="4">
        <v>5</v>
      </c>
      <c r="T332" s="4">
        <v>5</v>
      </c>
      <c r="U332" s="5" t="s">
        <v>4235</v>
      </c>
      <c r="V332" s="5" t="s">
        <v>4235</v>
      </c>
      <c r="W332" s="5" t="s">
        <v>2555</v>
      </c>
      <c r="X332" s="5" t="s">
        <v>2555</v>
      </c>
      <c r="Y332" s="4">
        <v>456</v>
      </c>
      <c r="Z332" s="4">
        <v>289</v>
      </c>
      <c r="AA332" s="4">
        <v>735</v>
      </c>
      <c r="AB332" s="4">
        <v>2</v>
      </c>
      <c r="AC332" s="4">
        <v>8</v>
      </c>
      <c r="AD332" s="4">
        <v>11</v>
      </c>
      <c r="AE332" s="4">
        <v>32</v>
      </c>
      <c r="AF332" s="4">
        <v>3</v>
      </c>
      <c r="AG332" s="4">
        <v>9</v>
      </c>
      <c r="AH332" s="4">
        <v>4</v>
      </c>
      <c r="AI332" s="4">
        <v>8</v>
      </c>
      <c r="AJ332" s="4">
        <v>9</v>
      </c>
      <c r="AK332" s="4">
        <v>14</v>
      </c>
      <c r="AL332" s="4">
        <v>1</v>
      </c>
      <c r="AM332" s="4">
        <v>7</v>
      </c>
      <c r="AN332" s="4">
        <v>0</v>
      </c>
      <c r="AO332" s="4">
        <v>1</v>
      </c>
      <c r="AP332" s="3" t="s">
        <v>58</v>
      </c>
      <c r="AQ332" s="3" t="s">
        <v>85</v>
      </c>
      <c r="AR332" s="6" t="str">
        <f>HYPERLINK("http://catalog.hathitrust.org/Record/000452313","HathiTrust Record")</f>
        <v>HathiTrust Record</v>
      </c>
      <c r="AS332" s="6" t="str">
        <f>HYPERLINK("https://creighton-primo.hosted.exlibrisgroup.com/primo-explore/search?tab=default_tab&amp;search_scope=EVERYTHING&amp;vid=01CRU&amp;lang=en_US&amp;offset=0&amp;query=any,contains,991000904219702656","Catalog Record")</f>
        <v>Catalog Record</v>
      </c>
      <c r="AT332" s="6" t="str">
        <f>HYPERLINK("http://www.worldcat.org/oclc/8368902","WorldCat Record")</f>
        <v>WorldCat Record</v>
      </c>
      <c r="AU332" s="3" t="s">
        <v>4236</v>
      </c>
      <c r="AV332" s="3" t="s">
        <v>4237</v>
      </c>
      <c r="AW332" s="3" t="s">
        <v>4238</v>
      </c>
      <c r="AX332" s="3" t="s">
        <v>4238</v>
      </c>
      <c r="AY332" s="3" t="s">
        <v>4239</v>
      </c>
      <c r="AZ332" s="3" t="s">
        <v>73</v>
      </c>
      <c r="BB332" s="3" t="s">
        <v>4240</v>
      </c>
      <c r="BC332" s="3" t="s">
        <v>4241</v>
      </c>
      <c r="BD332" s="3" t="s">
        <v>4242</v>
      </c>
    </row>
    <row r="333" spans="1:56" ht="40.5" customHeight="1" x14ac:dyDescent="0.25">
      <c r="A333" s="7" t="s">
        <v>58</v>
      </c>
      <c r="B333" s="2" t="s">
        <v>4243</v>
      </c>
      <c r="C333" s="2" t="s">
        <v>4244</v>
      </c>
      <c r="D333" s="2" t="s">
        <v>4245</v>
      </c>
      <c r="F333" s="3" t="s">
        <v>58</v>
      </c>
      <c r="G333" s="3" t="s">
        <v>59</v>
      </c>
      <c r="H333" s="3" t="s">
        <v>58</v>
      </c>
      <c r="I333" s="3" t="s">
        <v>58</v>
      </c>
      <c r="J333" s="3" t="s">
        <v>60</v>
      </c>
      <c r="L333" s="2" t="s">
        <v>4246</v>
      </c>
      <c r="M333" s="3" t="s">
        <v>1067</v>
      </c>
      <c r="O333" s="3" t="s">
        <v>64</v>
      </c>
      <c r="P333" s="3" t="s">
        <v>135</v>
      </c>
      <c r="Q333" s="2" t="s">
        <v>4247</v>
      </c>
      <c r="R333" s="3" t="s">
        <v>66</v>
      </c>
      <c r="S333" s="4">
        <v>6</v>
      </c>
      <c r="T333" s="4">
        <v>6</v>
      </c>
      <c r="U333" s="5" t="s">
        <v>67</v>
      </c>
      <c r="V333" s="5" t="s">
        <v>67</v>
      </c>
      <c r="W333" s="5" t="s">
        <v>4248</v>
      </c>
      <c r="X333" s="5" t="s">
        <v>4248</v>
      </c>
      <c r="Y333" s="4">
        <v>212</v>
      </c>
      <c r="Z333" s="4">
        <v>138</v>
      </c>
      <c r="AA333" s="4">
        <v>139</v>
      </c>
      <c r="AB333" s="4">
        <v>2</v>
      </c>
      <c r="AC333" s="4">
        <v>2</v>
      </c>
      <c r="AD333" s="4">
        <v>6</v>
      </c>
      <c r="AE333" s="4">
        <v>6</v>
      </c>
      <c r="AF333" s="4">
        <v>3</v>
      </c>
      <c r="AG333" s="4">
        <v>3</v>
      </c>
      <c r="AH333" s="4">
        <v>1</v>
      </c>
      <c r="AI333" s="4">
        <v>1</v>
      </c>
      <c r="AJ333" s="4">
        <v>1</v>
      </c>
      <c r="AK333" s="4">
        <v>1</v>
      </c>
      <c r="AL333" s="4">
        <v>1</v>
      </c>
      <c r="AM333" s="4">
        <v>1</v>
      </c>
      <c r="AN333" s="4">
        <v>0</v>
      </c>
      <c r="AO333" s="4">
        <v>0</v>
      </c>
      <c r="AP333" s="3" t="s">
        <v>58</v>
      </c>
      <c r="AQ333" s="3" t="s">
        <v>58</v>
      </c>
      <c r="AS333" s="6" t="str">
        <f>HYPERLINK("https://creighton-primo.hosted.exlibrisgroup.com/primo-explore/search?tab=default_tab&amp;search_scope=EVERYTHING&amp;vid=01CRU&amp;lang=en_US&amp;offset=0&amp;query=any,contains,991001342369702656","Catalog Record")</f>
        <v>Catalog Record</v>
      </c>
      <c r="AT333" s="6" t="str">
        <f>HYPERLINK("http://www.worldcat.org/oclc/21334370","WorldCat Record")</f>
        <v>WorldCat Record</v>
      </c>
      <c r="AU333" s="3" t="s">
        <v>4249</v>
      </c>
      <c r="AV333" s="3" t="s">
        <v>4250</v>
      </c>
      <c r="AW333" s="3" t="s">
        <v>4251</v>
      </c>
      <c r="AX333" s="3" t="s">
        <v>4251</v>
      </c>
      <c r="AY333" s="3" t="s">
        <v>4252</v>
      </c>
      <c r="AZ333" s="3" t="s">
        <v>73</v>
      </c>
      <c r="BB333" s="3" t="s">
        <v>4253</v>
      </c>
      <c r="BC333" s="3" t="s">
        <v>4254</v>
      </c>
      <c r="BD333" s="3" t="s">
        <v>4255</v>
      </c>
    </row>
    <row r="334" spans="1:56" ht="40.5" customHeight="1" x14ac:dyDescent="0.25">
      <c r="A334" s="7" t="s">
        <v>58</v>
      </c>
      <c r="B334" s="2" t="s">
        <v>4256</v>
      </c>
      <c r="C334" s="2" t="s">
        <v>4257</v>
      </c>
      <c r="D334" s="2" t="s">
        <v>4258</v>
      </c>
      <c r="F334" s="3" t="s">
        <v>58</v>
      </c>
      <c r="G334" s="3" t="s">
        <v>59</v>
      </c>
      <c r="H334" s="3" t="s">
        <v>58</v>
      </c>
      <c r="I334" s="3" t="s">
        <v>58</v>
      </c>
      <c r="J334" s="3" t="s">
        <v>60</v>
      </c>
      <c r="L334" s="2" t="s">
        <v>4259</v>
      </c>
      <c r="M334" s="3" t="s">
        <v>759</v>
      </c>
      <c r="O334" s="3" t="s">
        <v>64</v>
      </c>
      <c r="P334" s="3" t="s">
        <v>886</v>
      </c>
      <c r="R334" s="3" t="s">
        <v>66</v>
      </c>
      <c r="S334" s="4">
        <v>3</v>
      </c>
      <c r="T334" s="4">
        <v>3</v>
      </c>
      <c r="U334" s="5" t="s">
        <v>4260</v>
      </c>
      <c r="V334" s="5" t="s">
        <v>4260</v>
      </c>
      <c r="W334" s="5" t="s">
        <v>4261</v>
      </c>
      <c r="X334" s="5" t="s">
        <v>4261</v>
      </c>
      <c r="Y334" s="4">
        <v>69</v>
      </c>
      <c r="Z334" s="4">
        <v>54</v>
      </c>
      <c r="AA334" s="4">
        <v>54</v>
      </c>
      <c r="AB334" s="4">
        <v>1</v>
      </c>
      <c r="AC334" s="4">
        <v>1</v>
      </c>
      <c r="AD334" s="4">
        <v>1</v>
      </c>
      <c r="AE334" s="4">
        <v>1</v>
      </c>
      <c r="AF334" s="4">
        <v>0</v>
      </c>
      <c r="AG334" s="4">
        <v>0</v>
      </c>
      <c r="AH334" s="4">
        <v>1</v>
      </c>
      <c r="AI334" s="4">
        <v>1</v>
      </c>
      <c r="AJ334" s="4">
        <v>0</v>
      </c>
      <c r="AK334" s="4">
        <v>0</v>
      </c>
      <c r="AL334" s="4">
        <v>0</v>
      </c>
      <c r="AM334" s="4">
        <v>0</v>
      </c>
      <c r="AN334" s="4">
        <v>0</v>
      </c>
      <c r="AO334" s="4">
        <v>0</v>
      </c>
      <c r="AP334" s="3" t="s">
        <v>58</v>
      </c>
      <c r="AQ334" s="3" t="s">
        <v>58</v>
      </c>
      <c r="AS334" s="6" t="str">
        <f>HYPERLINK("https://creighton-primo.hosted.exlibrisgroup.com/primo-explore/search?tab=default_tab&amp;search_scope=EVERYTHING&amp;vid=01CRU&amp;lang=en_US&amp;offset=0&amp;query=any,contains,991000685199702656","Catalog Record")</f>
        <v>Catalog Record</v>
      </c>
      <c r="AT334" s="6" t="str">
        <f>HYPERLINK("http://www.worldcat.org/oclc/30703149","WorldCat Record")</f>
        <v>WorldCat Record</v>
      </c>
      <c r="AU334" s="3" t="s">
        <v>4262</v>
      </c>
      <c r="AV334" s="3" t="s">
        <v>4263</v>
      </c>
      <c r="AW334" s="3" t="s">
        <v>4264</v>
      </c>
      <c r="AX334" s="3" t="s">
        <v>4264</v>
      </c>
      <c r="AY334" s="3" t="s">
        <v>4265</v>
      </c>
      <c r="AZ334" s="3" t="s">
        <v>73</v>
      </c>
      <c r="BB334" s="3" t="s">
        <v>4266</v>
      </c>
      <c r="BC334" s="3" t="s">
        <v>4267</v>
      </c>
      <c r="BD334" s="3" t="s">
        <v>4268</v>
      </c>
    </row>
    <row r="335" spans="1:56" ht="40.5" customHeight="1" x14ac:dyDescent="0.25">
      <c r="A335" s="7" t="s">
        <v>58</v>
      </c>
      <c r="B335" s="2" t="s">
        <v>4269</v>
      </c>
      <c r="C335" s="2" t="s">
        <v>4270</v>
      </c>
      <c r="D335" s="2" t="s">
        <v>4271</v>
      </c>
      <c r="F335" s="3" t="s">
        <v>58</v>
      </c>
      <c r="G335" s="3" t="s">
        <v>59</v>
      </c>
      <c r="H335" s="3" t="s">
        <v>58</v>
      </c>
      <c r="I335" s="3" t="s">
        <v>58</v>
      </c>
      <c r="J335" s="3" t="s">
        <v>60</v>
      </c>
      <c r="L335" s="2" t="s">
        <v>4272</v>
      </c>
      <c r="M335" s="3" t="s">
        <v>63</v>
      </c>
      <c r="O335" s="3" t="s">
        <v>64</v>
      </c>
      <c r="P335" s="3" t="s">
        <v>117</v>
      </c>
      <c r="Q335" s="2" t="s">
        <v>4273</v>
      </c>
      <c r="R335" s="3" t="s">
        <v>66</v>
      </c>
      <c r="S335" s="4">
        <v>4</v>
      </c>
      <c r="T335" s="4">
        <v>4</v>
      </c>
      <c r="U335" s="5" t="s">
        <v>4274</v>
      </c>
      <c r="V335" s="5" t="s">
        <v>4274</v>
      </c>
      <c r="W335" s="5" t="s">
        <v>2555</v>
      </c>
      <c r="X335" s="5" t="s">
        <v>2555</v>
      </c>
      <c r="Y335" s="4">
        <v>215</v>
      </c>
      <c r="Z335" s="4">
        <v>160</v>
      </c>
      <c r="AA335" s="4">
        <v>162</v>
      </c>
      <c r="AB335" s="4">
        <v>1</v>
      </c>
      <c r="AC335" s="4">
        <v>1</v>
      </c>
      <c r="AD335" s="4">
        <v>2</v>
      </c>
      <c r="AE335" s="4">
        <v>2</v>
      </c>
      <c r="AF335" s="4">
        <v>1</v>
      </c>
      <c r="AG335" s="4">
        <v>1</v>
      </c>
      <c r="AH335" s="4">
        <v>1</v>
      </c>
      <c r="AI335" s="4">
        <v>1</v>
      </c>
      <c r="AJ335" s="4">
        <v>2</v>
      </c>
      <c r="AK335" s="4">
        <v>2</v>
      </c>
      <c r="AL335" s="4">
        <v>0</v>
      </c>
      <c r="AM335" s="4">
        <v>0</v>
      </c>
      <c r="AN335" s="4">
        <v>0</v>
      </c>
      <c r="AO335" s="4">
        <v>0</v>
      </c>
      <c r="AP335" s="3" t="s">
        <v>58</v>
      </c>
      <c r="AQ335" s="3" t="s">
        <v>85</v>
      </c>
      <c r="AR335" s="6" t="str">
        <f>HYPERLINK("http://catalog.hathitrust.org/Record/000311975","HathiTrust Record")</f>
        <v>HathiTrust Record</v>
      </c>
      <c r="AS335" s="6" t="str">
        <f>HYPERLINK("https://creighton-primo.hosted.exlibrisgroup.com/primo-explore/search?tab=default_tab&amp;search_scope=EVERYTHING&amp;vid=01CRU&amp;lang=en_US&amp;offset=0&amp;query=any,contains,991000904439702656","Catalog Record")</f>
        <v>Catalog Record</v>
      </c>
      <c r="AT335" s="6" t="str">
        <f>HYPERLINK("http://www.worldcat.org/oclc/8629665","WorldCat Record")</f>
        <v>WorldCat Record</v>
      </c>
      <c r="AU335" s="3" t="s">
        <v>4275</v>
      </c>
      <c r="AV335" s="3" t="s">
        <v>4276</v>
      </c>
      <c r="AW335" s="3" t="s">
        <v>4277</v>
      </c>
      <c r="AX335" s="3" t="s">
        <v>4277</v>
      </c>
      <c r="AY335" s="3" t="s">
        <v>4278</v>
      </c>
      <c r="AZ335" s="3" t="s">
        <v>73</v>
      </c>
      <c r="BB335" s="3" t="s">
        <v>4279</v>
      </c>
      <c r="BC335" s="3" t="s">
        <v>4280</v>
      </c>
      <c r="BD335" s="3" t="s">
        <v>4281</v>
      </c>
    </row>
    <row r="336" spans="1:56" ht="40.5" customHeight="1" x14ac:dyDescent="0.25">
      <c r="A336" s="7" t="s">
        <v>58</v>
      </c>
      <c r="B336" s="2" t="s">
        <v>4282</v>
      </c>
      <c r="C336" s="2" t="s">
        <v>4283</v>
      </c>
      <c r="D336" s="2" t="s">
        <v>4284</v>
      </c>
      <c r="E336" s="3" t="s">
        <v>108</v>
      </c>
      <c r="F336" s="3" t="s">
        <v>85</v>
      </c>
      <c r="G336" s="3" t="s">
        <v>59</v>
      </c>
      <c r="H336" s="3" t="s">
        <v>58</v>
      </c>
      <c r="I336" s="3" t="s">
        <v>58</v>
      </c>
      <c r="J336" s="3" t="s">
        <v>60</v>
      </c>
      <c r="L336" s="2" t="s">
        <v>1378</v>
      </c>
      <c r="M336" s="3" t="s">
        <v>496</v>
      </c>
      <c r="O336" s="3" t="s">
        <v>64</v>
      </c>
      <c r="P336" s="3" t="s">
        <v>886</v>
      </c>
      <c r="R336" s="3" t="s">
        <v>66</v>
      </c>
      <c r="S336" s="4">
        <v>2</v>
      </c>
      <c r="T336" s="4">
        <v>2</v>
      </c>
      <c r="U336" s="5" t="s">
        <v>4211</v>
      </c>
      <c r="V336" s="5" t="s">
        <v>4211</v>
      </c>
      <c r="W336" s="5" t="s">
        <v>4285</v>
      </c>
      <c r="X336" s="5" t="s">
        <v>4286</v>
      </c>
      <c r="Y336" s="4">
        <v>199</v>
      </c>
      <c r="Z336" s="4">
        <v>151</v>
      </c>
      <c r="AA336" s="4">
        <v>154</v>
      </c>
      <c r="AB336" s="4">
        <v>2</v>
      </c>
      <c r="AC336" s="4">
        <v>2</v>
      </c>
      <c r="AD336" s="4">
        <v>4</v>
      </c>
      <c r="AE336" s="4">
        <v>4</v>
      </c>
      <c r="AF336" s="4">
        <v>1</v>
      </c>
      <c r="AG336" s="4">
        <v>1</v>
      </c>
      <c r="AH336" s="4">
        <v>0</v>
      </c>
      <c r="AI336" s="4">
        <v>0</v>
      </c>
      <c r="AJ336" s="4">
        <v>3</v>
      </c>
      <c r="AK336" s="4">
        <v>3</v>
      </c>
      <c r="AL336" s="4">
        <v>1</v>
      </c>
      <c r="AM336" s="4">
        <v>1</v>
      </c>
      <c r="AN336" s="4">
        <v>0</v>
      </c>
      <c r="AO336" s="4">
        <v>0</v>
      </c>
      <c r="AP336" s="3" t="s">
        <v>58</v>
      </c>
      <c r="AQ336" s="3" t="s">
        <v>85</v>
      </c>
      <c r="AR336" s="6" t="str">
        <f>HYPERLINK("http://catalog.hathitrust.org/Record/000166789","HathiTrust Record")</f>
        <v>HathiTrust Record</v>
      </c>
      <c r="AS336" s="6" t="str">
        <f>HYPERLINK("https://creighton-primo.hosted.exlibrisgroup.com/primo-explore/search?tab=default_tab&amp;search_scope=EVERYTHING&amp;vid=01CRU&amp;lang=en_US&amp;offset=0&amp;query=any,contains,991000904479702656","Catalog Record")</f>
        <v>Catalog Record</v>
      </c>
      <c r="AT336" s="6" t="str">
        <f>HYPERLINK("http://www.worldcat.org/oclc/9111986","WorldCat Record")</f>
        <v>WorldCat Record</v>
      </c>
      <c r="AU336" s="3" t="s">
        <v>4287</v>
      </c>
      <c r="AV336" s="3" t="s">
        <v>4288</v>
      </c>
      <c r="AW336" s="3" t="s">
        <v>4289</v>
      </c>
      <c r="AX336" s="3" t="s">
        <v>4289</v>
      </c>
      <c r="AY336" s="3" t="s">
        <v>4290</v>
      </c>
      <c r="AZ336" s="3" t="s">
        <v>73</v>
      </c>
      <c r="BB336" s="3" t="s">
        <v>4291</v>
      </c>
      <c r="BC336" s="3" t="s">
        <v>4292</v>
      </c>
      <c r="BD336" s="3" t="s">
        <v>4293</v>
      </c>
    </row>
    <row r="337" spans="1:56" ht="40.5" customHeight="1" x14ac:dyDescent="0.25">
      <c r="A337" s="7" t="s">
        <v>58</v>
      </c>
      <c r="B337" s="2" t="s">
        <v>4282</v>
      </c>
      <c r="C337" s="2" t="s">
        <v>4283</v>
      </c>
      <c r="D337" s="2" t="s">
        <v>4284</v>
      </c>
      <c r="E337" s="3" t="s">
        <v>258</v>
      </c>
      <c r="F337" s="3" t="s">
        <v>85</v>
      </c>
      <c r="G337" s="3" t="s">
        <v>59</v>
      </c>
      <c r="H337" s="3" t="s">
        <v>58</v>
      </c>
      <c r="I337" s="3" t="s">
        <v>58</v>
      </c>
      <c r="J337" s="3" t="s">
        <v>60</v>
      </c>
      <c r="L337" s="2" t="s">
        <v>1378</v>
      </c>
      <c r="M337" s="3" t="s">
        <v>496</v>
      </c>
      <c r="O337" s="3" t="s">
        <v>64</v>
      </c>
      <c r="P337" s="3" t="s">
        <v>886</v>
      </c>
      <c r="R337" s="3" t="s">
        <v>66</v>
      </c>
      <c r="S337" s="4">
        <v>0</v>
      </c>
      <c r="T337" s="4">
        <v>2</v>
      </c>
      <c r="V337" s="5" t="s">
        <v>4211</v>
      </c>
      <c r="W337" s="5" t="s">
        <v>4286</v>
      </c>
      <c r="X337" s="5" t="s">
        <v>4286</v>
      </c>
      <c r="Y337" s="4">
        <v>199</v>
      </c>
      <c r="Z337" s="4">
        <v>151</v>
      </c>
      <c r="AA337" s="4">
        <v>154</v>
      </c>
      <c r="AB337" s="4">
        <v>2</v>
      </c>
      <c r="AC337" s="4">
        <v>2</v>
      </c>
      <c r="AD337" s="4">
        <v>4</v>
      </c>
      <c r="AE337" s="4">
        <v>4</v>
      </c>
      <c r="AF337" s="4">
        <v>1</v>
      </c>
      <c r="AG337" s="4">
        <v>1</v>
      </c>
      <c r="AH337" s="4">
        <v>0</v>
      </c>
      <c r="AI337" s="4">
        <v>0</v>
      </c>
      <c r="AJ337" s="4">
        <v>3</v>
      </c>
      <c r="AK337" s="4">
        <v>3</v>
      </c>
      <c r="AL337" s="4">
        <v>1</v>
      </c>
      <c r="AM337" s="4">
        <v>1</v>
      </c>
      <c r="AN337" s="4">
        <v>0</v>
      </c>
      <c r="AO337" s="4">
        <v>0</v>
      </c>
      <c r="AP337" s="3" t="s">
        <v>58</v>
      </c>
      <c r="AQ337" s="3" t="s">
        <v>85</v>
      </c>
      <c r="AR337" s="6" t="str">
        <f>HYPERLINK("http://catalog.hathitrust.org/Record/000166789","HathiTrust Record")</f>
        <v>HathiTrust Record</v>
      </c>
      <c r="AS337" s="6" t="str">
        <f>HYPERLINK("https://creighton-primo.hosted.exlibrisgroup.com/primo-explore/search?tab=default_tab&amp;search_scope=EVERYTHING&amp;vid=01CRU&amp;lang=en_US&amp;offset=0&amp;query=any,contains,991000904479702656","Catalog Record")</f>
        <v>Catalog Record</v>
      </c>
      <c r="AT337" s="6" t="str">
        <f>HYPERLINK("http://www.worldcat.org/oclc/9111986","WorldCat Record")</f>
        <v>WorldCat Record</v>
      </c>
      <c r="AU337" s="3" t="s">
        <v>4287</v>
      </c>
      <c r="AV337" s="3" t="s">
        <v>4288</v>
      </c>
      <c r="AW337" s="3" t="s">
        <v>4289</v>
      </c>
      <c r="AX337" s="3" t="s">
        <v>4289</v>
      </c>
      <c r="AY337" s="3" t="s">
        <v>4290</v>
      </c>
      <c r="AZ337" s="3" t="s">
        <v>73</v>
      </c>
      <c r="BB337" s="3" t="s">
        <v>4291</v>
      </c>
      <c r="BC337" s="3" t="s">
        <v>4294</v>
      </c>
      <c r="BD337" s="3" t="s">
        <v>4295</v>
      </c>
    </row>
    <row r="338" spans="1:56" ht="40.5" customHeight="1" x14ac:dyDescent="0.25">
      <c r="A338" s="7" t="s">
        <v>58</v>
      </c>
      <c r="B338" s="2" t="s">
        <v>4282</v>
      </c>
      <c r="C338" s="2" t="s">
        <v>4283</v>
      </c>
      <c r="D338" s="2" t="s">
        <v>4284</v>
      </c>
      <c r="E338" s="3" t="s">
        <v>96</v>
      </c>
      <c r="F338" s="3" t="s">
        <v>85</v>
      </c>
      <c r="G338" s="3" t="s">
        <v>59</v>
      </c>
      <c r="H338" s="3" t="s">
        <v>58</v>
      </c>
      <c r="I338" s="3" t="s">
        <v>58</v>
      </c>
      <c r="J338" s="3" t="s">
        <v>60</v>
      </c>
      <c r="L338" s="2" t="s">
        <v>1378</v>
      </c>
      <c r="M338" s="3" t="s">
        <v>496</v>
      </c>
      <c r="O338" s="3" t="s">
        <v>64</v>
      </c>
      <c r="P338" s="3" t="s">
        <v>886</v>
      </c>
      <c r="R338" s="3" t="s">
        <v>66</v>
      </c>
      <c r="S338" s="4">
        <v>0</v>
      </c>
      <c r="T338" s="4">
        <v>2</v>
      </c>
      <c r="V338" s="5" t="s">
        <v>4211</v>
      </c>
      <c r="W338" s="5" t="s">
        <v>4285</v>
      </c>
      <c r="X338" s="5" t="s">
        <v>4286</v>
      </c>
      <c r="Y338" s="4">
        <v>199</v>
      </c>
      <c r="Z338" s="4">
        <v>151</v>
      </c>
      <c r="AA338" s="4">
        <v>154</v>
      </c>
      <c r="AB338" s="4">
        <v>2</v>
      </c>
      <c r="AC338" s="4">
        <v>2</v>
      </c>
      <c r="AD338" s="4">
        <v>4</v>
      </c>
      <c r="AE338" s="4">
        <v>4</v>
      </c>
      <c r="AF338" s="4">
        <v>1</v>
      </c>
      <c r="AG338" s="4">
        <v>1</v>
      </c>
      <c r="AH338" s="4">
        <v>0</v>
      </c>
      <c r="AI338" s="4">
        <v>0</v>
      </c>
      <c r="AJ338" s="4">
        <v>3</v>
      </c>
      <c r="AK338" s="4">
        <v>3</v>
      </c>
      <c r="AL338" s="4">
        <v>1</v>
      </c>
      <c r="AM338" s="4">
        <v>1</v>
      </c>
      <c r="AN338" s="4">
        <v>0</v>
      </c>
      <c r="AO338" s="4">
        <v>0</v>
      </c>
      <c r="AP338" s="3" t="s">
        <v>58</v>
      </c>
      <c r="AQ338" s="3" t="s">
        <v>85</v>
      </c>
      <c r="AR338" s="6" t="str">
        <f>HYPERLINK("http://catalog.hathitrust.org/Record/000166789","HathiTrust Record")</f>
        <v>HathiTrust Record</v>
      </c>
      <c r="AS338" s="6" t="str">
        <f>HYPERLINK("https://creighton-primo.hosted.exlibrisgroup.com/primo-explore/search?tab=default_tab&amp;search_scope=EVERYTHING&amp;vid=01CRU&amp;lang=en_US&amp;offset=0&amp;query=any,contains,991000904479702656","Catalog Record")</f>
        <v>Catalog Record</v>
      </c>
      <c r="AT338" s="6" t="str">
        <f>HYPERLINK("http://www.worldcat.org/oclc/9111986","WorldCat Record")</f>
        <v>WorldCat Record</v>
      </c>
      <c r="AU338" s="3" t="s">
        <v>4287</v>
      </c>
      <c r="AV338" s="3" t="s">
        <v>4288</v>
      </c>
      <c r="AW338" s="3" t="s">
        <v>4289</v>
      </c>
      <c r="AX338" s="3" t="s">
        <v>4289</v>
      </c>
      <c r="AY338" s="3" t="s">
        <v>4290</v>
      </c>
      <c r="AZ338" s="3" t="s">
        <v>73</v>
      </c>
      <c r="BB338" s="3" t="s">
        <v>4291</v>
      </c>
      <c r="BC338" s="3" t="s">
        <v>4296</v>
      </c>
      <c r="BD338" s="3" t="s">
        <v>4297</v>
      </c>
    </row>
    <row r="339" spans="1:56" ht="40.5" customHeight="1" x14ac:dyDescent="0.25">
      <c r="A339" s="7" t="s">
        <v>58</v>
      </c>
      <c r="B339" s="2" t="s">
        <v>4298</v>
      </c>
      <c r="C339" s="2" t="s">
        <v>4299</v>
      </c>
      <c r="D339" s="2" t="s">
        <v>4300</v>
      </c>
      <c r="F339" s="3" t="s">
        <v>58</v>
      </c>
      <c r="G339" s="3" t="s">
        <v>59</v>
      </c>
      <c r="H339" s="3" t="s">
        <v>58</v>
      </c>
      <c r="I339" s="3" t="s">
        <v>58</v>
      </c>
      <c r="J339" s="3" t="s">
        <v>60</v>
      </c>
      <c r="L339" s="2" t="s">
        <v>4301</v>
      </c>
      <c r="M339" s="3" t="s">
        <v>303</v>
      </c>
      <c r="O339" s="3" t="s">
        <v>64</v>
      </c>
      <c r="P339" s="3" t="s">
        <v>152</v>
      </c>
      <c r="R339" s="3" t="s">
        <v>66</v>
      </c>
      <c r="S339" s="4">
        <v>11</v>
      </c>
      <c r="T339" s="4">
        <v>11</v>
      </c>
      <c r="U339" s="5" t="s">
        <v>4302</v>
      </c>
      <c r="V339" s="5" t="s">
        <v>4302</v>
      </c>
      <c r="W339" s="5" t="s">
        <v>4303</v>
      </c>
      <c r="X339" s="5" t="s">
        <v>4303</v>
      </c>
      <c r="Y339" s="4">
        <v>125</v>
      </c>
      <c r="Z339" s="4">
        <v>93</v>
      </c>
      <c r="AA339" s="4">
        <v>160</v>
      </c>
      <c r="AB339" s="4">
        <v>2</v>
      </c>
      <c r="AC339" s="4">
        <v>3</v>
      </c>
      <c r="AD339" s="4">
        <v>5</v>
      </c>
      <c r="AE339" s="4">
        <v>8</v>
      </c>
      <c r="AF339" s="4">
        <v>1</v>
      </c>
      <c r="AG339" s="4">
        <v>2</v>
      </c>
      <c r="AH339" s="4">
        <v>2</v>
      </c>
      <c r="AI339" s="4">
        <v>3</v>
      </c>
      <c r="AJ339" s="4">
        <v>1</v>
      </c>
      <c r="AK339" s="4">
        <v>1</v>
      </c>
      <c r="AL339" s="4">
        <v>1</v>
      </c>
      <c r="AM339" s="4">
        <v>2</v>
      </c>
      <c r="AN339" s="4">
        <v>0</v>
      </c>
      <c r="AO339" s="4">
        <v>0</v>
      </c>
      <c r="AP339" s="3" t="s">
        <v>58</v>
      </c>
      <c r="AQ339" s="3" t="s">
        <v>58</v>
      </c>
      <c r="AS339" s="6" t="str">
        <f>HYPERLINK("https://creighton-primo.hosted.exlibrisgroup.com/primo-explore/search?tab=default_tab&amp;search_scope=EVERYTHING&amp;vid=01CRU&amp;lang=en_US&amp;offset=0&amp;query=any,contains,991001226619702656","Catalog Record")</f>
        <v>Catalog Record</v>
      </c>
      <c r="AT339" s="6" t="str">
        <f>HYPERLINK("http://www.worldcat.org/oclc/35861344","WorldCat Record")</f>
        <v>WorldCat Record</v>
      </c>
      <c r="AU339" s="3" t="s">
        <v>4304</v>
      </c>
      <c r="AV339" s="3" t="s">
        <v>4305</v>
      </c>
      <c r="AW339" s="3" t="s">
        <v>4306</v>
      </c>
      <c r="AX339" s="3" t="s">
        <v>4306</v>
      </c>
      <c r="AY339" s="3" t="s">
        <v>4307</v>
      </c>
      <c r="AZ339" s="3" t="s">
        <v>73</v>
      </c>
      <c r="BB339" s="3" t="s">
        <v>4308</v>
      </c>
      <c r="BC339" s="3" t="s">
        <v>4309</v>
      </c>
      <c r="BD339" s="3" t="s">
        <v>4310</v>
      </c>
    </row>
    <row r="340" spans="1:56" ht="40.5" customHeight="1" x14ac:dyDescent="0.25">
      <c r="A340" s="7" t="s">
        <v>58</v>
      </c>
      <c r="B340" s="2" t="s">
        <v>4311</v>
      </c>
      <c r="C340" s="2" t="s">
        <v>4312</v>
      </c>
      <c r="D340" s="2" t="s">
        <v>4313</v>
      </c>
      <c r="F340" s="3" t="s">
        <v>58</v>
      </c>
      <c r="G340" s="3" t="s">
        <v>59</v>
      </c>
      <c r="H340" s="3" t="s">
        <v>85</v>
      </c>
      <c r="I340" s="3" t="s">
        <v>58</v>
      </c>
      <c r="J340" s="3" t="s">
        <v>60</v>
      </c>
      <c r="K340" s="2" t="s">
        <v>4314</v>
      </c>
      <c r="L340" s="2" t="s">
        <v>4315</v>
      </c>
      <c r="M340" s="3" t="s">
        <v>63</v>
      </c>
      <c r="O340" s="3" t="s">
        <v>64</v>
      </c>
      <c r="P340" s="3" t="s">
        <v>396</v>
      </c>
      <c r="R340" s="3" t="s">
        <v>66</v>
      </c>
      <c r="S340" s="4">
        <v>3</v>
      </c>
      <c r="T340" s="4">
        <v>3</v>
      </c>
      <c r="U340" s="5" t="s">
        <v>4316</v>
      </c>
      <c r="V340" s="5" t="s">
        <v>4316</v>
      </c>
      <c r="W340" s="5" t="s">
        <v>2555</v>
      </c>
      <c r="X340" s="5" t="s">
        <v>2555</v>
      </c>
      <c r="Y340" s="4">
        <v>386</v>
      </c>
      <c r="Z340" s="4">
        <v>284</v>
      </c>
      <c r="AA340" s="4">
        <v>289</v>
      </c>
      <c r="AB340" s="4">
        <v>3</v>
      </c>
      <c r="AC340" s="4">
        <v>3</v>
      </c>
      <c r="AD340" s="4">
        <v>7</v>
      </c>
      <c r="AE340" s="4">
        <v>7</v>
      </c>
      <c r="AF340" s="4">
        <v>2</v>
      </c>
      <c r="AG340" s="4">
        <v>2</v>
      </c>
      <c r="AH340" s="4">
        <v>2</v>
      </c>
      <c r="AI340" s="4">
        <v>2</v>
      </c>
      <c r="AJ340" s="4">
        <v>2</v>
      </c>
      <c r="AK340" s="4">
        <v>2</v>
      </c>
      <c r="AL340" s="4">
        <v>1</v>
      </c>
      <c r="AM340" s="4">
        <v>1</v>
      </c>
      <c r="AN340" s="4">
        <v>0</v>
      </c>
      <c r="AO340" s="4">
        <v>0</v>
      </c>
      <c r="AP340" s="3" t="s">
        <v>58</v>
      </c>
      <c r="AQ340" s="3" t="s">
        <v>85</v>
      </c>
      <c r="AR340" s="6" t="str">
        <f>HYPERLINK("http://catalog.hathitrust.org/Record/000121583","HathiTrust Record")</f>
        <v>HathiTrust Record</v>
      </c>
      <c r="AS340" s="6" t="str">
        <f>HYPERLINK("https://creighton-primo.hosted.exlibrisgroup.com/primo-explore/search?tab=default_tab&amp;search_scope=EVERYTHING&amp;vid=01CRU&amp;lang=en_US&amp;offset=0&amp;query=any,contains,991000904609702656","Catalog Record")</f>
        <v>Catalog Record</v>
      </c>
      <c r="AT340" s="6" t="str">
        <f>HYPERLINK("http://www.worldcat.org/oclc/8283860","WorldCat Record")</f>
        <v>WorldCat Record</v>
      </c>
      <c r="AU340" s="3" t="s">
        <v>4317</v>
      </c>
      <c r="AV340" s="3" t="s">
        <v>4318</v>
      </c>
      <c r="AW340" s="3" t="s">
        <v>4319</v>
      </c>
      <c r="AX340" s="3" t="s">
        <v>4319</v>
      </c>
      <c r="AY340" s="3" t="s">
        <v>4320</v>
      </c>
      <c r="AZ340" s="3" t="s">
        <v>73</v>
      </c>
      <c r="BB340" s="3" t="s">
        <v>4321</v>
      </c>
      <c r="BC340" s="3" t="s">
        <v>4322</v>
      </c>
      <c r="BD340" s="3" t="s">
        <v>4323</v>
      </c>
    </row>
    <row r="341" spans="1:56" ht="40.5" customHeight="1" x14ac:dyDescent="0.25">
      <c r="A341" s="7" t="s">
        <v>58</v>
      </c>
      <c r="B341" s="2" t="s">
        <v>4324</v>
      </c>
      <c r="C341" s="2" t="s">
        <v>4325</v>
      </c>
      <c r="D341" s="2" t="s">
        <v>4326</v>
      </c>
      <c r="F341" s="3" t="s">
        <v>58</v>
      </c>
      <c r="G341" s="3" t="s">
        <v>59</v>
      </c>
      <c r="H341" s="3" t="s">
        <v>58</v>
      </c>
      <c r="I341" s="3" t="s">
        <v>58</v>
      </c>
      <c r="J341" s="3" t="s">
        <v>60</v>
      </c>
      <c r="K341" s="2" t="s">
        <v>4327</v>
      </c>
      <c r="L341" s="2" t="s">
        <v>4328</v>
      </c>
      <c r="M341" s="3" t="s">
        <v>81</v>
      </c>
      <c r="O341" s="3" t="s">
        <v>64</v>
      </c>
      <c r="P341" s="3" t="s">
        <v>319</v>
      </c>
      <c r="R341" s="3" t="s">
        <v>66</v>
      </c>
      <c r="S341" s="4">
        <v>1</v>
      </c>
      <c r="T341" s="4">
        <v>1</v>
      </c>
      <c r="U341" s="5" t="s">
        <v>4329</v>
      </c>
      <c r="V341" s="5" t="s">
        <v>4329</v>
      </c>
      <c r="W341" s="5" t="s">
        <v>4330</v>
      </c>
      <c r="X341" s="5" t="s">
        <v>4330</v>
      </c>
      <c r="Y341" s="4">
        <v>364</v>
      </c>
      <c r="Z341" s="4">
        <v>277</v>
      </c>
      <c r="AA341" s="4">
        <v>282</v>
      </c>
      <c r="AB341" s="4">
        <v>3</v>
      </c>
      <c r="AC341" s="4">
        <v>3</v>
      </c>
      <c r="AD341" s="4">
        <v>8</v>
      </c>
      <c r="AE341" s="4">
        <v>8</v>
      </c>
      <c r="AF341" s="4">
        <v>1</v>
      </c>
      <c r="AG341" s="4">
        <v>1</v>
      </c>
      <c r="AH341" s="4">
        <v>3</v>
      </c>
      <c r="AI341" s="4">
        <v>3</v>
      </c>
      <c r="AJ341" s="4">
        <v>4</v>
      </c>
      <c r="AK341" s="4">
        <v>4</v>
      </c>
      <c r="AL341" s="4">
        <v>2</v>
      </c>
      <c r="AM341" s="4">
        <v>2</v>
      </c>
      <c r="AN341" s="4">
        <v>0</v>
      </c>
      <c r="AO341" s="4">
        <v>0</v>
      </c>
      <c r="AP341" s="3" t="s">
        <v>58</v>
      </c>
      <c r="AQ341" s="3" t="s">
        <v>85</v>
      </c>
      <c r="AR341" s="6" t="str">
        <f>HYPERLINK("http://catalog.hathitrust.org/Record/006246386","HathiTrust Record")</f>
        <v>HathiTrust Record</v>
      </c>
      <c r="AS341" s="6" t="str">
        <f>HYPERLINK("https://creighton-primo.hosted.exlibrisgroup.com/primo-explore/search?tab=default_tab&amp;search_scope=EVERYTHING&amp;vid=01CRU&amp;lang=en_US&amp;offset=0&amp;query=any,contains,991000904759702656","Catalog Record")</f>
        <v>Catalog Record</v>
      </c>
      <c r="AT341" s="6" t="str">
        <f>HYPERLINK("http://www.worldcat.org/oclc/948087","WorldCat Record")</f>
        <v>WorldCat Record</v>
      </c>
      <c r="AU341" s="3" t="s">
        <v>4331</v>
      </c>
      <c r="AV341" s="3" t="s">
        <v>4332</v>
      </c>
      <c r="AW341" s="3" t="s">
        <v>4333</v>
      </c>
      <c r="AX341" s="3" t="s">
        <v>4333</v>
      </c>
      <c r="AY341" s="3" t="s">
        <v>4334</v>
      </c>
      <c r="AZ341" s="3" t="s">
        <v>73</v>
      </c>
      <c r="BB341" s="3" t="s">
        <v>4335</v>
      </c>
      <c r="BC341" s="3" t="s">
        <v>4336</v>
      </c>
      <c r="BD341" s="3" t="s">
        <v>4337</v>
      </c>
    </row>
    <row r="342" spans="1:56" ht="40.5" customHeight="1" x14ac:dyDescent="0.25">
      <c r="A342" s="7" t="s">
        <v>58</v>
      </c>
      <c r="B342" s="2" t="s">
        <v>4338</v>
      </c>
      <c r="C342" s="2" t="s">
        <v>4339</v>
      </c>
      <c r="D342" s="2" t="s">
        <v>4340</v>
      </c>
      <c r="F342" s="3" t="s">
        <v>58</v>
      </c>
      <c r="G342" s="3" t="s">
        <v>59</v>
      </c>
      <c r="H342" s="3" t="s">
        <v>58</v>
      </c>
      <c r="I342" s="3" t="s">
        <v>58</v>
      </c>
      <c r="J342" s="3" t="s">
        <v>60</v>
      </c>
      <c r="K342" s="2" t="s">
        <v>4341</v>
      </c>
      <c r="L342" s="2" t="s">
        <v>4342</v>
      </c>
      <c r="M342" s="3" t="s">
        <v>467</v>
      </c>
      <c r="O342" s="3" t="s">
        <v>64</v>
      </c>
      <c r="P342" s="3" t="s">
        <v>65</v>
      </c>
      <c r="R342" s="3" t="s">
        <v>66</v>
      </c>
      <c r="S342" s="4">
        <v>1</v>
      </c>
      <c r="T342" s="4">
        <v>1</v>
      </c>
      <c r="U342" s="5" t="s">
        <v>3891</v>
      </c>
      <c r="V342" s="5" t="s">
        <v>3891</v>
      </c>
      <c r="W342" s="5" t="s">
        <v>4343</v>
      </c>
      <c r="X342" s="5" t="s">
        <v>4343</v>
      </c>
      <c r="Y342" s="4">
        <v>18</v>
      </c>
      <c r="Z342" s="4">
        <v>14</v>
      </c>
      <c r="AA342" s="4">
        <v>223</v>
      </c>
      <c r="AB342" s="4">
        <v>1</v>
      </c>
      <c r="AC342" s="4">
        <v>4</v>
      </c>
      <c r="AD342" s="4">
        <v>0</v>
      </c>
      <c r="AE342" s="4">
        <v>11</v>
      </c>
      <c r="AF342" s="4">
        <v>0</v>
      </c>
      <c r="AG342" s="4">
        <v>2</v>
      </c>
      <c r="AH342" s="4">
        <v>0</v>
      </c>
      <c r="AI342" s="4">
        <v>5</v>
      </c>
      <c r="AJ342" s="4">
        <v>0</v>
      </c>
      <c r="AK342" s="4">
        <v>4</v>
      </c>
      <c r="AL342" s="4">
        <v>0</v>
      </c>
      <c r="AM342" s="4">
        <v>3</v>
      </c>
      <c r="AN342" s="4">
        <v>0</v>
      </c>
      <c r="AO342" s="4">
        <v>0</v>
      </c>
      <c r="AP342" s="3" t="s">
        <v>58</v>
      </c>
      <c r="AQ342" s="3" t="s">
        <v>58</v>
      </c>
      <c r="AS342" s="6" t="str">
        <f>HYPERLINK("https://creighton-primo.hosted.exlibrisgroup.com/primo-explore/search?tab=default_tab&amp;search_scope=EVERYTHING&amp;vid=01CRU&amp;lang=en_US&amp;offset=0&amp;query=any,contains,991000904809702656","Catalog Record")</f>
        <v>Catalog Record</v>
      </c>
      <c r="AT342" s="6" t="str">
        <f>HYPERLINK("http://www.worldcat.org/oclc/7796464","WorldCat Record")</f>
        <v>WorldCat Record</v>
      </c>
      <c r="AU342" s="3" t="s">
        <v>4344</v>
      </c>
      <c r="AV342" s="3" t="s">
        <v>4345</v>
      </c>
      <c r="AW342" s="3" t="s">
        <v>4346</v>
      </c>
      <c r="AX342" s="3" t="s">
        <v>4346</v>
      </c>
      <c r="AY342" s="3" t="s">
        <v>4347</v>
      </c>
      <c r="AZ342" s="3" t="s">
        <v>73</v>
      </c>
      <c r="BB342" s="3" t="s">
        <v>4348</v>
      </c>
      <c r="BC342" s="3" t="s">
        <v>4349</v>
      </c>
      <c r="BD342" s="3" t="s">
        <v>4350</v>
      </c>
    </row>
    <row r="343" spans="1:56" ht="40.5" customHeight="1" x14ac:dyDescent="0.25">
      <c r="A343" s="7" t="s">
        <v>58</v>
      </c>
      <c r="B343" s="2" t="s">
        <v>4351</v>
      </c>
      <c r="C343" s="2" t="s">
        <v>4352</v>
      </c>
      <c r="D343" s="2" t="s">
        <v>4353</v>
      </c>
      <c r="F343" s="3" t="s">
        <v>58</v>
      </c>
      <c r="G343" s="3" t="s">
        <v>59</v>
      </c>
      <c r="H343" s="3" t="s">
        <v>58</v>
      </c>
      <c r="I343" s="3" t="s">
        <v>58</v>
      </c>
      <c r="J343" s="3" t="s">
        <v>60</v>
      </c>
      <c r="K343" s="2" t="s">
        <v>4354</v>
      </c>
      <c r="L343" s="2" t="s">
        <v>3659</v>
      </c>
      <c r="M343" s="3" t="s">
        <v>659</v>
      </c>
      <c r="O343" s="3" t="s">
        <v>64</v>
      </c>
      <c r="P343" s="3" t="s">
        <v>117</v>
      </c>
      <c r="R343" s="3" t="s">
        <v>66</v>
      </c>
      <c r="S343" s="4">
        <v>1</v>
      </c>
      <c r="T343" s="4">
        <v>1</v>
      </c>
      <c r="U343" s="5" t="s">
        <v>3891</v>
      </c>
      <c r="V343" s="5" t="s">
        <v>3891</v>
      </c>
      <c r="W343" s="5" t="s">
        <v>4330</v>
      </c>
      <c r="X343" s="5" t="s">
        <v>4330</v>
      </c>
      <c r="Y343" s="4">
        <v>349</v>
      </c>
      <c r="Z343" s="4">
        <v>236</v>
      </c>
      <c r="AA343" s="4">
        <v>287</v>
      </c>
      <c r="AB343" s="4">
        <v>2</v>
      </c>
      <c r="AC343" s="4">
        <v>3</v>
      </c>
      <c r="AD343" s="4">
        <v>8</v>
      </c>
      <c r="AE343" s="4">
        <v>12</v>
      </c>
      <c r="AF343" s="4">
        <v>0</v>
      </c>
      <c r="AG343" s="4">
        <v>2</v>
      </c>
      <c r="AH343" s="4">
        <v>3</v>
      </c>
      <c r="AI343" s="4">
        <v>5</v>
      </c>
      <c r="AJ343" s="4">
        <v>5</v>
      </c>
      <c r="AK343" s="4">
        <v>5</v>
      </c>
      <c r="AL343" s="4">
        <v>1</v>
      </c>
      <c r="AM343" s="4">
        <v>2</v>
      </c>
      <c r="AN343" s="4">
        <v>0</v>
      </c>
      <c r="AO343" s="4">
        <v>0</v>
      </c>
      <c r="AP343" s="3" t="s">
        <v>58</v>
      </c>
      <c r="AQ343" s="3" t="s">
        <v>85</v>
      </c>
      <c r="AR343" s="6" t="str">
        <f>HYPERLINK("http://catalog.hathitrust.org/Record/001555340","HathiTrust Record")</f>
        <v>HathiTrust Record</v>
      </c>
      <c r="AS343" s="6" t="str">
        <f>HYPERLINK("https://creighton-primo.hosted.exlibrisgroup.com/primo-explore/search?tab=default_tab&amp;search_scope=EVERYTHING&amp;vid=01CRU&amp;lang=en_US&amp;offset=0&amp;query=any,contains,991000904719702656","Catalog Record")</f>
        <v>Catalog Record</v>
      </c>
      <c r="AT343" s="6" t="str">
        <f>HYPERLINK("http://www.worldcat.org/oclc/595443","WorldCat Record")</f>
        <v>WorldCat Record</v>
      </c>
      <c r="AU343" s="3" t="s">
        <v>4355</v>
      </c>
      <c r="AV343" s="3" t="s">
        <v>4356</v>
      </c>
      <c r="AW343" s="3" t="s">
        <v>4357</v>
      </c>
      <c r="AX343" s="3" t="s">
        <v>4357</v>
      </c>
      <c r="AY343" s="3" t="s">
        <v>4358</v>
      </c>
      <c r="AZ343" s="3" t="s">
        <v>73</v>
      </c>
      <c r="BC343" s="3" t="s">
        <v>4359</v>
      </c>
      <c r="BD343" s="3" t="s">
        <v>4360</v>
      </c>
    </row>
    <row r="344" spans="1:56" ht="40.5" customHeight="1" x14ac:dyDescent="0.25">
      <c r="A344" s="7" t="s">
        <v>58</v>
      </c>
      <c r="B344" s="2" t="s">
        <v>4361</v>
      </c>
      <c r="C344" s="2" t="s">
        <v>4362</v>
      </c>
      <c r="D344" s="2" t="s">
        <v>4363</v>
      </c>
      <c r="F344" s="3" t="s">
        <v>58</v>
      </c>
      <c r="G344" s="3" t="s">
        <v>59</v>
      </c>
      <c r="H344" s="3" t="s">
        <v>58</v>
      </c>
      <c r="I344" s="3" t="s">
        <v>58</v>
      </c>
      <c r="J344" s="3" t="s">
        <v>60</v>
      </c>
      <c r="L344" s="2" t="s">
        <v>4364</v>
      </c>
      <c r="M344" s="3" t="s">
        <v>365</v>
      </c>
      <c r="O344" s="3" t="s">
        <v>64</v>
      </c>
      <c r="P344" s="3" t="s">
        <v>319</v>
      </c>
      <c r="Q344" s="2" t="s">
        <v>4365</v>
      </c>
      <c r="R344" s="3" t="s">
        <v>66</v>
      </c>
      <c r="S344" s="4">
        <v>2</v>
      </c>
      <c r="T344" s="4">
        <v>2</v>
      </c>
      <c r="U344" s="5" t="s">
        <v>4366</v>
      </c>
      <c r="V344" s="5" t="s">
        <v>4366</v>
      </c>
      <c r="W344" s="5" t="s">
        <v>4367</v>
      </c>
      <c r="X344" s="5" t="s">
        <v>4367</v>
      </c>
      <c r="Y344" s="4">
        <v>66</v>
      </c>
      <c r="Z344" s="4">
        <v>56</v>
      </c>
      <c r="AA344" s="4">
        <v>64</v>
      </c>
      <c r="AB344" s="4">
        <v>2</v>
      </c>
      <c r="AC344" s="4">
        <v>2</v>
      </c>
      <c r="AD344" s="4">
        <v>1</v>
      </c>
      <c r="AE344" s="4">
        <v>1</v>
      </c>
      <c r="AF344" s="4">
        <v>0</v>
      </c>
      <c r="AG344" s="4">
        <v>0</v>
      </c>
      <c r="AH344" s="4">
        <v>0</v>
      </c>
      <c r="AI344" s="4">
        <v>0</v>
      </c>
      <c r="AJ344" s="4">
        <v>0</v>
      </c>
      <c r="AK344" s="4">
        <v>0</v>
      </c>
      <c r="AL344" s="4">
        <v>1</v>
      </c>
      <c r="AM344" s="4">
        <v>1</v>
      </c>
      <c r="AN344" s="4">
        <v>0</v>
      </c>
      <c r="AO344" s="4">
        <v>0</v>
      </c>
      <c r="AP344" s="3" t="s">
        <v>85</v>
      </c>
      <c r="AQ344" s="3" t="s">
        <v>58</v>
      </c>
      <c r="AR344" s="6" t="str">
        <f>HYPERLINK("http://catalog.hathitrust.org/Record/003048804","HathiTrust Record")</f>
        <v>HathiTrust Record</v>
      </c>
      <c r="AS344" s="6" t="str">
        <f>HYPERLINK("https://creighton-primo.hosted.exlibrisgroup.com/primo-explore/search?tab=default_tab&amp;search_scope=EVERYTHING&amp;vid=01CRU&amp;lang=en_US&amp;offset=0&amp;query=any,contains,991000256199702656","Catalog Record")</f>
        <v>Catalog Record</v>
      </c>
      <c r="AT344" s="6" t="str">
        <f>HYPERLINK("http://www.worldcat.org/oclc/32843031","WorldCat Record")</f>
        <v>WorldCat Record</v>
      </c>
      <c r="AU344" s="3" t="s">
        <v>4368</v>
      </c>
      <c r="AV344" s="3" t="s">
        <v>4369</v>
      </c>
      <c r="AW344" s="3" t="s">
        <v>4370</v>
      </c>
      <c r="AX344" s="3" t="s">
        <v>4370</v>
      </c>
      <c r="AY344" s="3" t="s">
        <v>4371</v>
      </c>
      <c r="AZ344" s="3" t="s">
        <v>73</v>
      </c>
      <c r="BC344" s="3" t="s">
        <v>4372</v>
      </c>
      <c r="BD344" s="3" t="s">
        <v>4373</v>
      </c>
    </row>
    <row r="345" spans="1:56" ht="40.5" customHeight="1" x14ac:dyDescent="0.25">
      <c r="A345" s="7" t="s">
        <v>58</v>
      </c>
      <c r="B345" s="2" t="s">
        <v>4374</v>
      </c>
      <c r="C345" s="2" t="s">
        <v>4375</v>
      </c>
      <c r="D345" s="2" t="s">
        <v>4376</v>
      </c>
      <c r="E345" s="3" t="s">
        <v>1434</v>
      </c>
      <c r="F345" s="3" t="s">
        <v>58</v>
      </c>
      <c r="G345" s="3" t="s">
        <v>59</v>
      </c>
      <c r="H345" s="3" t="s">
        <v>58</v>
      </c>
      <c r="I345" s="3" t="s">
        <v>58</v>
      </c>
      <c r="J345" s="3" t="s">
        <v>60</v>
      </c>
      <c r="L345" s="2" t="s">
        <v>4377</v>
      </c>
      <c r="M345" s="3" t="s">
        <v>496</v>
      </c>
      <c r="O345" s="3" t="s">
        <v>64</v>
      </c>
      <c r="P345" s="3" t="s">
        <v>396</v>
      </c>
      <c r="R345" s="3" t="s">
        <v>66</v>
      </c>
      <c r="S345" s="4">
        <v>5</v>
      </c>
      <c r="T345" s="4">
        <v>5</v>
      </c>
      <c r="U345" s="5" t="s">
        <v>4378</v>
      </c>
      <c r="V345" s="5" t="s">
        <v>4378</v>
      </c>
      <c r="W345" s="5" t="s">
        <v>4343</v>
      </c>
      <c r="X345" s="5" t="s">
        <v>4343</v>
      </c>
      <c r="Y345" s="4">
        <v>23</v>
      </c>
      <c r="Z345" s="4">
        <v>14</v>
      </c>
      <c r="AA345" s="4">
        <v>14</v>
      </c>
      <c r="AB345" s="4">
        <v>1</v>
      </c>
      <c r="AC345" s="4">
        <v>1</v>
      </c>
      <c r="AD345" s="4">
        <v>0</v>
      </c>
      <c r="AE345" s="4">
        <v>0</v>
      </c>
      <c r="AF345" s="4">
        <v>0</v>
      </c>
      <c r="AG345" s="4">
        <v>0</v>
      </c>
      <c r="AH345" s="4">
        <v>0</v>
      </c>
      <c r="AI345" s="4">
        <v>0</v>
      </c>
      <c r="AJ345" s="4">
        <v>0</v>
      </c>
      <c r="AK345" s="4">
        <v>0</v>
      </c>
      <c r="AL345" s="4">
        <v>0</v>
      </c>
      <c r="AM345" s="4">
        <v>0</v>
      </c>
      <c r="AN345" s="4">
        <v>0</v>
      </c>
      <c r="AO345" s="4">
        <v>0</v>
      </c>
      <c r="AP345" s="3" t="s">
        <v>58</v>
      </c>
      <c r="AQ345" s="3" t="s">
        <v>58</v>
      </c>
      <c r="AS345" s="6" t="str">
        <f>HYPERLINK("https://creighton-primo.hosted.exlibrisgroup.com/primo-explore/search?tab=default_tab&amp;search_scope=EVERYTHING&amp;vid=01CRU&amp;lang=en_US&amp;offset=0&amp;query=any,contains,991000905039702656","Catalog Record")</f>
        <v>Catalog Record</v>
      </c>
      <c r="AT345" s="6" t="str">
        <f>HYPERLINK("http://www.worldcat.org/oclc/11185639","WorldCat Record")</f>
        <v>WorldCat Record</v>
      </c>
      <c r="AU345" s="3" t="s">
        <v>4379</v>
      </c>
      <c r="AV345" s="3" t="s">
        <v>4380</v>
      </c>
      <c r="AW345" s="3" t="s">
        <v>4381</v>
      </c>
      <c r="AX345" s="3" t="s">
        <v>4381</v>
      </c>
      <c r="AY345" s="3" t="s">
        <v>4382</v>
      </c>
      <c r="AZ345" s="3" t="s">
        <v>73</v>
      </c>
      <c r="BB345" s="3" t="s">
        <v>4383</v>
      </c>
      <c r="BC345" s="3" t="s">
        <v>4384</v>
      </c>
      <c r="BD345" s="3" t="s">
        <v>4385</v>
      </c>
    </row>
    <row r="346" spans="1:56" ht="40.5" customHeight="1" x14ac:dyDescent="0.25">
      <c r="A346" s="7" t="s">
        <v>58</v>
      </c>
      <c r="B346" s="2" t="s">
        <v>4386</v>
      </c>
      <c r="C346" s="2" t="s">
        <v>4387</v>
      </c>
      <c r="D346" s="2" t="s">
        <v>4388</v>
      </c>
      <c r="E346" s="3" t="s">
        <v>1408</v>
      </c>
      <c r="F346" s="3" t="s">
        <v>58</v>
      </c>
      <c r="G346" s="3" t="s">
        <v>59</v>
      </c>
      <c r="H346" s="3" t="s">
        <v>58</v>
      </c>
      <c r="I346" s="3" t="s">
        <v>58</v>
      </c>
      <c r="J346" s="3" t="s">
        <v>60</v>
      </c>
      <c r="L346" s="2" t="s">
        <v>1617</v>
      </c>
      <c r="M346" s="3" t="s">
        <v>2552</v>
      </c>
      <c r="N346" s="2" t="s">
        <v>777</v>
      </c>
      <c r="O346" s="3" t="s">
        <v>64</v>
      </c>
      <c r="P346" s="3" t="s">
        <v>886</v>
      </c>
      <c r="R346" s="3" t="s">
        <v>66</v>
      </c>
      <c r="S346" s="4">
        <v>9</v>
      </c>
      <c r="T346" s="4">
        <v>9</v>
      </c>
      <c r="U346" s="5" t="s">
        <v>4389</v>
      </c>
      <c r="V346" s="5" t="s">
        <v>4389</v>
      </c>
      <c r="W346" s="5" t="s">
        <v>4390</v>
      </c>
      <c r="X346" s="5" t="s">
        <v>4390</v>
      </c>
      <c r="Y346" s="4">
        <v>330</v>
      </c>
      <c r="Z346" s="4">
        <v>250</v>
      </c>
      <c r="AA346" s="4">
        <v>300</v>
      </c>
      <c r="AB346" s="4">
        <v>2</v>
      </c>
      <c r="AC346" s="4">
        <v>3</v>
      </c>
      <c r="AD346" s="4">
        <v>7</v>
      </c>
      <c r="AE346" s="4">
        <v>11</v>
      </c>
      <c r="AF346" s="4">
        <v>1</v>
      </c>
      <c r="AG346" s="4">
        <v>3</v>
      </c>
      <c r="AH346" s="4">
        <v>3</v>
      </c>
      <c r="AI346" s="4">
        <v>5</v>
      </c>
      <c r="AJ346" s="4">
        <v>5</v>
      </c>
      <c r="AK346" s="4">
        <v>5</v>
      </c>
      <c r="AL346" s="4">
        <v>0</v>
      </c>
      <c r="AM346" s="4">
        <v>1</v>
      </c>
      <c r="AN346" s="4">
        <v>0</v>
      </c>
      <c r="AO346" s="4">
        <v>0</v>
      </c>
      <c r="AP346" s="3" t="s">
        <v>58</v>
      </c>
      <c r="AQ346" s="3" t="s">
        <v>85</v>
      </c>
      <c r="AR346" s="6" t="str">
        <f>HYPERLINK("http://catalog.hathitrust.org/Record/000557677","HathiTrust Record")</f>
        <v>HathiTrust Record</v>
      </c>
      <c r="AS346" s="6" t="str">
        <f>HYPERLINK("https://creighton-primo.hosted.exlibrisgroup.com/primo-explore/search?tab=default_tab&amp;search_scope=EVERYTHING&amp;vid=01CRU&amp;lang=en_US&amp;offset=0&amp;query=any,contains,991001188569702656","Catalog Record")</f>
        <v>Catalog Record</v>
      </c>
      <c r="AT346" s="6" t="str">
        <f>HYPERLINK("http://www.worldcat.org/oclc/12550138","WorldCat Record")</f>
        <v>WorldCat Record</v>
      </c>
      <c r="AU346" s="3" t="s">
        <v>4391</v>
      </c>
      <c r="AV346" s="3" t="s">
        <v>4392</v>
      </c>
      <c r="AW346" s="3" t="s">
        <v>4393</v>
      </c>
      <c r="AX346" s="3" t="s">
        <v>4393</v>
      </c>
      <c r="AY346" s="3" t="s">
        <v>4394</v>
      </c>
      <c r="AZ346" s="3" t="s">
        <v>73</v>
      </c>
      <c r="BB346" s="3" t="s">
        <v>4395</v>
      </c>
      <c r="BC346" s="3" t="s">
        <v>4396</v>
      </c>
      <c r="BD346" s="3" t="s">
        <v>4397</v>
      </c>
    </row>
    <row r="347" spans="1:56" ht="40.5" customHeight="1" x14ac:dyDescent="0.25">
      <c r="A347" s="7" t="s">
        <v>58</v>
      </c>
      <c r="B347" s="2" t="s">
        <v>4398</v>
      </c>
      <c r="C347" s="2" t="s">
        <v>4399</v>
      </c>
      <c r="D347" s="2" t="s">
        <v>4400</v>
      </c>
      <c r="E347" s="3" t="s">
        <v>4401</v>
      </c>
      <c r="F347" s="3" t="s">
        <v>58</v>
      </c>
      <c r="G347" s="3" t="s">
        <v>59</v>
      </c>
      <c r="H347" s="3" t="s">
        <v>58</v>
      </c>
      <c r="I347" s="3" t="s">
        <v>58</v>
      </c>
      <c r="J347" s="3" t="s">
        <v>60</v>
      </c>
      <c r="L347" s="2" t="s">
        <v>4402</v>
      </c>
      <c r="M347" s="3" t="s">
        <v>1067</v>
      </c>
      <c r="O347" s="3" t="s">
        <v>64</v>
      </c>
      <c r="P347" s="3" t="s">
        <v>1394</v>
      </c>
      <c r="Q347" s="2" t="s">
        <v>4403</v>
      </c>
      <c r="R347" s="3" t="s">
        <v>66</v>
      </c>
      <c r="S347" s="4">
        <v>3</v>
      </c>
      <c r="T347" s="4">
        <v>3</v>
      </c>
      <c r="U347" s="5" t="s">
        <v>4404</v>
      </c>
      <c r="V347" s="5" t="s">
        <v>4404</v>
      </c>
      <c r="W347" s="5" t="s">
        <v>4405</v>
      </c>
      <c r="X347" s="5" t="s">
        <v>4405</v>
      </c>
      <c r="Y347" s="4">
        <v>157</v>
      </c>
      <c r="Z347" s="4">
        <v>119</v>
      </c>
      <c r="AA347" s="4">
        <v>121</v>
      </c>
      <c r="AB347" s="4">
        <v>2</v>
      </c>
      <c r="AC347" s="4">
        <v>2</v>
      </c>
      <c r="AD347" s="4">
        <v>5</v>
      </c>
      <c r="AE347" s="4">
        <v>5</v>
      </c>
      <c r="AF347" s="4">
        <v>0</v>
      </c>
      <c r="AG347" s="4">
        <v>0</v>
      </c>
      <c r="AH347" s="4">
        <v>2</v>
      </c>
      <c r="AI347" s="4">
        <v>2</v>
      </c>
      <c r="AJ347" s="4">
        <v>2</v>
      </c>
      <c r="AK347" s="4">
        <v>2</v>
      </c>
      <c r="AL347" s="4">
        <v>1</v>
      </c>
      <c r="AM347" s="4">
        <v>1</v>
      </c>
      <c r="AN347" s="4">
        <v>0</v>
      </c>
      <c r="AO347" s="4">
        <v>0</v>
      </c>
      <c r="AP347" s="3" t="s">
        <v>58</v>
      </c>
      <c r="AQ347" s="3" t="s">
        <v>85</v>
      </c>
      <c r="AR347" s="6" t="str">
        <f>HYPERLINK("http://catalog.hathitrust.org/Record/002469497","HathiTrust Record")</f>
        <v>HathiTrust Record</v>
      </c>
      <c r="AS347" s="6" t="str">
        <f>HYPERLINK("https://creighton-primo.hosted.exlibrisgroup.com/primo-explore/search?tab=default_tab&amp;search_scope=EVERYTHING&amp;vid=01CRU&amp;lang=en_US&amp;offset=0&amp;query=any,contains,991000938099702656","Catalog Record")</f>
        <v>Catalog Record</v>
      </c>
      <c r="AT347" s="6" t="str">
        <f>HYPERLINK("http://www.worldcat.org/oclc/22279865","WorldCat Record")</f>
        <v>WorldCat Record</v>
      </c>
      <c r="AU347" s="3" t="s">
        <v>4406</v>
      </c>
      <c r="AV347" s="3" t="s">
        <v>4407</v>
      </c>
      <c r="AW347" s="3" t="s">
        <v>4408</v>
      </c>
      <c r="AX347" s="3" t="s">
        <v>4408</v>
      </c>
      <c r="AY347" s="3" t="s">
        <v>4409</v>
      </c>
      <c r="AZ347" s="3" t="s">
        <v>73</v>
      </c>
      <c r="BB347" s="3" t="s">
        <v>4410</v>
      </c>
      <c r="BC347" s="3" t="s">
        <v>4411</v>
      </c>
      <c r="BD347" s="3" t="s">
        <v>4412</v>
      </c>
    </row>
    <row r="348" spans="1:56" ht="40.5" customHeight="1" x14ac:dyDescent="0.25">
      <c r="A348" s="7" t="s">
        <v>58</v>
      </c>
      <c r="B348" s="2" t="s">
        <v>4413</v>
      </c>
      <c r="C348" s="2" t="s">
        <v>4414</v>
      </c>
      <c r="D348" s="2" t="s">
        <v>4415</v>
      </c>
      <c r="F348" s="3" t="s">
        <v>58</v>
      </c>
      <c r="G348" s="3" t="s">
        <v>59</v>
      </c>
      <c r="H348" s="3" t="s">
        <v>58</v>
      </c>
      <c r="I348" s="3" t="s">
        <v>85</v>
      </c>
      <c r="J348" s="3" t="s">
        <v>60</v>
      </c>
      <c r="K348" s="2" t="s">
        <v>4416</v>
      </c>
      <c r="L348" s="2" t="s">
        <v>4417</v>
      </c>
      <c r="M348" s="3" t="s">
        <v>395</v>
      </c>
      <c r="N348" s="2" t="s">
        <v>3878</v>
      </c>
      <c r="O348" s="3" t="s">
        <v>64</v>
      </c>
      <c r="P348" s="3" t="s">
        <v>117</v>
      </c>
      <c r="R348" s="3" t="s">
        <v>66</v>
      </c>
      <c r="S348" s="4">
        <v>6</v>
      </c>
      <c r="T348" s="4">
        <v>6</v>
      </c>
      <c r="U348" s="5" t="s">
        <v>4418</v>
      </c>
      <c r="V348" s="5" t="s">
        <v>4418</v>
      </c>
      <c r="W348" s="5" t="s">
        <v>4419</v>
      </c>
      <c r="X348" s="5" t="s">
        <v>4419</v>
      </c>
      <c r="Y348" s="4">
        <v>365</v>
      </c>
      <c r="Z348" s="4">
        <v>255</v>
      </c>
      <c r="AA348" s="4">
        <v>566</v>
      </c>
      <c r="AB348" s="4">
        <v>2</v>
      </c>
      <c r="AC348" s="4">
        <v>6</v>
      </c>
      <c r="AD348" s="4">
        <v>4</v>
      </c>
      <c r="AE348" s="4">
        <v>16</v>
      </c>
      <c r="AF348" s="4">
        <v>2</v>
      </c>
      <c r="AG348" s="4">
        <v>4</v>
      </c>
      <c r="AH348" s="4">
        <v>1</v>
      </c>
      <c r="AI348" s="4">
        <v>5</v>
      </c>
      <c r="AJ348" s="4">
        <v>0</v>
      </c>
      <c r="AK348" s="4">
        <v>6</v>
      </c>
      <c r="AL348" s="4">
        <v>1</v>
      </c>
      <c r="AM348" s="4">
        <v>3</v>
      </c>
      <c r="AN348" s="4">
        <v>0</v>
      </c>
      <c r="AO348" s="4">
        <v>0</v>
      </c>
      <c r="AP348" s="3" t="s">
        <v>58</v>
      </c>
      <c r="AQ348" s="3" t="s">
        <v>85</v>
      </c>
      <c r="AR348" s="6" t="str">
        <f>HYPERLINK("http://catalog.hathitrust.org/Record/001555335","HathiTrust Record")</f>
        <v>HathiTrust Record</v>
      </c>
      <c r="AS348" s="6" t="str">
        <f>HYPERLINK("https://creighton-primo.hosted.exlibrisgroup.com/primo-explore/search?tab=default_tab&amp;search_scope=EVERYTHING&amp;vid=01CRU&amp;lang=en_US&amp;offset=0&amp;query=any,contains,991000905229702656","Catalog Record")</f>
        <v>Catalog Record</v>
      </c>
      <c r="AT348" s="6" t="str">
        <f>HYPERLINK("http://www.worldcat.org/oclc/134466","WorldCat Record")</f>
        <v>WorldCat Record</v>
      </c>
      <c r="AU348" s="3" t="s">
        <v>4420</v>
      </c>
      <c r="AV348" s="3" t="s">
        <v>4421</v>
      </c>
      <c r="AW348" s="3" t="s">
        <v>4422</v>
      </c>
      <c r="AX348" s="3" t="s">
        <v>4422</v>
      </c>
      <c r="AY348" s="3" t="s">
        <v>4423</v>
      </c>
      <c r="AZ348" s="3" t="s">
        <v>73</v>
      </c>
      <c r="BC348" s="3" t="s">
        <v>4424</v>
      </c>
      <c r="BD348" s="3" t="s">
        <v>4425</v>
      </c>
    </row>
    <row r="349" spans="1:56" ht="40.5" customHeight="1" x14ac:dyDescent="0.25">
      <c r="A349" s="7" t="s">
        <v>58</v>
      </c>
      <c r="B349" s="2" t="s">
        <v>4426</v>
      </c>
      <c r="C349" s="2" t="s">
        <v>4427</v>
      </c>
      <c r="D349" s="2" t="s">
        <v>4428</v>
      </c>
      <c r="F349" s="3" t="s">
        <v>58</v>
      </c>
      <c r="G349" s="3" t="s">
        <v>59</v>
      </c>
      <c r="H349" s="3" t="s">
        <v>58</v>
      </c>
      <c r="I349" s="3" t="s">
        <v>58</v>
      </c>
      <c r="J349" s="3" t="s">
        <v>60</v>
      </c>
      <c r="L349" s="2" t="s">
        <v>4429</v>
      </c>
      <c r="M349" s="3" t="s">
        <v>2567</v>
      </c>
      <c r="O349" s="3" t="s">
        <v>64</v>
      </c>
      <c r="P349" s="3" t="s">
        <v>117</v>
      </c>
      <c r="R349" s="3" t="s">
        <v>66</v>
      </c>
      <c r="S349" s="4">
        <v>0</v>
      </c>
      <c r="T349" s="4">
        <v>0</v>
      </c>
      <c r="U349" s="5" t="s">
        <v>4430</v>
      </c>
      <c r="V349" s="5" t="s">
        <v>4430</v>
      </c>
      <c r="W349" s="5" t="s">
        <v>4430</v>
      </c>
      <c r="X349" s="5" t="s">
        <v>4430</v>
      </c>
      <c r="Y349" s="4">
        <v>54</v>
      </c>
      <c r="Z349" s="4">
        <v>41</v>
      </c>
      <c r="AA349" s="4">
        <v>54</v>
      </c>
      <c r="AB349" s="4">
        <v>1</v>
      </c>
      <c r="AC349" s="4">
        <v>1</v>
      </c>
      <c r="AD349" s="4">
        <v>3</v>
      </c>
      <c r="AE349" s="4">
        <v>3</v>
      </c>
      <c r="AF349" s="4">
        <v>1</v>
      </c>
      <c r="AG349" s="4">
        <v>1</v>
      </c>
      <c r="AH349" s="4">
        <v>2</v>
      </c>
      <c r="AI349" s="4">
        <v>2</v>
      </c>
      <c r="AJ349" s="4">
        <v>2</v>
      </c>
      <c r="AK349" s="4">
        <v>2</v>
      </c>
      <c r="AL349" s="4">
        <v>0</v>
      </c>
      <c r="AM349" s="4">
        <v>0</v>
      </c>
      <c r="AN349" s="4">
        <v>0</v>
      </c>
      <c r="AO349" s="4">
        <v>0</v>
      </c>
      <c r="AP349" s="3" t="s">
        <v>58</v>
      </c>
      <c r="AQ349" s="3" t="s">
        <v>58</v>
      </c>
      <c r="AS349" s="6" t="str">
        <f>HYPERLINK("https://creighton-primo.hosted.exlibrisgroup.com/primo-explore/search?tab=default_tab&amp;search_scope=EVERYTHING&amp;vid=01CRU&amp;lang=en_US&amp;offset=0&amp;query=any,contains,991001323799702656","Catalog Record")</f>
        <v>Catalog Record</v>
      </c>
      <c r="AT349" s="6" t="str">
        <f>HYPERLINK("http://www.worldcat.org/oclc/173469781","WorldCat Record")</f>
        <v>WorldCat Record</v>
      </c>
      <c r="AU349" s="3" t="s">
        <v>4431</v>
      </c>
      <c r="AV349" s="3" t="s">
        <v>4432</v>
      </c>
      <c r="AW349" s="3" t="s">
        <v>4433</v>
      </c>
      <c r="AX349" s="3" t="s">
        <v>4433</v>
      </c>
      <c r="AY349" s="3" t="s">
        <v>4434</v>
      </c>
      <c r="AZ349" s="3" t="s">
        <v>73</v>
      </c>
      <c r="BB349" s="3" t="s">
        <v>4435</v>
      </c>
      <c r="BC349" s="3" t="s">
        <v>4436</v>
      </c>
      <c r="BD349" s="3" t="s">
        <v>4437</v>
      </c>
    </row>
    <row r="350" spans="1:56" ht="40.5" customHeight="1" x14ac:dyDescent="0.25">
      <c r="A350" s="7" t="s">
        <v>58</v>
      </c>
      <c r="B350" s="2" t="s">
        <v>4438</v>
      </c>
      <c r="C350" s="2" t="s">
        <v>4439</v>
      </c>
      <c r="D350" s="2" t="s">
        <v>4440</v>
      </c>
      <c r="F350" s="3" t="s">
        <v>58</v>
      </c>
      <c r="G350" s="3" t="s">
        <v>59</v>
      </c>
      <c r="H350" s="3" t="s">
        <v>58</v>
      </c>
      <c r="I350" s="3" t="s">
        <v>85</v>
      </c>
      <c r="J350" s="3" t="s">
        <v>60</v>
      </c>
      <c r="L350" s="2" t="s">
        <v>1717</v>
      </c>
      <c r="M350" s="3" t="s">
        <v>116</v>
      </c>
      <c r="O350" s="3" t="s">
        <v>64</v>
      </c>
      <c r="P350" s="3" t="s">
        <v>886</v>
      </c>
      <c r="R350" s="3" t="s">
        <v>66</v>
      </c>
      <c r="S350" s="4">
        <v>4</v>
      </c>
      <c r="T350" s="4">
        <v>4</v>
      </c>
      <c r="U350" s="5" t="s">
        <v>4441</v>
      </c>
      <c r="V350" s="5" t="s">
        <v>4441</v>
      </c>
      <c r="W350" s="5" t="s">
        <v>4442</v>
      </c>
      <c r="X350" s="5" t="s">
        <v>4442</v>
      </c>
      <c r="Y350" s="4">
        <v>96</v>
      </c>
      <c r="Z350" s="4">
        <v>73</v>
      </c>
      <c r="AA350" s="4">
        <v>477</v>
      </c>
      <c r="AB350" s="4">
        <v>1</v>
      </c>
      <c r="AC350" s="4">
        <v>5</v>
      </c>
      <c r="AD350" s="4">
        <v>2</v>
      </c>
      <c r="AE350" s="4">
        <v>24</v>
      </c>
      <c r="AF350" s="4">
        <v>1</v>
      </c>
      <c r="AG350" s="4">
        <v>7</v>
      </c>
      <c r="AH350" s="4">
        <v>0</v>
      </c>
      <c r="AI350" s="4">
        <v>7</v>
      </c>
      <c r="AJ350" s="4">
        <v>1</v>
      </c>
      <c r="AK350" s="4">
        <v>13</v>
      </c>
      <c r="AL350" s="4">
        <v>0</v>
      </c>
      <c r="AM350" s="4">
        <v>3</v>
      </c>
      <c r="AN350" s="4">
        <v>0</v>
      </c>
      <c r="AO350" s="4">
        <v>0</v>
      </c>
      <c r="AP350" s="3" t="s">
        <v>58</v>
      </c>
      <c r="AQ350" s="3" t="s">
        <v>58</v>
      </c>
      <c r="AS350" s="6" t="str">
        <f>HYPERLINK("https://creighton-primo.hosted.exlibrisgroup.com/primo-explore/search?tab=default_tab&amp;search_scope=EVERYTHING&amp;vid=01CRU&amp;lang=en_US&amp;offset=0&amp;query=any,contains,991001031919702656","Catalog Record")</f>
        <v>Catalog Record</v>
      </c>
      <c r="AT350" s="6" t="str">
        <f>HYPERLINK("http://www.worldcat.org/oclc/24319650","WorldCat Record")</f>
        <v>WorldCat Record</v>
      </c>
      <c r="AU350" s="3" t="s">
        <v>4443</v>
      </c>
      <c r="AV350" s="3" t="s">
        <v>4444</v>
      </c>
      <c r="AW350" s="3" t="s">
        <v>4445</v>
      </c>
      <c r="AX350" s="3" t="s">
        <v>4445</v>
      </c>
      <c r="AY350" s="3" t="s">
        <v>4446</v>
      </c>
      <c r="AZ350" s="3" t="s">
        <v>73</v>
      </c>
      <c r="BB350" s="3" t="s">
        <v>4447</v>
      </c>
      <c r="BC350" s="3" t="s">
        <v>4448</v>
      </c>
      <c r="BD350" s="3" t="s">
        <v>4449</v>
      </c>
    </row>
    <row r="351" spans="1:56" ht="40.5" customHeight="1" x14ac:dyDescent="0.25">
      <c r="A351" s="7" t="s">
        <v>58</v>
      </c>
      <c r="B351" s="2" t="s">
        <v>4450</v>
      </c>
      <c r="C351" s="2" t="s">
        <v>4451</v>
      </c>
      <c r="D351" s="2" t="s">
        <v>4452</v>
      </c>
      <c r="E351" s="3" t="s">
        <v>4453</v>
      </c>
      <c r="F351" s="3" t="s">
        <v>85</v>
      </c>
      <c r="G351" s="3" t="s">
        <v>59</v>
      </c>
      <c r="H351" s="3" t="s">
        <v>58</v>
      </c>
      <c r="I351" s="3" t="s">
        <v>58</v>
      </c>
      <c r="J351" s="3" t="s">
        <v>60</v>
      </c>
      <c r="L351" s="2" t="s">
        <v>4454</v>
      </c>
      <c r="M351" s="3" t="s">
        <v>4083</v>
      </c>
      <c r="N351" s="2" t="s">
        <v>3878</v>
      </c>
      <c r="O351" s="3" t="s">
        <v>64</v>
      </c>
      <c r="P351" s="3" t="s">
        <v>117</v>
      </c>
      <c r="R351" s="3" t="s">
        <v>66</v>
      </c>
      <c r="S351" s="4">
        <v>1</v>
      </c>
      <c r="T351" s="4">
        <v>27</v>
      </c>
      <c r="U351" s="5" t="s">
        <v>4455</v>
      </c>
      <c r="V351" s="5" t="s">
        <v>4456</v>
      </c>
      <c r="W351" s="5" t="s">
        <v>2555</v>
      </c>
      <c r="X351" s="5" t="s">
        <v>2555</v>
      </c>
      <c r="Y351" s="4">
        <v>859</v>
      </c>
      <c r="Z351" s="4">
        <v>691</v>
      </c>
      <c r="AA351" s="4">
        <v>982</v>
      </c>
      <c r="AB351" s="4">
        <v>4</v>
      </c>
      <c r="AC351" s="4">
        <v>6</v>
      </c>
      <c r="AD351" s="4">
        <v>27</v>
      </c>
      <c r="AE351" s="4">
        <v>43</v>
      </c>
      <c r="AF351" s="4">
        <v>11</v>
      </c>
      <c r="AG351" s="4">
        <v>16</v>
      </c>
      <c r="AH351" s="4">
        <v>7</v>
      </c>
      <c r="AI351" s="4">
        <v>11</v>
      </c>
      <c r="AJ351" s="4">
        <v>13</v>
      </c>
      <c r="AK351" s="4">
        <v>18</v>
      </c>
      <c r="AL351" s="4">
        <v>3</v>
      </c>
      <c r="AM351" s="4">
        <v>5</v>
      </c>
      <c r="AN351" s="4">
        <v>0</v>
      </c>
      <c r="AO351" s="4">
        <v>1</v>
      </c>
      <c r="AP351" s="3" t="s">
        <v>58</v>
      </c>
      <c r="AQ351" s="3" t="s">
        <v>85</v>
      </c>
      <c r="AR351" s="6" t="str">
        <f t="shared" ref="AR351:AR364" si="0">HYPERLINK("http://catalog.hathitrust.org/Record/000117085","HathiTrust Record")</f>
        <v>HathiTrust Record</v>
      </c>
      <c r="AS351" s="6" t="str">
        <f t="shared" ref="AS351:AS364" si="1">HYPERLINK("https://creighton-primo.hosted.exlibrisgroup.com/primo-explore/search?tab=default_tab&amp;search_scope=EVERYTHING&amp;vid=01CRU&amp;lang=en_US&amp;offset=0&amp;query=any,contains,991000093219702656","Catalog Record")</f>
        <v>Catalog Record</v>
      </c>
      <c r="AT351" s="6" t="str">
        <f t="shared" ref="AT351:AT364" si="2">HYPERLINK("http://www.worldcat.org/oclc/134449","WorldCat Record")</f>
        <v>WorldCat Record</v>
      </c>
      <c r="AU351" s="3" t="s">
        <v>4457</v>
      </c>
      <c r="AV351" s="3" t="s">
        <v>4458</v>
      </c>
      <c r="AW351" s="3" t="s">
        <v>4459</v>
      </c>
      <c r="AX351" s="3" t="s">
        <v>4459</v>
      </c>
      <c r="AY351" s="3" t="s">
        <v>4460</v>
      </c>
      <c r="AZ351" s="3" t="s">
        <v>73</v>
      </c>
      <c r="BC351" s="3" t="s">
        <v>4461</v>
      </c>
      <c r="BD351" s="3" t="s">
        <v>4462</v>
      </c>
    </row>
    <row r="352" spans="1:56" ht="40.5" customHeight="1" x14ac:dyDescent="0.25">
      <c r="A352" s="7" t="s">
        <v>58</v>
      </c>
      <c r="B352" s="2" t="s">
        <v>4450</v>
      </c>
      <c r="C352" s="2" t="s">
        <v>4451</v>
      </c>
      <c r="D352" s="2" t="s">
        <v>4452</v>
      </c>
      <c r="E352" s="3" t="s">
        <v>1245</v>
      </c>
      <c r="F352" s="3" t="s">
        <v>85</v>
      </c>
      <c r="G352" s="3" t="s">
        <v>59</v>
      </c>
      <c r="H352" s="3" t="s">
        <v>58</v>
      </c>
      <c r="I352" s="3" t="s">
        <v>58</v>
      </c>
      <c r="J352" s="3" t="s">
        <v>60</v>
      </c>
      <c r="L352" s="2" t="s">
        <v>4454</v>
      </c>
      <c r="M352" s="3" t="s">
        <v>4083</v>
      </c>
      <c r="N352" s="2" t="s">
        <v>3878</v>
      </c>
      <c r="O352" s="3" t="s">
        <v>64</v>
      </c>
      <c r="P352" s="3" t="s">
        <v>117</v>
      </c>
      <c r="R352" s="3" t="s">
        <v>66</v>
      </c>
      <c r="S352" s="4">
        <v>2</v>
      </c>
      <c r="T352" s="4">
        <v>27</v>
      </c>
      <c r="V352" s="5" t="s">
        <v>4456</v>
      </c>
      <c r="W352" s="5" t="s">
        <v>2090</v>
      </c>
      <c r="X352" s="5" t="s">
        <v>2555</v>
      </c>
      <c r="Y352" s="4">
        <v>859</v>
      </c>
      <c r="Z352" s="4">
        <v>691</v>
      </c>
      <c r="AA352" s="4">
        <v>982</v>
      </c>
      <c r="AB352" s="4">
        <v>4</v>
      </c>
      <c r="AC352" s="4">
        <v>6</v>
      </c>
      <c r="AD352" s="4">
        <v>27</v>
      </c>
      <c r="AE352" s="4">
        <v>43</v>
      </c>
      <c r="AF352" s="4">
        <v>11</v>
      </c>
      <c r="AG352" s="4">
        <v>16</v>
      </c>
      <c r="AH352" s="4">
        <v>7</v>
      </c>
      <c r="AI352" s="4">
        <v>11</v>
      </c>
      <c r="AJ352" s="4">
        <v>13</v>
      </c>
      <c r="AK352" s="4">
        <v>18</v>
      </c>
      <c r="AL352" s="4">
        <v>3</v>
      </c>
      <c r="AM352" s="4">
        <v>5</v>
      </c>
      <c r="AN352" s="4">
        <v>0</v>
      </c>
      <c r="AO352" s="4">
        <v>1</v>
      </c>
      <c r="AP352" s="3" t="s">
        <v>58</v>
      </c>
      <c r="AQ352" s="3" t="s">
        <v>85</v>
      </c>
      <c r="AR352" s="6" t="str">
        <f t="shared" si="0"/>
        <v>HathiTrust Record</v>
      </c>
      <c r="AS352" s="6" t="str">
        <f t="shared" si="1"/>
        <v>Catalog Record</v>
      </c>
      <c r="AT352" s="6" t="str">
        <f t="shared" si="2"/>
        <v>WorldCat Record</v>
      </c>
      <c r="AU352" s="3" t="s">
        <v>4457</v>
      </c>
      <c r="AV352" s="3" t="s">
        <v>4458</v>
      </c>
      <c r="AW352" s="3" t="s">
        <v>4459</v>
      </c>
      <c r="AX352" s="3" t="s">
        <v>4459</v>
      </c>
      <c r="AY352" s="3" t="s">
        <v>4460</v>
      </c>
      <c r="AZ352" s="3" t="s">
        <v>73</v>
      </c>
      <c r="BC352" s="3" t="s">
        <v>4463</v>
      </c>
      <c r="BD352" s="3" t="s">
        <v>4464</v>
      </c>
    </row>
    <row r="353" spans="1:56" ht="40.5" customHeight="1" x14ac:dyDescent="0.25">
      <c r="A353" s="7" t="s">
        <v>58</v>
      </c>
      <c r="B353" s="2" t="s">
        <v>4450</v>
      </c>
      <c r="C353" s="2" t="s">
        <v>4451</v>
      </c>
      <c r="D353" s="2" t="s">
        <v>4452</v>
      </c>
      <c r="E353" s="3" t="s">
        <v>573</v>
      </c>
      <c r="F353" s="3" t="s">
        <v>85</v>
      </c>
      <c r="G353" s="3" t="s">
        <v>59</v>
      </c>
      <c r="H353" s="3" t="s">
        <v>58</v>
      </c>
      <c r="I353" s="3" t="s">
        <v>58</v>
      </c>
      <c r="J353" s="3" t="s">
        <v>60</v>
      </c>
      <c r="L353" s="2" t="s">
        <v>4454</v>
      </c>
      <c r="M353" s="3" t="s">
        <v>4083</v>
      </c>
      <c r="N353" s="2" t="s">
        <v>3878</v>
      </c>
      <c r="O353" s="3" t="s">
        <v>64</v>
      </c>
      <c r="P353" s="3" t="s">
        <v>117</v>
      </c>
      <c r="R353" s="3" t="s">
        <v>66</v>
      </c>
      <c r="S353" s="4">
        <v>0</v>
      </c>
      <c r="T353" s="4">
        <v>27</v>
      </c>
      <c r="V353" s="5" t="s">
        <v>4456</v>
      </c>
      <c r="W353" s="5" t="s">
        <v>2090</v>
      </c>
      <c r="X353" s="5" t="s">
        <v>2555</v>
      </c>
      <c r="Y353" s="4">
        <v>859</v>
      </c>
      <c r="Z353" s="4">
        <v>691</v>
      </c>
      <c r="AA353" s="4">
        <v>982</v>
      </c>
      <c r="AB353" s="4">
        <v>4</v>
      </c>
      <c r="AC353" s="4">
        <v>6</v>
      </c>
      <c r="AD353" s="4">
        <v>27</v>
      </c>
      <c r="AE353" s="4">
        <v>43</v>
      </c>
      <c r="AF353" s="4">
        <v>11</v>
      </c>
      <c r="AG353" s="4">
        <v>16</v>
      </c>
      <c r="AH353" s="4">
        <v>7</v>
      </c>
      <c r="AI353" s="4">
        <v>11</v>
      </c>
      <c r="AJ353" s="4">
        <v>13</v>
      </c>
      <c r="AK353" s="4">
        <v>18</v>
      </c>
      <c r="AL353" s="4">
        <v>3</v>
      </c>
      <c r="AM353" s="4">
        <v>5</v>
      </c>
      <c r="AN353" s="4">
        <v>0</v>
      </c>
      <c r="AO353" s="4">
        <v>1</v>
      </c>
      <c r="AP353" s="3" t="s">
        <v>58</v>
      </c>
      <c r="AQ353" s="3" t="s">
        <v>85</v>
      </c>
      <c r="AR353" s="6" t="str">
        <f t="shared" si="0"/>
        <v>HathiTrust Record</v>
      </c>
      <c r="AS353" s="6" t="str">
        <f t="shared" si="1"/>
        <v>Catalog Record</v>
      </c>
      <c r="AT353" s="6" t="str">
        <f t="shared" si="2"/>
        <v>WorldCat Record</v>
      </c>
      <c r="AU353" s="3" t="s">
        <v>4457</v>
      </c>
      <c r="AV353" s="3" t="s">
        <v>4458</v>
      </c>
      <c r="AW353" s="3" t="s">
        <v>4459</v>
      </c>
      <c r="AX353" s="3" t="s">
        <v>4459</v>
      </c>
      <c r="AY353" s="3" t="s">
        <v>4460</v>
      </c>
      <c r="AZ353" s="3" t="s">
        <v>73</v>
      </c>
      <c r="BC353" s="3" t="s">
        <v>4465</v>
      </c>
      <c r="BD353" s="3" t="s">
        <v>4466</v>
      </c>
    </row>
    <row r="354" spans="1:56" ht="40.5" customHeight="1" x14ac:dyDescent="0.25">
      <c r="A354" s="7" t="s">
        <v>58</v>
      </c>
      <c r="B354" s="2" t="s">
        <v>4450</v>
      </c>
      <c r="C354" s="2" t="s">
        <v>4451</v>
      </c>
      <c r="D354" s="2" t="s">
        <v>4452</v>
      </c>
      <c r="E354" s="3" t="s">
        <v>1230</v>
      </c>
      <c r="F354" s="3" t="s">
        <v>85</v>
      </c>
      <c r="G354" s="3" t="s">
        <v>59</v>
      </c>
      <c r="H354" s="3" t="s">
        <v>58</v>
      </c>
      <c r="I354" s="3" t="s">
        <v>58</v>
      </c>
      <c r="J354" s="3" t="s">
        <v>60</v>
      </c>
      <c r="L354" s="2" t="s">
        <v>4454</v>
      </c>
      <c r="M354" s="3" t="s">
        <v>4083</v>
      </c>
      <c r="N354" s="2" t="s">
        <v>3878</v>
      </c>
      <c r="O354" s="3" t="s">
        <v>64</v>
      </c>
      <c r="P354" s="3" t="s">
        <v>117</v>
      </c>
      <c r="R354" s="3" t="s">
        <v>66</v>
      </c>
      <c r="S354" s="4">
        <v>0</v>
      </c>
      <c r="T354" s="4">
        <v>27</v>
      </c>
      <c r="V354" s="5" t="s">
        <v>4456</v>
      </c>
      <c r="W354" s="5" t="s">
        <v>2090</v>
      </c>
      <c r="X354" s="5" t="s">
        <v>2555</v>
      </c>
      <c r="Y354" s="4">
        <v>859</v>
      </c>
      <c r="Z354" s="4">
        <v>691</v>
      </c>
      <c r="AA354" s="4">
        <v>982</v>
      </c>
      <c r="AB354" s="4">
        <v>4</v>
      </c>
      <c r="AC354" s="4">
        <v>6</v>
      </c>
      <c r="AD354" s="4">
        <v>27</v>
      </c>
      <c r="AE354" s="4">
        <v>43</v>
      </c>
      <c r="AF354" s="4">
        <v>11</v>
      </c>
      <c r="AG354" s="4">
        <v>16</v>
      </c>
      <c r="AH354" s="4">
        <v>7</v>
      </c>
      <c r="AI354" s="4">
        <v>11</v>
      </c>
      <c r="AJ354" s="4">
        <v>13</v>
      </c>
      <c r="AK354" s="4">
        <v>18</v>
      </c>
      <c r="AL354" s="4">
        <v>3</v>
      </c>
      <c r="AM354" s="4">
        <v>5</v>
      </c>
      <c r="AN354" s="4">
        <v>0</v>
      </c>
      <c r="AO354" s="4">
        <v>1</v>
      </c>
      <c r="AP354" s="3" t="s">
        <v>58</v>
      </c>
      <c r="AQ354" s="3" t="s">
        <v>85</v>
      </c>
      <c r="AR354" s="6" t="str">
        <f t="shared" si="0"/>
        <v>HathiTrust Record</v>
      </c>
      <c r="AS354" s="6" t="str">
        <f t="shared" si="1"/>
        <v>Catalog Record</v>
      </c>
      <c r="AT354" s="6" t="str">
        <f t="shared" si="2"/>
        <v>WorldCat Record</v>
      </c>
      <c r="AU354" s="3" t="s">
        <v>4457</v>
      </c>
      <c r="AV354" s="3" t="s">
        <v>4458</v>
      </c>
      <c r="AW354" s="3" t="s">
        <v>4459</v>
      </c>
      <c r="AX354" s="3" t="s">
        <v>4459</v>
      </c>
      <c r="AY354" s="3" t="s">
        <v>4460</v>
      </c>
      <c r="AZ354" s="3" t="s">
        <v>73</v>
      </c>
      <c r="BC354" s="3" t="s">
        <v>4467</v>
      </c>
      <c r="BD354" s="3" t="s">
        <v>4468</v>
      </c>
    </row>
    <row r="355" spans="1:56" ht="40.5" customHeight="1" x14ac:dyDescent="0.25">
      <c r="A355" s="7" t="s">
        <v>58</v>
      </c>
      <c r="B355" s="2" t="s">
        <v>4450</v>
      </c>
      <c r="C355" s="2" t="s">
        <v>4451</v>
      </c>
      <c r="D355" s="2" t="s">
        <v>4452</v>
      </c>
      <c r="E355" s="3" t="s">
        <v>4469</v>
      </c>
      <c r="F355" s="3" t="s">
        <v>85</v>
      </c>
      <c r="G355" s="3" t="s">
        <v>59</v>
      </c>
      <c r="H355" s="3" t="s">
        <v>58</v>
      </c>
      <c r="I355" s="3" t="s">
        <v>58</v>
      </c>
      <c r="J355" s="3" t="s">
        <v>60</v>
      </c>
      <c r="L355" s="2" t="s">
        <v>4454</v>
      </c>
      <c r="M355" s="3" t="s">
        <v>4083</v>
      </c>
      <c r="N355" s="2" t="s">
        <v>3878</v>
      </c>
      <c r="O355" s="3" t="s">
        <v>64</v>
      </c>
      <c r="P355" s="3" t="s">
        <v>117</v>
      </c>
      <c r="R355" s="3" t="s">
        <v>66</v>
      </c>
      <c r="S355" s="4">
        <v>2</v>
      </c>
      <c r="T355" s="4">
        <v>27</v>
      </c>
      <c r="V355" s="5" t="s">
        <v>4456</v>
      </c>
      <c r="W355" s="5" t="s">
        <v>2090</v>
      </c>
      <c r="X355" s="5" t="s">
        <v>2555</v>
      </c>
      <c r="Y355" s="4">
        <v>859</v>
      </c>
      <c r="Z355" s="4">
        <v>691</v>
      </c>
      <c r="AA355" s="4">
        <v>982</v>
      </c>
      <c r="AB355" s="4">
        <v>4</v>
      </c>
      <c r="AC355" s="4">
        <v>6</v>
      </c>
      <c r="AD355" s="4">
        <v>27</v>
      </c>
      <c r="AE355" s="4">
        <v>43</v>
      </c>
      <c r="AF355" s="4">
        <v>11</v>
      </c>
      <c r="AG355" s="4">
        <v>16</v>
      </c>
      <c r="AH355" s="4">
        <v>7</v>
      </c>
      <c r="AI355" s="4">
        <v>11</v>
      </c>
      <c r="AJ355" s="4">
        <v>13</v>
      </c>
      <c r="AK355" s="4">
        <v>18</v>
      </c>
      <c r="AL355" s="4">
        <v>3</v>
      </c>
      <c r="AM355" s="4">
        <v>5</v>
      </c>
      <c r="AN355" s="4">
        <v>0</v>
      </c>
      <c r="AO355" s="4">
        <v>1</v>
      </c>
      <c r="AP355" s="3" t="s">
        <v>58</v>
      </c>
      <c r="AQ355" s="3" t="s">
        <v>85</v>
      </c>
      <c r="AR355" s="6" t="str">
        <f t="shared" si="0"/>
        <v>HathiTrust Record</v>
      </c>
      <c r="AS355" s="6" t="str">
        <f t="shared" si="1"/>
        <v>Catalog Record</v>
      </c>
      <c r="AT355" s="6" t="str">
        <f t="shared" si="2"/>
        <v>WorldCat Record</v>
      </c>
      <c r="AU355" s="3" t="s">
        <v>4457</v>
      </c>
      <c r="AV355" s="3" t="s">
        <v>4458</v>
      </c>
      <c r="AW355" s="3" t="s">
        <v>4459</v>
      </c>
      <c r="AX355" s="3" t="s">
        <v>4459</v>
      </c>
      <c r="AY355" s="3" t="s">
        <v>4460</v>
      </c>
      <c r="AZ355" s="3" t="s">
        <v>73</v>
      </c>
      <c r="BC355" s="3" t="s">
        <v>4470</v>
      </c>
      <c r="BD355" s="3" t="s">
        <v>4471</v>
      </c>
    </row>
    <row r="356" spans="1:56" ht="40.5" customHeight="1" x14ac:dyDescent="0.25">
      <c r="A356" s="7" t="s">
        <v>58</v>
      </c>
      <c r="B356" s="2" t="s">
        <v>4450</v>
      </c>
      <c r="C356" s="2" t="s">
        <v>4451</v>
      </c>
      <c r="D356" s="2" t="s">
        <v>4452</v>
      </c>
      <c r="E356" s="3" t="s">
        <v>4472</v>
      </c>
      <c r="F356" s="3" t="s">
        <v>85</v>
      </c>
      <c r="G356" s="3" t="s">
        <v>59</v>
      </c>
      <c r="H356" s="3" t="s">
        <v>58</v>
      </c>
      <c r="I356" s="3" t="s">
        <v>58</v>
      </c>
      <c r="J356" s="3" t="s">
        <v>60</v>
      </c>
      <c r="L356" s="2" t="s">
        <v>4454</v>
      </c>
      <c r="M356" s="3" t="s">
        <v>4083</v>
      </c>
      <c r="N356" s="2" t="s">
        <v>3878</v>
      </c>
      <c r="O356" s="3" t="s">
        <v>64</v>
      </c>
      <c r="P356" s="3" t="s">
        <v>117</v>
      </c>
      <c r="R356" s="3" t="s">
        <v>66</v>
      </c>
      <c r="S356" s="4">
        <v>3</v>
      </c>
      <c r="T356" s="4">
        <v>27</v>
      </c>
      <c r="U356" s="5" t="s">
        <v>4473</v>
      </c>
      <c r="V356" s="5" t="s">
        <v>4456</v>
      </c>
      <c r="W356" s="5" t="s">
        <v>2090</v>
      </c>
      <c r="X356" s="5" t="s">
        <v>2555</v>
      </c>
      <c r="Y356" s="4">
        <v>859</v>
      </c>
      <c r="Z356" s="4">
        <v>691</v>
      </c>
      <c r="AA356" s="4">
        <v>982</v>
      </c>
      <c r="AB356" s="4">
        <v>4</v>
      </c>
      <c r="AC356" s="4">
        <v>6</v>
      </c>
      <c r="AD356" s="4">
        <v>27</v>
      </c>
      <c r="AE356" s="4">
        <v>43</v>
      </c>
      <c r="AF356" s="4">
        <v>11</v>
      </c>
      <c r="AG356" s="4">
        <v>16</v>
      </c>
      <c r="AH356" s="4">
        <v>7</v>
      </c>
      <c r="AI356" s="4">
        <v>11</v>
      </c>
      <c r="AJ356" s="4">
        <v>13</v>
      </c>
      <c r="AK356" s="4">
        <v>18</v>
      </c>
      <c r="AL356" s="4">
        <v>3</v>
      </c>
      <c r="AM356" s="4">
        <v>5</v>
      </c>
      <c r="AN356" s="4">
        <v>0</v>
      </c>
      <c r="AO356" s="4">
        <v>1</v>
      </c>
      <c r="AP356" s="3" t="s">
        <v>58</v>
      </c>
      <c r="AQ356" s="3" t="s">
        <v>85</v>
      </c>
      <c r="AR356" s="6" t="str">
        <f t="shared" si="0"/>
        <v>HathiTrust Record</v>
      </c>
      <c r="AS356" s="6" t="str">
        <f t="shared" si="1"/>
        <v>Catalog Record</v>
      </c>
      <c r="AT356" s="6" t="str">
        <f t="shared" si="2"/>
        <v>WorldCat Record</v>
      </c>
      <c r="AU356" s="3" t="s">
        <v>4457</v>
      </c>
      <c r="AV356" s="3" t="s">
        <v>4458</v>
      </c>
      <c r="AW356" s="3" t="s">
        <v>4459</v>
      </c>
      <c r="AX356" s="3" t="s">
        <v>4459</v>
      </c>
      <c r="AY356" s="3" t="s">
        <v>4460</v>
      </c>
      <c r="AZ356" s="3" t="s">
        <v>73</v>
      </c>
      <c r="BC356" s="3" t="s">
        <v>4474</v>
      </c>
      <c r="BD356" s="3" t="s">
        <v>4475</v>
      </c>
    </row>
    <row r="357" spans="1:56" ht="40.5" customHeight="1" x14ac:dyDescent="0.25">
      <c r="A357" s="7" t="s">
        <v>58</v>
      </c>
      <c r="B357" s="2" t="s">
        <v>4450</v>
      </c>
      <c r="C357" s="2" t="s">
        <v>4451</v>
      </c>
      <c r="D357" s="2" t="s">
        <v>4452</v>
      </c>
      <c r="E357" s="3" t="s">
        <v>258</v>
      </c>
      <c r="F357" s="3" t="s">
        <v>85</v>
      </c>
      <c r="G357" s="3" t="s">
        <v>59</v>
      </c>
      <c r="H357" s="3" t="s">
        <v>58</v>
      </c>
      <c r="I357" s="3" t="s">
        <v>58</v>
      </c>
      <c r="J357" s="3" t="s">
        <v>60</v>
      </c>
      <c r="L357" s="2" t="s">
        <v>4454</v>
      </c>
      <c r="M357" s="3" t="s">
        <v>4083</v>
      </c>
      <c r="N357" s="2" t="s">
        <v>3878</v>
      </c>
      <c r="O357" s="3" t="s">
        <v>64</v>
      </c>
      <c r="P357" s="3" t="s">
        <v>117</v>
      </c>
      <c r="R357" s="3" t="s">
        <v>66</v>
      </c>
      <c r="S357" s="4">
        <v>3</v>
      </c>
      <c r="T357" s="4">
        <v>27</v>
      </c>
      <c r="U357" s="5" t="s">
        <v>2261</v>
      </c>
      <c r="V357" s="5" t="s">
        <v>4456</v>
      </c>
      <c r="W357" s="5" t="s">
        <v>2090</v>
      </c>
      <c r="X357" s="5" t="s">
        <v>2555</v>
      </c>
      <c r="Y357" s="4">
        <v>859</v>
      </c>
      <c r="Z357" s="4">
        <v>691</v>
      </c>
      <c r="AA357" s="4">
        <v>982</v>
      </c>
      <c r="AB357" s="4">
        <v>4</v>
      </c>
      <c r="AC357" s="4">
        <v>6</v>
      </c>
      <c r="AD357" s="4">
        <v>27</v>
      </c>
      <c r="AE357" s="4">
        <v>43</v>
      </c>
      <c r="AF357" s="4">
        <v>11</v>
      </c>
      <c r="AG357" s="4">
        <v>16</v>
      </c>
      <c r="AH357" s="4">
        <v>7</v>
      </c>
      <c r="AI357" s="4">
        <v>11</v>
      </c>
      <c r="AJ357" s="4">
        <v>13</v>
      </c>
      <c r="AK357" s="4">
        <v>18</v>
      </c>
      <c r="AL357" s="4">
        <v>3</v>
      </c>
      <c r="AM357" s="4">
        <v>5</v>
      </c>
      <c r="AN357" s="4">
        <v>0</v>
      </c>
      <c r="AO357" s="4">
        <v>1</v>
      </c>
      <c r="AP357" s="3" t="s">
        <v>58</v>
      </c>
      <c r="AQ357" s="3" t="s">
        <v>85</v>
      </c>
      <c r="AR357" s="6" t="str">
        <f t="shared" si="0"/>
        <v>HathiTrust Record</v>
      </c>
      <c r="AS357" s="6" t="str">
        <f t="shared" si="1"/>
        <v>Catalog Record</v>
      </c>
      <c r="AT357" s="6" t="str">
        <f t="shared" si="2"/>
        <v>WorldCat Record</v>
      </c>
      <c r="AU357" s="3" t="s">
        <v>4457</v>
      </c>
      <c r="AV357" s="3" t="s">
        <v>4458</v>
      </c>
      <c r="AW357" s="3" t="s">
        <v>4459</v>
      </c>
      <c r="AX357" s="3" t="s">
        <v>4459</v>
      </c>
      <c r="AY357" s="3" t="s">
        <v>4460</v>
      </c>
      <c r="AZ357" s="3" t="s">
        <v>73</v>
      </c>
      <c r="BC357" s="3" t="s">
        <v>4476</v>
      </c>
      <c r="BD357" s="3" t="s">
        <v>4477</v>
      </c>
    </row>
    <row r="358" spans="1:56" ht="40.5" customHeight="1" x14ac:dyDescent="0.25">
      <c r="A358" s="7" t="s">
        <v>58</v>
      </c>
      <c r="B358" s="2" t="s">
        <v>4450</v>
      </c>
      <c r="C358" s="2" t="s">
        <v>4451</v>
      </c>
      <c r="D358" s="2" t="s">
        <v>4452</v>
      </c>
      <c r="E358" s="3" t="s">
        <v>4478</v>
      </c>
      <c r="F358" s="3" t="s">
        <v>85</v>
      </c>
      <c r="G358" s="3" t="s">
        <v>59</v>
      </c>
      <c r="H358" s="3" t="s">
        <v>58</v>
      </c>
      <c r="I358" s="3" t="s">
        <v>58</v>
      </c>
      <c r="J358" s="3" t="s">
        <v>60</v>
      </c>
      <c r="L358" s="2" t="s">
        <v>4454</v>
      </c>
      <c r="M358" s="3" t="s">
        <v>4083</v>
      </c>
      <c r="N358" s="2" t="s">
        <v>3878</v>
      </c>
      <c r="O358" s="3" t="s">
        <v>64</v>
      </c>
      <c r="P358" s="3" t="s">
        <v>117</v>
      </c>
      <c r="R358" s="3" t="s">
        <v>66</v>
      </c>
      <c r="S358" s="4">
        <v>3</v>
      </c>
      <c r="T358" s="4">
        <v>27</v>
      </c>
      <c r="U358" s="5" t="s">
        <v>4479</v>
      </c>
      <c r="V358" s="5" t="s">
        <v>4456</v>
      </c>
      <c r="W358" s="5" t="s">
        <v>2090</v>
      </c>
      <c r="X358" s="5" t="s">
        <v>2555</v>
      </c>
      <c r="Y358" s="4">
        <v>859</v>
      </c>
      <c r="Z358" s="4">
        <v>691</v>
      </c>
      <c r="AA358" s="4">
        <v>982</v>
      </c>
      <c r="AB358" s="4">
        <v>4</v>
      </c>
      <c r="AC358" s="4">
        <v>6</v>
      </c>
      <c r="AD358" s="4">
        <v>27</v>
      </c>
      <c r="AE358" s="4">
        <v>43</v>
      </c>
      <c r="AF358" s="4">
        <v>11</v>
      </c>
      <c r="AG358" s="4">
        <v>16</v>
      </c>
      <c r="AH358" s="4">
        <v>7</v>
      </c>
      <c r="AI358" s="4">
        <v>11</v>
      </c>
      <c r="AJ358" s="4">
        <v>13</v>
      </c>
      <c r="AK358" s="4">
        <v>18</v>
      </c>
      <c r="AL358" s="4">
        <v>3</v>
      </c>
      <c r="AM358" s="4">
        <v>5</v>
      </c>
      <c r="AN358" s="4">
        <v>0</v>
      </c>
      <c r="AO358" s="4">
        <v>1</v>
      </c>
      <c r="AP358" s="3" t="s">
        <v>58</v>
      </c>
      <c r="AQ358" s="3" t="s">
        <v>85</v>
      </c>
      <c r="AR358" s="6" t="str">
        <f t="shared" si="0"/>
        <v>HathiTrust Record</v>
      </c>
      <c r="AS358" s="6" t="str">
        <f t="shared" si="1"/>
        <v>Catalog Record</v>
      </c>
      <c r="AT358" s="6" t="str">
        <f t="shared" si="2"/>
        <v>WorldCat Record</v>
      </c>
      <c r="AU358" s="3" t="s">
        <v>4457</v>
      </c>
      <c r="AV358" s="3" t="s">
        <v>4458</v>
      </c>
      <c r="AW358" s="3" t="s">
        <v>4459</v>
      </c>
      <c r="AX358" s="3" t="s">
        <v>4459</v>
      </c>
      <c r="AY358" s="3" t="s">
        <v>4460</v>
      </c>
      <c r="AZ358" s="3" t="s">
        <v>73</v>
      </c>
      <c r="BC358" s="3" t="s">
        <v>4480</v>
      </c>
      <c r="BD358" s="3" t="s">
        <v>4481</v>
      </c>
    </row>
    <row r="359" spans="1:56" ht="40.5" customHeight="1" x14ac:dyDescent="0.25">
      <c r="A359" s="7" t="s">
        <v>58</v>
      </c>
      <c r="B359" s="2" t="s">
        <v>4450</v>
      </c>
      <c r="C359" s="2" t="s">
        <v>4451</v>
      </c>
      <c r="D359" s="2" t="s">
        <v>4452</v>
      </c>
      <c r="E359" s="3" t="s">
        <v>108</v>
      </c>
      <c r="F359" s="3" t="s">
        <v>85</v>
      </c>
      <c r="G359" s="3" t="s">
        <v>59</v>
      </c>
      <c r="H359" s="3" t="s">
        <v>58</v>
      </c>
      <c r="I359" s="3" t="s">
        <v>58</v>
      </c>
      <c r="J359" s="3" t="s">
        <v>60</v>
      </c>
      <c r="L359" s="2" t="s">
        <v>4454</v>
      </c>
      <c r="M359" s="3" t="s">
        <v>4083</v>
      </c>
      <c r="N359" s="2" t="s">
        <v>3878</v>
      </c>
      <c r="O359" s="3" t="s">
        <v>64</v>
      </c>
      <c r="P359" s="3" t="s">
        <v>117</v>
      </c>
      <c r="R359" s="3" t="s">
        <v>66</v>
      </c>
      <c r="S359" s="4">
        <v>3</v>
      </c>
      <c r="T359" s="4">
        <v>27</v>
      </c>
      <c r="U359" s="5" t="s">
        <v>4456</v>
      </c>
      <c r="V359" s="5" t="s">
        <v>4456</v>
      </c>
      <c r="W359" s="5" t="s">
        <v>2090</v>
      </c>
      <c r="X359" s="5" t="s">
        <v>2555</v>
      </c>
      <c r="Y359" s="4">
        <v>859</v>
      </c>
      <c r="Z359" s="4">
        <v>691</v>
      </c>
      <c r="AA359" s="4">
        <v>982</v>
      </c>
      <c r="AB359" s="4">
        <v>4</v>
      </c>
      <c r="AC359" s="4">
        <v>6</v>
      </c>
      <c r="AD359" s="4">
        <v>27</v>
      </c>
      <c r="AE359" s="4">
        <v>43</v>
      </c>
      <c r="AF359" s="4">
        <v>11</v>
      </c>
      <c r="AG359" s="4">
        <v>16</v>
      </c>
      <c r="AH359" s="4">
        <v>7</v>
      </c>
      <c r="AI359" s="4">
        <v>11</v>
      </c>
      <c r="AJ359" s="4">
        <v>13</v>
      </c>
      <c r="AK359" s="4">
        <v>18</v>
      </c>
      <c r="AL359" s="4">
        <v>3</v>
      </c>
      <c r="AM359" s="4">
        <v>5</v>
      </c>
      <c r="AN359" s="4">
        <v>0</v>
      </c>
      <c r="AO359" s="4">
        <v>1</v>
      </c>
      <c r="AP359" s="3" t="s">
        <v>58</v>
      </c>
      <c r="AQ359" s="3" t="s">
        <v>85</v>
      </c>
      <c r="AR359" s="6" t="str">
        <f t="shared" si="0"/>
        <v>HathiTrust Record</v>
      </c>
      <c r="AS359" s="6" t="str">
        <f t="shared" si="1"/>
        <v>Catalog Record</v>
      </c>
      <c r="AT359" s="6" t="str">
        <f t="shared" si="2"/>
        <v>WorldCat Record</v>
      </c>
      <c r="AU359" s="3" t="s">
        <v>4457</v>
      </c>
      <c r="AV359" s="3" t="s">
        <v>4458</v>
      </c>
      <c r="AW359" s="3" t="s">
        <v>4459</v>
      </c>
      <c r="AX359" s="3" t="s">
        <v>4459</v>
      </c>
      <c r="AY359" s="3" t="s">
        <v>4460</v>
      </c>
      <c r="AZ359" s="3" t="s">
        <v>73</v>
      </c>
      <c r="BC359" s="3" t="s">
        <v>4482</v>
      </c>
      <c r="BD359" s="3" t="s">
        <v>4483</v>
      </c>
    </row>
    <row r="360" spans="1:56" ht="40.5" customHeight="1" x14ac:dyDescent="0.25">
      <c r="A360" s="7" t="s">
        <v>58</v>
      </c>
      <c r="B360" s="2" t="s">
        <v>4450</v>
      </c>
      <c r="C360" s="2" t="s">
        <v>4451</v>
      </c>
      <c r="D360" s="2" t="s">
        <v>4452</v>
      </c>
      <c r="E360" s="3" t="s">
        <v>4484</v>
      </c>
      <c r="F360" s="3" t="s">
        <v>85</v>
      </c>
      <c r="G360" s="3" t="s">
        <v>59</v>
      </c>
      <c r="H360" s="3" t="s">
        <v>58</v>
      </c>
      <c r="I360" s="3" t="s">
        <v>58</v>
      </c>
      <c r="J360" s="3" t="s">
        <v>60</v>
      </c>
      <c r="L360" s="2" t="s">
        <v>4454</v>
      </c>
      <c r="M360" s="3" t="s">
        <v>4083</v>
      </c>
      <c r="N360" s="2" t="s">
        <v>3878</v>
      </c>
      <c r="O360" s="3" t="s">
        <v>64</v>
      </c>
      <c r="P360" s="3" t="s">
        <v>117</v>
      </c>
      <c r="R360" s="3" t="s">
        <v>66</v>
      </c>
      <c r="S360" s="4">
        <v>1</v>
      </c>
      <c r="T360" s="4">
        <v>27</v>
      </c>
      <c r="V360" s="5" t="s">
        <v>4456</v>
      </c>
      <c r="W360" s="5" t="s">
        <v>2090</v>
      </c>
      <c r="X360" s="5" t="s">
        <v>2555</v>
      </c>
      <c r="Y360" s="4">
        <v>859</v>
      </c>
      <c r="Z360" s="4">
        <v>691</v>
      </c>
      <c r="AA360" s="4">
        <v>982</v>
      </c>
      <c r="AB360" s="4">
        <v>4</v>
      </c>
      <c r="AC360" s="4">
        <v>6</v>
      </c>
      <c r="AD360" s="4">
        <v>27</v>
      </c>
      <c r="AE360" s="4">
        <v>43</v>
      </c>
      <c r="AF360" s="4">
        <v>11</v>
      </c>
      <c r="AG360" s="4">
        <v>16</v>
      </c>
      <c r="AH360" s="4">
        <v>7</v>
      </c>
      <c r="AI360" s="4">
        <v>11</v>
      </c>
      <c r="AJ360" s="4">
        <v>13</v>
      </c>
      <c r="AK360" s="4">
        <v>18</v>
      </c>
      <c r="AL360" s="4">
        <v>3</v>
      </c>
      <c r="AM360" s="4">
        <v>5</v>
      </c>
      <c r="AN360" s="4">
        <v>0</v>
      </c>
      <c r="AO360" s="4">
        <v>1</v>
      </c>
      <c r="AP360" s="3" t="s">
        <v>58</v>
      </c>
      <c r="AQ360" s="3" t="s">
        <v>85</v>
      </c>
      <c r="AR360" s="6" t="str">
        <f t="shared" si="0"/>
        <v>HathiTrust Record</v>
      </c>
      <c r="AS360" s="6" t="str">
        <f t="shared" si="1"/>
        <v>Catalog Record</v>
      </c>
      <c r="AT360" s="6" t="str">
        <f t="shared" si="2"/>
        <v>WorldCat Record</v>
      </c>
      <c r="AU360" s="3" t="s">
        <v>4457</v>
      </c>
      <c r="AV360" s="3" t="s">
        <v>4458</v>
      </c>
      <c r="AW360" s="3" t="s">
        <v>4459</v>
      </c>
      <c r="AX360" s="3" t="s">
        <v>4459</v>
      </c>
      <c r="AY360" s="3" t="s">
        <v>4460</v>
      </c>
      <c r="AZ360" s="3" t="s">
        <v>73</v>
      </c>
      <c r="BC360" s="3" t="s">
        <v>4485</v>
      </c>
      <c r="BD360" s="3" t="s">
        <v>4486</v>
      </c>
    </row>
    <row r="361" spans="1:56" ht="40.5" customHeight="1" x14ac:dyDescent="0.25">
      <c r="A361" s="7" t="s">
        <v>58</v>
      </c>
      <c r="B361" s="2" t="s">
        <v>4450</v>
      </c>
      <c r="C361" s="2" t="s">
        <v>4451</v>
      </c>
      <c r="D361" s="2" t="s">
        <v>4452</v>
      </c>
      <c r="E361" s="3" t="s">
        <v>96</v>
      </c>
      <c r="F361" s="3" t="s">
        <v>85</v>
      </c>
      <c r="G361" s="3" t="s">
        <v>59</v>
      </c>
      <c r="H361" s="3" t="s">
        <v>58</v>
      </c>
      <c r="I361" s="3" t="s">
        <v>58</v>
      </c>
      <c r="J361" s="3" t="s">
        <v>60</v>
      </c>
      <c r="L361" s="2" t="s">
        <v>4454</v>
      </c>
      <c r="M361" s="3" t="s">
        <v>4083</v>
      </c>
      <c r="N361" s="2" t="s">
        <v>3878</v>
      </c>
      <c r="O361" s="3" t="s">
        <v>64</v>
      </c>
      <c r="P361" s="3" t="s">
        <v>117</v>
      </c>
      <c r="R361" s="3" t="s">
        <v>66</v>
      </c>
      <c r="S361" s="4">
        <v>6</v>
      </c>
      <c r="T361" s="4">
        <v>27</v>
      </c>
      <c r="U361" s="5" t="s">
        <v>4479</v>
      </c>
      <c r="V361" s="5" t="s">
        <v>4456</v>
      </c>
      <c r="W361" s="5" t="s">
        <v>2090</v>
      </c>
      <c r="X361" s="5" t="s">
        <v>2555</v>
      </c>
      <c r="Y361" s="4">
        <v>859</v>
      </c>
      <c r="Z361" s="4">
        <v>691</v>
      </c>
      <c r="AA361" s="4">
        <v>982</v>
      </c>
      <c r="AB361" s="4">
        <v>4</v>
      </c>
      <c r="AC361" s="4">
        <v>6</v>
      </c>
      <c r="AD361" s="4">
        <v>27</v>
      </c>
      <c r="AE361" s="4">
        <v>43</v>
      </c>
      <c r="AF361" s="4">
        <v>11</v>
      </c>
      <c r="AG361" s="4">
        <v>16</v>
      </c>
      <c r="AH361" s="4">
        <v>7</v>
      </c>
      <c r="AI361" s="4">
        <v>11</v>
      </c>
      <c r="AJ361" s="4">
        <v>13</v>
      </c>
      <c r="AK361" s="4">
        <v>18</v>
      </c>
      <c r="AL361" s="4">
        <v>3</v>
      </c>
      <c r="AM361" s="4">
        <v>5</v>
      </c>
      <c r="AN361" s="4">
        <v>0</v>
      </c>
      <c r="AO361" s="4">
        <v>1</v>
      </c>
      <c r="AP361" s="3" t="s">
        <v>58</v>
      </c>
      <c r="AQ361" s="3" t="s">
        <v>85</v>
      </c>
      <c r="AR361" s="6" t="str">
        <f t="shared" si="0"/>
        <v>HathiTrust Record</v>
      </c>
      <c r="AS361" s="6" t="str">
        <f t="shared" si="1"/>
        <v>Catalog Record</v>
      </c>
      <c r="AT361" s="6" t="str">
        <f t="shared" si="2"/>
        <v>WorldCat Record</v>
      </c>
      <c r="AU361" s="3" t="s">
        <v>4457</v>
      </c>
      <c r="AV361" s="3" t="s">
        <v>4458</v>
      </c>
      <c r="AW361" s="3" t="s">
        <v>4459</v>
      </c>
      <c r="AX361" s="3" t="s">
        <v>4459</v>
      </c>
      <c r="AY361" s="3" t="s">
        <v>4460</v>
      </c>
      <c r="AZ361" s="3" t="s">
        <v>73</v>
      </c>
      <c r="BC361" s="3" t="s">
        <v>4487</v>
      </c>
      <c r="BD361" s="3" t="s">
        <v>4488</v>
      </c>
    </row>
    <row r="362" spans="1:56" ht="40.5" customHeight="1" x14ac:dyDescent="0.25">
      <c r="A362" s="7" t="s">
        <v>58</v>
      </c>
      <c r="B362" s="2" t="s">
        <v>4450</v>
      </c>
      <c r="C362" s="2" t="s">
        <v>4451</v>
      </c>
      <c r="D362" s="2" t="s">
        <v>4452</v>
      </c>
      <c r="E362" s="3" t="s">
        <v>4489</v>
      </c>
      <c r="F362" s="3" t="s">
        <v>85</v>
      </c>
      <c r="G362" s="3" t="s">
        <v>59</v>
      </c>
      <c r="H362" s="3" t="s">
        <v>58</v>
      </c>
      <c r="I362" s="3" t="s">
        <v>58</v>
      </c>
      <c r="J362" s="3" t="s">
        <v>60</v>
      </c>
      <c r="L362" s="2" t="s">
        <v>4454</v>
      </c>
      <c r="M362" s="3" t="s">
        <v>4083</v>
      </c>
      <c r="N362" s="2" t="s">
        <v>3878</v>
      </c>
      <c r="O362" s="3" t="s">
        <v>64</v>
      </c>
      <c r="P362" s="3" t="s">
        <v>117</v>
      </c>
      <c r="R362" s="3" t="s">
        <v>66</v>
      </c>
      <c r="S362" s="4">
        <v>1</v>
      </c>
      <c r="T362" s="4">
        <v>27</v>
      </c>
      <c r="V362" s="5" t="s">
        <v>4456</v>
      </c>
      <c r="W362" s="5" t="s">
        <v>2090</v>
      </c>
      <c r="X362" s="5" t="s">
        <v>2555</v>
      </c>
      <c r="Y362" s="4">
        <v>859</v>
      </c>
      <c r="Z362" s="4">
        <v>691</v>
      </c>
      <c r="AA362" s="4">
        <v>982</v>
      </c>
      <c r="AB362" s="4">
        <v>4</v>
      </c>
      <c r="AC362" s="4">
        <v>6</v>
      </c>
      <c r="AD362" s="4">
        <v>27</v>
      </c>
      <c r="AE362" s="4">
        <v>43</v>
      </c>
      <c r="AF362" s="4">
        <v>11</v>
      </c>
      <c r="AG362" s="4">
        <v>16</v>
      </c>
      <c r="AH362" s="4">
        <v>7</v>
      </c>
      <c r="AI362" s="4">
        <v>11</v>
      </c>
      <c r="AJ362" s="4">
        <v>13</v>
      </c>
      <c r="AK362" s="4">
        <v>18</v>
      </c>
      <c r="AL362" s="4">
        <v>3</v>
      </c>
      <c r="AM362" s="4">
        <v>5</v>
      </c>
      <c r="AN362" s="4">
        <v>0</v>
      </c>
      <c r="AO362" s="4">
        <v>1</v>
      </c>
      <c r="AP362" s="3" t="s">
        <v>58</v>
      </c>
      <c r="AQ362" s="3" t="s">
        <v>85</v>
      </c>
      <c r="AR362" s="6" t="str">
        <f t="shared" si="0"/>
        <v>HathiTrust Record</v>
      </c>
      <c r="AS362" s="6" t="str">
        <f t="shared" si="1"/>
        <v>Catalog Record</v>
      </c>
      <c r="AT362" s="6" t="str">
        <f t="shared" si="2"/>
        <v>WorldCat Record</v>
      </c>
      <c r="AU362" s="3" t="s">
        <v>4457</v>
      </c>
      <c r="AV362" s="3" t="s">
        <v>4458</v>
      </c>
      <c r="AW362" s="3" t="s">
        <v>4459</v>
      </c>
      <c r="AX362" s="3" t="s">
        <v>4459</v>
      </c>
      <c r="AY362" s="3" t="s">
        <v>4460</v>
      </c>
      <c r="AZ362" s="3" t="s">
        <v>73</v>
      </c>
      <c r="BC362" s="3" t="s">
        <v>4490</v>
      </c>
      <c r="BD362" s="3" t="s">
        <v>4491</v>
      </c>
    </row>
    <row r="363" spans="1:56" ht="40.5" customHeight="1" x14ac:dyDescent="0.25">
      <c r="A363" s="7" t="s">
        <v>58</v>
      </c>
      <c r="B363" s="2" t="s">
        <v>4450</v>
      </c>
      <c r="C363" s="2" t="s">
        <v>4451</v>
      </c>
      <c r="D363" s="2" t="s">
        <v>4452</v>
      </c>
      <c r="E363" s="3" t="s">
        <v>2150</v>
      </c>
      <c r="F363" s="3" t="s">
        <v>85</v>
      </c>
      <c r="G363" s="3" t="s">
        <v>59</v>
      </c>
      <c r="H363" s="3" t="s">
        <v>58</v>
      </c>
      <c r="I363" s="3" t="s">
        <v>58</v>
      </c>
      <c r="J363" s="3" t="s">
        <v>60</v>
      </c>
      <c r="L363" s="2" t="s">
        <v>4454</v>
      </c>
      <c r="M363" s="3" t="s">
        <v>4083</v>
      </c>
      <c r="N363" s="2" t="s">
        <v>3878</v>
      </c>
      <c r="O363" s="3" t="s">
        <v>64</v>
      </c>
      <c r="P363" s="3" t="s">
        <v>117</v>
      </c>
      <c r="R363" s="3" t="s">
        <v>66</v>
      </c>
      <c r="S363" s="4">
        <v>2</v>
      </c>
      <c r="T363" s="4">
        <v>27</v>
      </c>
      <c r="U363" s="5" t="s">
        <v>3435</v>
      </c>
      <c r="V363" s="5" t="s">
        <v>4456</v>
      </c>
      <c r="W363" s="5" t="s">
        <v>2090</v>
      </c>
      <c r="X363" s="5" t="s">
        <v>2555</v>
      </c>
      <c r="Y363" s="4">
        <v>859</v>
      </c>
      <c r="Z363" s="4">
        <v>691</v>
      </c>
      <c r="AA363" s="4">
        <v>982</v>
      </c>
      <c r="AB363" s="4">
        <v>4</v>
      </c>
      <c r="AC363" s="4">
        <v>6</v>
      </c>
      <c r="AD363" s="4">
        <v>27</v>
      </c>
      <c r="AE363" s="4">
        <v>43</v>
      </c>
      <c r="AF363" s="4">
        <v>11</v>
      </c>
      <c r="AG363" s="4">
        <v>16</v>
      </c>
      <c r="AH363" s="4">
        <v>7</v>
      </c>
      <c r="AI363" s="4">
        <v>11</v>
      </c>
      <c r="AJ363" s="4">
        <v>13</v>
      </c>
      <c r="AK363" s="4">
        <v>18</v>
      </c>
      <c r="AL363" s="4">
        <v>3</v>
      </c>
      <c r="AM363" s="4">
        <v>5</v>
      </c>
      <c r="AN363" s="4">
        <v>0</v>
      </c>
      <c r="AO363" s="4">
        <v>1</v>
      </c>
      <c r="AP363" s="3" t="s">
        <v>58</v>
      </c>
      <c r="AQ363" s="3" t="s">
        <v>85</v>
      </c>
      <c r="AR363" s="6" t="str">
        <f t="shared" si="0"/>
        <v>HathiTrust Record</v>
      </c>
      <c r="AS363" s="6" t="str">
        <f t="shared" si="1"/>
        <v>Catalog Record</v>
      </c>
      <c r="AT363" s="6" t="str">
        <f t="shared" si="2"/>
        <v>WorldCat Record</v>
      </c>
      <c r="AU363" s="3" t="s">
        <v>4457</v>
      </c>
      <c r="AV363" s="3" t="s">
        <v>4458</v>
      </c>
      <c r="AW363" s="3" t="s">
        <v>4459</v>
      </c>
      <c r="AX363" s="3" t="s">
        <v>4459</v>
      </c>
      <c r="AY363" s="3" t="s">
        <v>4460</v>
      </c>
      <c r="AZ363" s="3" t="s">
        <v>73</v>
      </c>
      <c r="BC363" s="3" t="s">
        <v>4492</v>
      </c>
      <c r="BD363" s="3" t="s">
        <v>4493</v>
      </c>
    </row>
    <row r="364" spans="1:56" ht="40.5" customHeight="1" x14ac:dyDescent="0.25">
      <c r="A364" s="7" t="s">
        <v>58</v>
      </c>
      <c r="B364" s="2" t="s">
        <v>4450</v>
      </c>
      <c r="C364" s="2" t="s">
        <v>4451</v>
      </c>
      <c r="D364" s="2" t="s">
        <v>4452</v>
      </c>
      <c r="E364" s="3" t="s">
        <v>2139</v>
      </c>
      <c r="F364" s="3" t="s">
        <v>85</v>
      </c>
      <c r="G364" s="3" t="s">
        <v>59</v>
      </c>
      <c r="H364" s="3" t="s">
        <v>58</v>
      </c>
      <c r="I364" s="3" t="s">
        <v>58</v>
      </c>
      <c r="J364" s="3" t="s">
        <v>60</v>
      </c>
      <c r="L364" s="2" t="s">
        <v>4454</v>
      </c>
      <c r="M364" s="3" t="s">
        <v>4083</v>
      </c>
      <c r="N364" s="2" t="s">
        <v>3878</v>
      </c>
      <c r="O364" s="3" t="s">
        <v>64</v>
      </c>
      <c r="P364" s="3" t="s">
        <v>117</v>
      </c>
      <c r="R364" s="3" t="s">
        <v>66</v>
      </c>
      <c r="S364" s="4">
        <v>0</v>
      </c>
      <c r="T364" s="4">
        <v>27</v>
      </c>
      <c r="V364" s="5" t="s">
        <v>4456</v>
      </c>
      <c r="W364" s="5" t="s">
        <v>2090</v>
      </c>
      <c r="X364" s="5" t="s">
        <v>2555</v>
      </c>
      <c r="Y364" s="4">
        <v>859</v>
      </c>
      <c r="Z364" s="4">
        <v>691</v>
      </c>
      <c r="AA364" s="4">
        <v>982</v>
      </c>
      <c r="AB364" s="4">
        <v>4</v>
      </c>
      <c r="AC364" s="4">
        <v>6</v>
      </c>
      <c r="AD364" s="4">
        <v>27</v>
      </c>
      <c r="AE364" s="4">
        <v>43</v>
      </c>
      <c r="AF364" s="4">
        <v>11</v>
      </c>
      <c r="AG364" s="4">
        <v>16</v>
      </c>
      <c r="AH364" s="4">
        <v>7</v>
      </c>
      <c r="AI364" s="4">
        <v>11</v>
      </c>
      <c r="AJ364" s="4">
        <v>13</v>
      </c>
      <c r="AK364" s="4">
        <v>18</v>
      </c>
      <c r="AL364" s="4">
        <v>3</v>
      </c>
      <c r="AM364" s="4">
        <v>5</v>
      </c>
      <c r="AN364" s="4">
        <v>0</v>
      </c>
      <c r="AO364" s="4">
        <v>1</v>
      </c>
      <c r="AP364" s="3" t="s">
        <v>58</v>
      </c>
      <c r="AQ364" s="3" t="s">
        <v>85</v>
      </c>
      <c r="AR364" s="6" t="str">
        <f t="shared" si="0"/>
        <v>HathiTrust Record</v>
      </c>
      <c r="AS364" s="6" t="str">
        <f t="shared" si="1"/>
        <v>Catalog Record</v>
      </c>
      <c r="AT364" s="6" t="str">
        <f t="shared" si="2"/>
        <v>WorldCat Record</v>
      </c>
      <c r="AU364" s="3" t="s">
        <v>4457</v>
      </c>
      <c r="AV364" s="3" t="s">
        <v>4458</v>
      </c>
      <c r="AW364" s="3" t="s">
        <v>4459</v>
      </c>
      <c r="AX364" s="3" t="s">
        <v>4459</v>
      </c>
      <c r="AY364" s="3" t="s">
        <v>4460</v>
      </c>
      <c r="AZ364" s="3" t="s">
        <v>73</v>
      </c>
      <c r="BC364" s="3" t="s">
        <v>4494</v>
      </c>
      <c r="BD364" s="3" t="s">
        <v>4495</v>
      </c>
    </row>
    <row r="365" spans="1:56" ht="40.5" customHeight="1" x14ac:dyDescent="0.25">
      <c r="A365" s="7" t="s">
        <v>58</v>
      </c>
      <c r="B365" s="2" t="s">
        <v>4496</v>
      </c>
      <c r="C365" s="2" t="s">
        <v>4497</v>
      </c>
      <c r="D365" s="2" t="s">
        <v>4498</v>
      </c>
      <c r="F365" s="3" t="s">
        <v>58</v>
      </c>
      <c r="G365" s="3" t="s">
        <v>59</v>
      </c>
      <c r="H365" s="3" t="s">
        <v>58</v>
      </c>
      <c r="I365" s="3" t="s">
        <v>58</v>
      </c>
      <c r="J365" s="3" t="s">
        <v>60</v>
      </c>
      <c r="K365" s="2" t="s">
        <v>4499</v>
      </c>
      <c r="L365" s="2" t="s">
        <v>4500</v>
      </c>
      <c r="M365" s="3" t="s">
        <v>81</v>
      </c>
      <c r="O365" s="3" t="s">
        <v>64</v>
      </c>
      <c r="P365" s="3" t="s">
        <v>117</v>
      </c>
      <c r="R365" s="3" t="s">
        <v>66</v>
      </c>
      <c r="S365" s="4">
        <v>7</v>
      </c>
      <c r="T365" s="4">
        <v>7</v>
      </c>
      <c r="U365" s="5" t="s">
        <v>4501</v>
      </c>
      <c r="V365" s="5" t="s">
        <v>4501</v>
      </c>
      <c r="W365" s="5" t="s">
        <v>4330</v>
      </c>
      <c r="X365" s="5" t="s">
        <v>4330</v>
      </c>
      <c r="Y365" s="4">
        <v>274</v>
      </c>
      <c r="Z365" s="4">
        <v>172</v>
      </c>
      <c r="AA365" s="4">
        <v>224</v>
      </c>
      <c r="AB365" s="4">
        <v>1</v>
      </c>
      <c r="AC365" s="4">
        <v>2</v>
      </c>
      <c r="AD365" s="4">
        <v>4</v>
      </c>
      <c r="AE365" s="4">
        <v>8</v>
      </c>
      <c r="AF365" s="4">
        <v>1</v>
      </c>
      <c r="AG365" s="4">
        <v>3</v>
      </c>
      <c r="AH365" s="4">
        <v>1</v>
      </c>
      <c r="AI365" s="4">
        <v>3</v>
      </c>
      <c r="AJ365" s="4">
        <v>2</v>
      </c>
      <c r="AK365" s="4">
        <v>2</v>
      </c>
      <c r="AL365" s="4">
        <v>0</v>
      </c>
      <c r="AM365" s="4">
        <v>1</v>
      </c>
      <c r="AN365" s="4">
        <v>0</v>
      </c>
      <c r="AO365" s="4">
        <v>0</v>
      </c>
      <c r="AP365" s="3" t="s">
        <v>58</v>
      </c>
      <c r="AQ365" s="3" t="s">
        <v>85</v>
      </c>
      <c r="AR365" s="6" t="str">
        <f>HYPERLINK("http://catalog.hathitrust.org/Record/001555626","HathiTrust Record")</f>
        <v>HathiTrust Record</v>
      </c>
      <c r="AS365" s="6" t="str">
        <f>HYPERLINK("https://creighton-primo.hosted.exlibrisgroup.com/primo-explore/search?tab=default_tab&amp;search_scope=EVERYTHING&amp;vid=01CRU&amp;lang=en_US&amp;offset=0&amp;query=any,contains,991000905329702656","Catalog Record")</f>
        <v>Catalog Record</v>
      </c>
      <c r="AT365" s="6" t="str">
        <f>HYPERLINK("http://www.worldcat.org/oclc/902424","WorldCat Record")</f>
        <v>WorldCat Record</v>
      </c>
      <c r="AU365" s="3" t="s">
        <v>4502</v>
      </c>
      <c r="AV365" s="3" t="s">
        <v>4503</v>
      </c>
      <c r="AW365" s="3" t="s">
        <v>4504</v>
      </c>
      <c r="AX365" s="3" t="s">
        <v>4504</v>
      </c>
      <c r="AY365" s="3" t="s">
        <v>4505</v>
      </c>
      <c r="AZ365" s="3" t="s">
        <v>73</v>
      </c>
      <c r="BC365" s="3" t="s">
        <v>4506</v>
      </c>
      <c r="BD365" s="3" t="s">
        <v>4507</v>
      </c>
    </row>
    <row r="366" spans="1:56" ht="40.5" customHeight="1" x14ac:dyDescent="0.25">
      <c r="A366" s="7" t="s">
        <v>58</v>
      </c>
      <c r="B366" s="2" t="s">
        <v>4508</v>
      </c>
      <c r="C366" s="2" t="s">
        <v>4509</v>
      </c>
      <c r="D366" s="2" t="s">
        <v>4510</v>
      </c>
      <c r="F366" s="3" t="s">
        <v>58</v>
      </c>
      <c r="G366" s="3" t="s">
        <v>59</v>
      </c>
      <c r="H366" s="3" t="s">
        <v>58</v>
      </c>
      <c r="I366" s="3" t="s">
        <v>58</v>
      </c>
      <c r="J366" s="3" t="s">
        <v>60</v>
      </c>
      <c r="K366" s="2" t="s">
        <v>4511</v>
      </c>
      <c r="L366" s="2" t="s">
        <v>4512</v>
      </c>
      <c r="M366" s="3" t="s">
        <v>759</v>
      </c>
      <c r="N366" s="2" t="s">
        <v>4513</v>
      </c>
      <c r="O366" s="3" t="s">
        <v>64</v>
      </c>
      <c r="P366" s="3" t="s">
        <v>135</v>
      </c>
      <c r="R366" s="3" t="s">
        <v>66</v>
      </c>
      <c r="S366" s="4">
        <v>6</v>
      </c>
      <c r="T366" s="4">
        <v>6</v>
      </c>
      <c r="U366" s="5" t="s">
        <v>4514</v>
      </c>
      <c r="V366" s="5" t="s">
        <v>4514</v>
      </c>
      <c r="W366" s="5" t="s">
        <v>4515</v>
      </c>
      <c r="X366" s="5" t="s">
        <v>4515</v>
      </c>
      <c r="Y366" s="4">
        <v>400</v>
      </c>
      <c r="Z366" s="4">
        <v>283</v>
      </c>
      <c r="AA366" s="4">
        <v>598</v>
      </c>
      <c r="AB366" s="4">
        <v>2</v>
      </c>
      <c r="AC366" s="4">
        <v>5</v>
      </c>
      <c r="AD366" s="4">
        <v>15</v>
      </c>
      <c r="AE366" s="4">
        <v>29</v>
      </c>
      <c r="AF366" s="4">
        <v>5</v>
      </c>
      <c r="AG366" s="4">
        <v>10</v>
      </c>
      <c r="AH366" s="4">
        <v>5</v>
      </c>
      <c r="AI366" s="4">
        <v>8</v>
      </c>
      <c r="AJ366" s="4">
        <v>9</v>
      </c>
      <c r="AK366" s="4">
        <v>15</v>
      </c>
      <c r="AL366" s="4">
        <v>1</v>
      </c>
      <c r="AM366" s="4">
        <v>4</v>
      </c>
      <c r="AN366" s="4">
        <v>0</v>
      </c>
      <c r="AO366" s="4">
        <v>0</v>
      </c>
      <c r="AP366" s="3" t="s">
        <v>58</v>
      </c>
      <c r="AQ366" s="3" t="s">
        <v>58</v>
      </c>
      <c r="AS366" s="6" t="str">
        <f>HYPERLINK("https://creighton-primo.hosted.exlibrisgroup.com/primo-explore/search?tab=default_tab&amp;search_scope=EVERYTHING&amp;vid=01CRU&amp;lang=en_US&amp;offset=0&amp;query=any,contains,991001506349702656","Catalog Record")</f>
        <v>Catalog Record</v>
      </c>
      <c r="AT366" s="6" t="str">
        <f>HYPERLINK("http://www.worldcat.org/oclc/33103485","WorldCat Record")</f>
        <v>WorldCat Record</v>
      </c>
      <c r="AU366" s="3" t="s">
        <v>4516</v>
      </c>
      <c r="AV366" s="3" t="s">
        <v>4517</v>
      </c>
      <c r="AW366" s="3" t="s">
        <v>4518</v>
      </c>
      <c r="AX366" s="3" t="s">
        <v>4518</v>
      </c>
      <c r="AY366" s="3" t="s">
        <v>4519</v>
      </c>
      <c r="AZ366" s="3" t="s">
        <v>73</v>
      </c>
      <c r="BB366" s="3" t="s">
        <v>4520</v>
      </c>
      <c r="BC366" s="3" t="s">
        <v>4521</v>
      </c>
      <c r="BD366" s="3" t="s">
        <v>4522</v>
      </c>
    </row>
    <row r="367" spans="1:56" ht="40.5" customHeight="1" x14ac:dyDescent="0.25">
      <c r="A367" s="7" t="s">
        <v>58</v>
      </c>
      <c r="B367" s="2" t="s">
        <v>4523</v>
      </c>
      <c r="C367" s="2" t="s">
        <v>4524</v>
      </c>
      <c r="D367" s="2" t="s">
        <v>4525</v>
      </c>
      <c r="F367" s="3" t="s">
        <v>58</v>
      </c>
      <c r="G367" s="3" t="s">
        <v>59</v>
      </c>
      <c r="H367" s="3" t="s">
        <v>58</v>
      </c>
      <c r="I367" s="3" t="s">
        <v>85</v>
      </c>
      <c r="J367" s="3" t="s">
        <v>60</v>
      </c>
      <c r="K367" s="2" t="s">
        <v>4526</v>
      </c>
      <c r="L367" s="2" t="s">
        <v>4527</v>
      </c>
      <c r="M367" s="3" t="s">
        <v>229</v>
      </c>
      <c r="N367" s="2" t="s">
        <v>3878</v>
      </c>
      <c r="O367" s="3" t="s">
        <v>64</v>
      </c>
      <c r="P367" s="3" t="s">
        <v>65</v>
      </c>
      <c r="R367" s="3" t="s">
        <v>66</v>
      </c>
      <c r="S367" s="4">
        <v>13</v>
      </c>
      <c r="T367" s="4">
        <v>13</v>
      </c>
      <c r="U367" s="5" t="s">
        <v>367</v>
      </c>
      <c r="V367" s="5" t="s">
        <v>367</v>
      </c>
      <c r="W367" s="5" t="s">
        <v>4343</v>
      </c>
      <c r="X367" s="5" t="s">
        <v>4343</v>
      </c>
      <c r="Y367" s="4">
        <v>404</v>
      </c>
      <c r="Z367" s="4">
        <v>327</v>
      </c>
      <c r="AA367" s="4">
        <v>844</v>
      </c>
      <c r="AB367" s="4">
        <v>2</v>
      </c>
      <c r="AC367" s="4">
        <v>9</v>
      </c>
      <c r="AD367" s="4">
        <v>16</v>
      </c>
      <c r="AE367" s="4">
        <v>38</v>
      </c>
      <c r="AF367" s="4">
        <v>8</v>
      </c>
      <c r="AG367" s="4">
        <v>15</v>
      </c>
      <c r="AH367" s="4">
        <v>2</v>
      </c>
      <c r="AI367" s="4">
        <v>6</v>
      </c>
      <c r="AJ367" s="4">
        <v>8</v>
      </c>
      <c r="AK367" s="4">
        <v>20</v>
      </c>
      <c r="AL367" s="4">
        <v>1</v>
      </c>
      <c r="AM367" s="4">
        <v>7</v>
      </c>
      <c r="AN367" s="4">
        <v>0</v>
      </c>
      <c r="AO367" s="4">
        <v>0</v>
      </c>
      <c r="AP367" s="3" t="s">
        <v>58</v>
      </c>
      <c r="AQ367" s="3" t="s">
        <v>85</v>
      </c>
      <c r="AR367" s="6" t="str">
        <f>HYPERLINK("http://catalog.hathitrust.org/Record/000031007","HathiTrust Record")</f>
        <v>HathiTrust Record</v>
      </c>
      <c r="AS367" s="6" t="str">
        <f>HYPERLINK("https://creighton-primo.hosted.exlibrisgroup.com/primo-explore/search?tab=default_tab&amp;search_scope=EVERYTHING&amp;vid=01CRU&amp;lang=en_US&amp;offset=0&amp;query=any,contains,991000905479702656","Catalog Record")</f>
        <v>Catalog Record</v>
      </c>
      <c r="AT367" s="6" t="str">
        <f>HYPERLINK("http://www.worldcat.org/oclc/5883060","WorldCat Record")</f>
        <v>WorldCat Record</v>
      </c>
      <c r="AU367" s="3" t="s">
        <v>4528</v>
      </c>
      <c r="AV367" s="3" t="s">
        <v>4529</v>
      </c>
      <c r="AW367" s="3" t="s">
        <v>4530</v>
      </c>
      <c r="AX367" s="3" t="s">
        <v>4530</v>
      </c>
      <c r="AY367" s="3" t="s">
        <v>4531</v>
      </c>
      <c r="AZ367" s="3" t="s">
        <v>73</v>
      </c>
      <c r="BB367" s="3" t="s">
        <v>4532</v>
      </c>
      <c r="BC367" s="3" t="s">
        <v>4533</v>
      </c>
      <c r="BD367" s="3" t="s">
        <v>4534</v>
      </c>
    </row>
    <row r="368" spans="1:56" ht="40.5" customHeight="1" x14ac:dyDescent="0.25">
      <c r="A368" s="7" t="s">
        <v>58</v>
      </c>
      <c r="B368" s="2" t="s">
        <v>4535</v>
      </c>
      <c r="C368" s="2" t="s">
        <v>4536</v>
      </c>
      <c r="D368" s="2" t="s">
        <v>4537</v>
      </c>
      <c r="F368" s="3" t="s">
        <v>58</v>
      </c>
      <c r="G368" s="3" t="s">
        <v>59</v>
      </c>
      <c r="H368" s="3" t="s">
        <v>58</v>
      </c>
      <c r="I368" s="3" t="s">
        <v>58</v>
      </c>
      <c r="J368" s="3" t="s">
        <v>60</v>
      </c>
      <c r="K368" s="2" t="s">
        <v>4538</v>
      </c>
      <c r="L368" s="2" t="s">
        <v>4539</v>
      </c>
      <c r="M368" s="3" t="s">
        <v>1067</v>
      </c>
      <c r="O368" s="3" t="s">
        <v>64</v>
      </c>
      <c r="P368" s="3" t="s">
        <v>117</v>
      </c>
      <c r="R368" s="3" t="s">
        <v>66</v>
      </c>
      <c r="S368" s="4">
        <v>8</v>
      </c>
      <c r="T368" s="4">
        <v>8</v>
      </c>
      <c r="U368" s="5" t="s">
        <v>4540</v>
      </c>
      <c r="V368" s="5" t="s">
        <v>4540</v>
      </c>
      <c r="W368" s="5" t="s">
        <v>4541</v>
      </c>
      <c r="X368" s="5" t="s">
        <v>4541</v>
      </c>
      <c r="Y368" s="4">
        <v>728</v>
      </c>
      <c r="Z368" s="4">
        <v>611</v>
      </c>
      <c r="AA368" s="4">
        <v>633</v>
      </c>
      <c r="AB368" s="4">
        <v>3</v>
      </c>
      <c r="AC368" s="4">
        <v>3</v>
      </c>
      <c r="AD368" s="4">
        <v>21</v>
      </c>
      <c r="AE368" s="4">
        <v>21</v>
      </c>
      <c r="AF368" s="4">
        <v>7</v>
      </c>
      <c r="AG368" s="4">
        <v>7</v>
      </c>
      <c r="AH368" s="4">
        <v>3</v>
      </c>
      <c r="AI368" s="4">
        <v>3</v>
      </c>
      <c r="AJ368" s="4">
        <v>14</v>
      </c>
      <c r="AK368" s="4">
        <v>14</v>
      </c>
      <c r="AL368" s="4">
        <v>2</v>
      </c>
      <c r="AM368" s="4">
        <v>2</v>
      </c>
      <c r="AN368" s="4">
        <v>0</v>
      </c>
      <c r="AO368" s="4">
        <v>0</v>
      </c>
      <c r="AP368" s="3" t="s">
        <v>58</v>
      </c>
      <c r="AQ368" s="3" t="s">
        <v>58</v>
      </c>
      <c r="AS368" s="6" t="str">
        <f>HYPERLINK("https://creighton-primo.hosted.exlibrisgroup.com/primo-explore/search?tab=default_tab&amp;search_scope=EVERYTHING&amp;vid=01CRU&amp;lang=en_US&amp;offset=0&amp;query=any,contains,991000939429702656","Catalog Record")</f>
        <v>Catalog Record</v>
      </c>
      <c r="AT368" s="6" t="str">
        <f>HYPERLINK("http://www.worldcat.org/oclc/22208788","WorldCat Record")</f>
        <v>WorldCat Record</v>
      </c>
      <c r="AU368" s="3" t="s">
        <v>4542</v>
      </c>
      <c r="AV368" s="3" t="s">
        <v>4543</v>
      </c>
      <c r="AW368" s="3" t="s">
        <v>4544</v>
      </c>
      <c r="AX368" s="3" t="s">
        <v>4544</v>
      </c>
      <c r="AY368" s="3" t="s">
        <v>4545</v>
      </c>
      <c r="AZ368" s="3" t="s">
        <v>73</v>
      </c>
      <c r="BB368" s="3" t="s">
        <v>4546</v>
      </c>
      <c r="BC368" s="3" t="s">
        <v>4547</v>
      </c>
      <c r="BD368" s="3" t="s">
        <v>4548</v>
      </c>
    </row>
    <row r="369" spans="1:56" ht="40.5" customHeight="1" x14ac:dyDescent="0.25">
      <c r="A369" s="7" t="s">
        <v>58</v>
      </c>
      <c r="B369" s="2" t="s">
        <v>4549</v>
      </c>
      <c r="C369" s="2" t="s">
        <v>4550</v>
      </c>
      <c r="D369" s="2" t="s">
        <v>4551</v>
      </c>
      <c r="F369" s="3" t="s">
        <v>58</v>
      </c>
      <c r="G369" s="3" t="s">
        <v>59</v>
      </c>
      <c r="H369" s="3" t="s">
        <v>58</v>
      </c>
      <c r="I369" s="3" t="s">
        <v>58</v>
      </c>
      <c r="J369" s="3" t="s">
        <v>60</v>
      </c>
      <c r="L369" s="2" t="s">
        <v>4552</v>
      </c>
      <c r="M369" s="3" t="s">
        <v>973</v>
      </c>
      <c r="O369" s="3" t="s">
        <v>64</v>
      </c>
      <c r="P369" s="3" t="s">
        <v>65</v>
      </c>
      <c r="R369" s="3" t="s">
        <v>66</v>
      </c>
      <c r="S369" s="4">
        <v>7</v>
      </c>
      <c r="T369" s="4">
        <v>7</v>
      </c>
      <c r="U369" s="5" t="s">
        <v>4553</v>
      </c>
      <c r="V369" s="5" t="s">
        <v>4553</v>
      </c>
      <c r="W369" s="5" t="s">
        <v>4343</v>
      </c>
      <c r="X369" s="5" t="s">
        <v>4343</v>
      </c>
      <c r="Y369" s="4">
        <v>366</v>
      </c>
      <c r="Z369" s="4">
        <v>265</v>
      </c>
      <c r="AA369" s="4">
        <v>300</v>
      </c>
      <c r="AB369" s="4">
        <v>2</v>
      </c>
      <c r="AC369" s="4">
        <v>2</v>
      </c>
      <c r="AD369" s="4">
        <v>9</v>
      </c>
      <c r="AE369" s="4">
        <v>9</v>
      </c>
      <c r="AF369" s="4">
        <v>2</v>
      </c>
      <c r="AG369" s="4">
        <v>2</v>
      </c>
      <c r="AH369" s="4">
        <v>5</v>
      </c>
      <c r="AI369" s="4">
        <v>5</v>
      </c>
      <c r="AJ369" s="4">
        <v>4</v>
      </c>
      <c r="AK369" s="4">
        <v>4</v>
      </c>
      <c r="AL369" s="4">
        <v>1</v>
      </c>
      <c r="AM369" s="4">
        <v>1</v>
      </c>
      <c r="AN369" s="4">
        <v>0</v>
      </c>
      <c r="AO369" s="4">
        <v>0</v>
      </c>
      <c r="AP369" s="3" t="s">
        <v>58</v>
      </c>
      <c r="AQ369" s="3" t="s">
        <v>85</v>
      </c>
      <c r="AR369" s="6" t="str">
        <f>HYPERLINK("http://catalog.hathitrust.org/Record/000708483","HathiTrust Record")</f>
        <v>HathiTrust Record</v>
      </c>
      <c r="AS369" s="6" t="str">
        <f>HYPERLINK("https://creighton-primo.hosted.exlibrisgroup.com/primo-explore/search?tab=default_tab&amp;search_scope=EVERYTHING&amp;vid=01CRU&amp;lang=en_US&amp;offset=0&amp;query=any,contains,991000905519702656","Catalog Record")</f>
        <v>Catalog Record</v>
      </c>
      <c r="AT369" s="6" t="str">
        <f>HYPERLINK("http://www.worldcat.org/oclc/5777019","WorldCat Record")</f>
        <v>WorldCat Record</v>
      </c>
      <c r="AU369" s="3" t="s">
        <v>4554</v>
      </c>
      <c r="AV369" s="3" t="s">
        <v>4555</v>
      </c>
      <c r="AW369" s="3" t="s">
        <v>4556</v>
      </c>
      <c r="AX369" s="3" t="s">
        <v>4556</v>
      </c>
      <c r="AY369" s="3" t="s">
        <v>4557</v>
      </c>
      <c r="AZ369" s="3" t="s">
        <v>73</v>
      </c>
      <c r="BB369" s="3" t="s">
        <v>4558</v>
      </c>
      <c r="BC369" s="3" t="s">
        <v>4559</v>
      </c>
      <c r="BD369" s="3" t="s">
        <v>4560</v>
      </c>
    </row>
    <row r="370" spans="1:56" ht="40.5" customHeight="1" x14ac:dyDescent="0.25">
      <c r="A370" s="7" t="s">
        <v>58</v>
      </c>
      <c r="B370" s="2" t="s">
        <v>4561</v>
      </c>
      <c r="C370" s="2" t="s">
        <v>4562</v>
      </c>
      <c r="D370" s="2" t="s">
        <v>4563</v>
      </c>
      <c r="E370" s="3" t="s">
        <v>258</v>
      </c>
      <c r="F370" s="3" t="s">
        <v>58</v>
      </c>
      <c r="G370" s="3" t="s">
        <v>59</v>
      </c>
      <c r="H370" s="3" t="s">
        <v>58</v>
      </c>
      <c r="I370" s="3" t="s">
        <v>58</v>
      </c>
      <c r="J370" s="3" t="s">
        <v>60</v>
      </c>
      <c r="L370" s="2" t="s">
        <v>4564</v>
      </c>
      <c r="M370" s="3" t="s">
        <v>726</v>
      </c>
      <c r="O370" s="3" t="s">
        <v>64</v>
      </c>
      <c r="P370" s="3" t="s">
        <v>396</v>
      </c>
      <c r="R370" s="3" t="s">
        <v>66</v>
      </c>
      <c r="S370" s="4">
        <v>1</v>
      </c>
      <c r="T370" s="4">
        <v>1</v>
      </c>
      <c r="U370" s="5" t="s">
        <v>4565</v>
      </c>
      <c r="V370" s="5" t="s">
        <v>4565</v>
      </c>
      <c r="W370" s="5" t="s">
        <v>4565</v>
      </c>
      <c r="X370" s="5" t="s">
        <v>4565</v>
      </c>
      <c r="Y370" s="4">
        <v>190</v>
      </c>
      <c r="Z370" s="4">
        <v>143</v>
      </c>
      <c r="AA370" s="4">
        <v>143</v>
      </c>
      <c r="AB370" s="4">
        <v>3</v>
      </c>
      <c r="AC370" s="4">
        <v>3</v>
      </c>
      <c r="AD370" s="4">
        <v>9</v>
      </c>
      <c r="AE370" s="4">
        <v>9</v>
      </c>
      <c r="AF370" s="4">
        <v>1</v>
      </c>
      <c r="AG370" s="4">
        <v>1</v>
      </c>
      <c r="AH370" s="4">
        <v>2</v>
      </c>
      <c r="AI370" s="4">
        <v>2</v>
      </c>
      <c r="AJ370" s="4">
        <v>4</v>
      </c>
      <c r="AK370" s="4">
        <v>4</v>
      </c>
      <c r="AL370" s="4">
        <v>2</v>
      </c>
      <c r="AM370" s="4">
        <v>2</v>
      </c>
      <c r="AN370" s="4">
        <v>0</v>
      </c>
      <c r="AO370" s="4">
        <v>0</v>
      </c>
      <c r="AP370" s="3" t="s">
        <v>58</v>
      </c>
      <c r="AQ370" s="3" t="s">
        <v>58</v>
      </c>
      <c r="AS370" s="6" t="str">
        <f>HYPERLINK("https://creighton-primo.hosted.exlibrisgroup.com/primo-explore/search?tab=default_tab&amp;search_scope=EVERYTHING&amp;vid=01CRU&amp;lang=en_US&amp;offset=0&amp;query=any,contains,991001019389702656","Catalog Record")</f>
        <v>Catalog Record</v>
      </c>
      <c r="AT370" s="6" t="str">
        <f>HYPERLINK("http://www.worldcat.org/oclc/23868840","WorldCat Record")</f>
        <v>WorldCat Record</v>
      </c>
      <c r="AU370" s="3" t="s">
        <v>4566</v>
      </c>
      <c r="AV370" s="3" t="s">
        <v>4567</v>
      </c>
      <c r="AW370" s="3" t="s">
        <v>4568</v>
      </c>
      <c r="AX370" s="3" t="s">
        <v>4568</v>
      </c>
      <c r="AY370" s="3" t="s">
        <v>4569</v>
      </c>
      <c r="AZ370" s="3" t="s">
        <v>73</v>
      </c>
      <c r="BB370" s="3" t="s">
        <v>4570</v>
      </c>
      <c r="BC370" s="3" t="s">
        <v>4571</v>
      </c>
      <c r="BD370" s="3" t="s">
        <v>4572</v>
      </c>
    </row>
    <row r="371" spans="1:56" ht="40.5" customHeight="1" x14ac:dyDescent="0.25">
      <c r="A371" s="7" t="s">
        <v>58</v>
      </c>
      <c r="B371" s="2" t="s">
        <v>4573</v>
      </c>
      <c r="C371" s="2" t="s">
        <v>4574</v>
      </c>
      <c r="D371" s="2" t="s">
        <v>4575</v>
      </c>
      <c r="F371" s="3" t="s">
        <v>58</v>
      </c>
      <c r="G371" s="3" t="s">
        <v>59</v>
      </c>
      <c r="H371" s="3" t="s">
        <v>58</v>
      </c>
      <c r="I371" s="3" t="s">
        <v>58</v>
      </c>
      <c r="J371" s="3" t="s">
        <v>60</v>
      </c>
      <c r="L371" s="2" t="s">
        <v>4576</v>
      </c>
      <c r="M371" s="3" t="s">
        <v>4577</v>
      </c>
      <c r="O371" s="3" t="s">
        <v>64</v>
      </c>
      <c r="P371" s="3" t="s">
        <v>117</v>
      </c>
      <c r="R371" s="3" t="s">
        <v>66</v>
      </c>
      <c r="S371" s="4">
        <v>2</v>
      </c>
      <c r="T371" s="4">
        <v>2</v>
      </c>
      <c r="U371" s="5" t="s">
        <v>4578</v>
      </c>
      <c r="V371" s="5" t="s">
        <v>4578</v>
      </c>
      <c r="W371" s="5" t="s">
        <v>3525</v>
      </c>
      <c r="X371" s="5" t="s">
        <v>3525</v>
      </c>
      <c r="Y371" s="4">
        <v>128</v>
      </c>
      <c r="Z371" s="4">
        <v>79</v>
      </c>
      <c r="AA371" s="4">
        <v>100</v>
      </c>
      <c r="AB371" s="4">
        <v>1</v>
      </c>
      <c r="AC371" s="4">
        <v>1</v>
      </c>
      <c r="AD371" s="4">
        <v>0</v>
      </c>
      <c r="AE371" s="4">
        <v>0</v>
      </c>
      <c r="AF371" s="4">
        <v>0</v>
      </c>
      <c r="AG371" s="4">
        <v>0</v>
      </c>
      <c r="AH371" s="4">
        <v>0</v>
      </c>
      <c r="AI371" s="4">
        <v>0</v>
      </c>
      <c r="AJ371" s="4">
        <v>0</v>
      </c>
      <c r="AK371" s="4">
        <v>0</v>
      </c>
      <c r="AL371" s="4">
        <v>0</v>
      </c>
      <c r="AM371" s="4">
        <v>0</v>
      </c>
      <c r="AN371" s="4">
        <v>0</v>
      </c>
      <c r="AO371" s="4">
        <v>0</v>
      </c>
      <c r="AP371" s="3" t="s">
        <v>58</v>
      </c>
      <c r="AQ371" s="3" t="s">
        <v>85</v>
      </c>
      <c r="AR371" s="6" t="str">
        <f>HYPERLINK("http://catalog.hathitrust.org/Record/000089420","HathiTrust Record")</f>
        <v>HathiTrust Record</v>
      </c>
      <c r="AS371" s="6" t="str">
        <f>HYPERLINK("https://creighton-primo.hosted.exlibrisgroup.com/primo-explore/search?tab=default_tab&amp;search_scope=EVERYTHING&amp;vid=01CRU&amp;lang=en_US&amp;offset=0&amp;query=any,contains,991000905559702656","Catalog Record")</f>
        <v>Catalog Record</v>
      </c>
      <c r="AT371" s="6" t="str">
        <f>HYPERLINK("http://www.worldcat.org/oclc/3541065","WorldCat Record")</f>
        <v>WorldCat Record</v>
      </c>
      <c r="AU371" s="3" t="s">
        <v>4579</v>
      </c>
      <c r="AV371" s="3" t="s">
        <v>4580</v>
      </c>
      <c r="AW371" s="3" t="s">
        <v>4581</v>
      </c>
      <c r="AX371" s="3" t="s">
        <v>4581</v>
      </c>
      <c r="AY371" s="3" t="s">
        <v>4582</v>
      </c>
      <c r="AZ371" s="3" t="s">
        <v>73</v>
      </c>
      <c r="BB371" s="3" t="s">
        <v>4583</v>
      </c>
      <c r="BC371" s="3" t="s">
        <v>4584</v>
      </c>
      <c r="BD371" s="3" t="s">
        <v>4585</v>
      </c>
    </row>
    <row r="372" spans="1:56" ht="40.5" customHeight="1" x14ac:dyDescent="0.25">
      <c r="A372" s="7" t="s">
        <v>58</v>
      </c>
      <c r="B372" s="2" t="s">
        <v>4586</v>
      </c>
      <c r="C372" s="2" t="s">
        <v>4587</v>
      </c>
      <c r="D372" s="2" t="s">
        <v>4588</v>
      </c>
      <c r="F372" s="3" t="s">
        <v>58</v>
      </c>
      <c r="G372" s="3" t="s">
        <v>59</v>
      </c>
      <c r="H372" s="3" t="s">
        <v>85</v>
      </c>
      <c r="I372" s="3" t="s">
        <v>58</v>
      </c>
      <c r="J372" s="3" t="s">
        <v>60</v>
      </c>
      <c r="K372" s="2" t="s">
        <v>1756</v>
      </c>
      <c r="L372" s="2" t="s">
        <v>4589</v>
      </c>
      <c r="M372" s="3" t="s">
        <v>424</v>
      </c>
      <c r="N372" s="2" t="s">
        <v>198</v>
      </c>
      <c r="O372" s="3" t="s">
        <v>64</v>
      </c>
      <c r="P372" s="3" t="s">
        <v>135</v>
      </c>
      <c r="R372" s="3" t="s">
        <v>66</v>
      </c>
      <c r="S372" s="4">
        <v>6</v>
      </c>
      <c r="T372" s="4">
        <v>6</v>
      </c>
      <c r="U372" s="5" t="s">
        <v>4590</v>
      </c>
      <c r="V372" s="5" t="s">
        <v>4590</v>
      </c>
      <c r="W372" s="5" t="s">
        <v>4591</v>
      </c>
      <c r="X372" s="5" t="s">
        <v>4591</v>
      </c>
      <c r="Y372" s="4">
        <v>730</v>
      </c>
      <c r="Z372" s="4">
        <v>518</v>
      </c>
      <c r="AA372" s="4">
        <v>823</v>
      </c>
      <c r="AB372" s="4">
        <v>3</v>
      </c>
      <c r="AC372" s="4">
        <v>7</v>
      </c>
      <c r="AD372" s="4">
        <v>20</v>
      </c>
      <c r="AE372" s="4">
        <v>36</v>
      </c>
      <c r="AF372" s="4">
        <v>7</v>
      </c>
      <c r="AG372" s="4">
        <v>14</v>
      </c>
      <c r="AH372" s="4">
        <v>4</v>
      </c>
      <c r="AI372" s="4">
        <v>8</v>
      </c>
      <c r="AJ372" s="4">
        <v>12</v>
      </c>
      <c r="AK372" s="4">
        <v>20</v>
      </c>
      <c r="AL372" s="4">
        <v>1</v>
      </c>
      <c r="AM372" s="4">
        <v>5</v>
      </c>
      <c r="AN372" s="4">
        <v>0</v>
      </c>
      <c r="AO372" s="4">
        <v>0</v>
      </c>
      <c r="AP372" s="3" t="s">
        <v>58</v>
      </c>
      <c r="AQ372" s="3" t="s">
        <v>58</v>
      </c>
      <c r="AS372" s="6" t="str">
        <f>HYPERLINK("https://creighton-primo.hosted.exlibrisgroup.com/primo-explore/search?tab=default_tab&amp;search_scope=EVERYTHING&amp;vid=01CRU&amp;lang=en_US&amp;offset=0&amp;query=any,contains,991000758879702656","Catalog Record")</f>
        <v>Catalog Record</v>
      </c>
      <c r="AT372" s="6" t="str">
        <f>HYPERLINK("http://www.worldcat.org/oclc/10505784","WorldCat Record")</f>
        <v>WorldCat Record</v>
      </c>
      <c r="AU372" s="3" t="s">
        <v>4592</v>
      </c>
      <c r="AV372" s="3" t="s">
        <v>4593</v>
      </c>
      <c r="AW372" s="3" t="s">
        <v>4594</v>
      </c>
      <c r="AX372" s="3" t="s">
        <v>4594</v>
      </c>
      <c r="AY372" s="3" t="s">
        <v>4595</v>
      </c>
      <c r="AZ372" s="3" t="s">
        <v>73</v>
      </c>
      <c r="BB372" s="3" t="s">
        <v>4596</v>
      </c>
      <c r="BC372" s="3" t="s">
        <v>4597</v>
      </c>
      <c r="BD372" s="3" t="s">
        <v>4598</v>
      </c>
    </row>
    <row r="373" spans="1:56" ht="40.5" customHeight="1" x14ac:dyDescent="0.25">
      <c r="A373" s="7" t="s">
        <v>58</v>
      </c>
      <c r="B373" s="2" t="s">
        <v>4599</v>
      </c>
      <c r="C373" s="2" t="s">
        <v>4600</v>
      </c>
      <c r="D373" s="2" t="s">
        <v>4601</v>
      </c>
      <c r="E373" s="3" t="s">
        <v>422</v>
      </c>
      <c r="F373" s="3" t="s">
        <v>58</v>
      </c>
      <c r="G373" s="3" t="s">
        <v>59</v>
      </c>
      <c r="H373" s="3" t="s">
        <v>58</v>
      </c>
      <c r="I373" s="3" t="s">
        <v>58</v>
      </c>
      <c r="J373" s="3" t="s">
        <v>60</v>
      </c>
      <c r="L373" s="2" t="s">
        <v>4602</v>
      </c>
      <c r="M373" s="3" t="s">
        <v>424</v>
      </c>
      <c r="O373" s="3" t="s">
        <v>64</v>
      </c>
      <c r="P373" s="3" t="s">
        <v>2961</v>
      </c>
      <c r="R373" s="3" t="s">
        <v>66</v>
      </c>
      <c r="S373" s="4">
        <v>2</v>
      </c>
      <c r="T373" s="4">
        <v>2</v>
      </c>
      <c r="U373" s="5" t="s">
        <v>4603</v>
      </c>
      <c r="V373" s="5" t="s">
        <v>4603</v>
      </c>
      <c r="W373" s="5" t="s">
        <v>4343</v>
      </c>
      <c r="X373" s="5" t="s">
        <v>4343</v>
      </c>
      <c r="Y373" s="4">
        <v>9</v>
      </c>
      <c r="Z373" s="4">
        <v>7</v>
      </c>
      <c r="AA373" s="4">
        <v>7</v>
      </c>
      <c r="AB373" s="4">
        <v>1</v>
      </c>
      <c r="AC373" s="4">
        <v>1</v>
      </c>
      <c r="AD373" s="4">
        <v>0</v>
      </c>
      <c r="AE373" s="4">
        <v>0</v>
      </c>
      <c r="AF373" s="4">
        <v>0</v>
      </c>
      <c r="AG373" s="4">
        <v>0</v>
      </c>
      <c r="AH373" s="4">
        <v>0</v>
      </c>
      <c r="AI373" s="4">
        <v>0</v>
      </c>
      <c r="AJ373" s="4">
        <v>0</v>
      </c>
      <c r="AK373" s="4">
        <v>0</v>
      </c>
      <c r="AL373" s="4">
        <v>0</v>
      </c>
      <c r="AM373" s="4">
        <v>0</v>
      </c>
      <c r="AN373" s="4">
        <v>0</v>
      </c>
      <c r="AO373" s="4">
        <v>0</v>
      </c>
      <c r="AP373" s="3" t="s">
        <v>58</v>
      </c>
      <c r="AQ373" s="3" t="s">
        <v>58</v>
      </c>
      <c r="AS373" s="6" t="str">
        <f>HYPERLINK("https://creighton-primo.hosted.exlibrisgroup.com/primo-explore/search?tab=default_tab&amp;search_scope=EVERYTHING&amp;vid=01CRU&amp;lang=en_US&amp;offset=0&amp;query=any,contains,991000906039702656","Catalog Record")</f>
        <v>Catalog Record</v>
      </c>
      <c r="AT373" s="6" t="str">
        <f>HYPERLINK("http://www.worldcat.org/oclc/12951851","WorldCat Record")</f>
        <v>WorldCat Record</v>
      </c>
      <c r="AU373" s="3" t="s">
        <v>4604</v>
      </c>
      <c r="AV373" s="3" t="s">
        <v>4605</v>
      </c>
      <c r="AW373" s="3" t="s">
        <v>4606</v>
      </c>
      <c r="AX373" s="3" t="s">
        <v>4606</v>
      </c>
      <c r="AY373" s="3" t="s">
        <v>4607</v>
      </c>
      <c r="AZ373" s="3" t="s">
        <v>73</v>
      </c>
      <c r="BB373" s="3" t="s">
        <v>4608</v>
      </c>
      <c r="BC373" s="3" t="s">
        <v>4609</v>
      </c>
      <c r="BD373" s="3" t="s">
        <v>4610</v>
      </c>
    </row>
    <row r="374" spans="1:56" ht="40.5" customHeight="1" x14ac:dyDescent="0.25">
      <c r="A374" s="7" t="s">
        <v>58</v>
      </c>
      <c r="B374" s="2" t="s">
        <v>4611</v>
      </c>
      <c r="C374" s="2" t="s">
        <v>4612</v>
      </c>
      <c r="D374" s="2" t="s">
        <v>4613</v>
      </c>
      <c r="F374" s="3" t="s">
        <v>58</v>
      </c>
      <c r="G374" s="3" t="s">
        <v>59</v>
      </c>
      <c r="H374" s="3" t="s">
        <v>58</v>
      </c>
      <c r="I374" s="3" t="s">
        <v>58</v>
      </c>
      <c r="J374" s="3" t="s">
        <v>60</v>
      </c>
      <c r="L374" s="2" t="s">
        <v>4614</v>
      </c>
      <c r="M374" s="3" t="s">
        <v>4577</v>
      </c>
      <c r="O374" s="3" t="s">
        <v>64</v>
      </c>
      <c r="P374" s="3" t="s">
        <v>4615</v>
      </c>
      <c r="R374" s="3" t="s">
        <v>66</v>
      </c>
      <c r="S374" s="4">
        <v>3</v>
      </c>
      <c r="T374" s="4">
        <v>3</v>
      </c>
      <c r="U374" s="5" t="s">
        <v>4616</v>
      </c>
      <c r="V374" s="5" t="s">
        <v>4616</v>
      </c>
      <c r="W374" s="5" t="s">
        <v>4617</v>
      </c>
      <c r="X374" s="5" t="s">
        <v>4617</v>
      </c>
      <c r="Y374" s="4">
        <v>67</v>
      </c>
      <c r="Z374" s="4">
        <v>50</v>
      </c>
      <c r="AA374" s="4">
        <v>52</v>
      </c>
      <c r="AB374" s="4">
        <v>1</v>
      </c>
      <c r="AC374" s="4">
        <v>1</v>
      </c>
      <c r="AD374" s="4">
        <v>0</v>
      </c>
      <c r="AE374" s="4">
        <v>0</v>
      </c>
      <c r="AF374" s="4">
        <v>0</v>
      </c>
      <c r="AG374" s="4">
        <v>0</v>
      </c>
      <c r="AH374" s="4">
        <v>0</v>
      </c>
      <c r="AI374" s="4">
        <v>0</v>
      </c>
      <c r="AJ374" s="4">
        <v>0</v>
      </c>
      <c r="AK374" s="4">
        <v>0</v>
      </c>
      <c r="AL374" s="4">
        <v>0</v>
      </c>
      <c r="AM374" s="4">
        <v>0</v>
      </c>
      <c r="AN374" s="4">
        <v>0</v>
      </c>
      <c r="AO374" s="4">
        <v>0</v>
      </c>
      <c r="AP374" s="3" t="s">
        <v>58</v>
      </c>
      <c r="AQ374" s="3" t="s">
        <v>85</v>
      </c>
      <c r="AR374" s="6" t="str">
        <f>HYPERLINK("http://catalog.hathitrust.org/Record/001545462","HathiTrust Record")</f>
        <v>HathiTrust Record</v>
      </c>
      <c r="AS374" s="6" t="str">
        <f>HYPERLINK("https://creighton-primo.hosted.exlibrisgroup.com/primo-explore/search?tab=default_tab&amp;search_scope=EVERYTHING&amp;vid=01CRU&amp;lang=en_US&amp;offset=0&amp;query=any,contains,991000905999702656","Catalog Record")</f>
        <v>Catalog Record</v>
      </c>
      <c r="AT374" s="6" t="str">
        <f>HYPERLINK("http://www.worldcat.org/oclc/7667697","WorldCat Record")</f>
        <v>WorldCat Record</v>
      </c>
      <c r="AU374" s="3" t="s">
        <v>4618</v>
      </c>
      <c r="AV374" s="3" t="s">
        <v>4619</v>
      </c>
      <c r="AW374" s="3" t="s">
        <v>4620</v>
      </c>
      <c r="AX374" s="3" t="s">
        <v>4620</v>
      </c>
      <c r="AY374" s="3" t="s">
        <v>4621</v>
      </c>
      <c r="AZ374" s="3" t="s">
        <v>73</v>
      </c>
      <c r="BC374" s="3" t="s">
        <v>4622</v>
      </c>
      <c r="BD374" s="3" t="s">
        <v>4623</v>
      </c>
    </row>
    <row r="375" spans="1:56" ht="40.5" customHeight="1" x14ac:dyDescent="0.25">
      <c r="A375" s="7" t="s">
        <v>58</v>
      </c>
      <c r="B375" s="2" t="s">
        <v>4624</v>
      </c>
      <c r="C375" s="2" t="s">
        <v>4625</v>
      </c>
      <c r="D375" s="2" t="s">
        <v>4626</v>
      </c>
      <c r="F375" s="3" t="s">
        <v>58</v>
      </c>
      <c r="G375" s="3" t="s">
        <v>59</v>
      </c>
      <c r="H375" s="3" t="s">
        <v>58</v>
      </c>
      <c r="I375" s="3" t="s">
        <v>58</v>
      </c>
      <c r="J375" s="3" t="s">
        <v>60</v>
      </c>
      <c r="L375" s="2" t="s">
        <v>3113</v>
      </c>
      <c r="M375" s="3" t="s">
        <v>644</v>
      </c>
      <c r="O375" s="3" t="s">
        <v>64</v>
      </c>
      <c r="P375" s="3" t="s">
        <v>117</v>
      </c>
      <c r="Q375" s="2" t="s">
        <v>4627</v>
      </c>
      <c r="R375" s="3" t="s">
        <v>66</v>
      </c>
      <c r="S375" s="4">
        <v>6</v>
      </c>
      <c r="T375" s="4">
        <v>6</v>
      </c>
      <c r="U375" s="5" t="s">
        <v>4628</v>
      </c>
      <c r="V375" s="5" t="s">
        <v>4628</v>
      </c>
      <c r="W375" s="5" t="s">
        <v>4629</v>
      </c>
      <c r="X375" s="5" t="s">
        <v>4629</v>
      </c>
      <c r="Y375" s="4">
        <v>120</v>
      </c>
      <c r="Z375" s="4">
        <v>89</v>
      </c>
      <c r="AA375" s="4">
        <v>119</v>
      </c>
      <c r="AB375" s="4">
        <v>1</v>
      </c>
      <c r="AC375" s="4">
        <v>1</v>
      </c>
      <c r="AD375" s="4">
        <v>2</v>
      </c>
      <c r="AE375" s="4">
        <v>2</v>
      </c>
      <c r="AF375" s="4">
        <v>0</v>
      </c>
      <c r="AG375" s="4">
        <v>0</v>
      </c>
      <c r="AH375" s="4">
        <v>1</v>
      </c>
      <c r="AI375" s="4">
        <v>1</v>
      </c>
      <c r="AJ375" s="4">
        <v>1</v>
      </c>
      <c r="AK375" s="4">
        <v>1</v>
      </c>
      <c r="AL375" s="4">
        <v>0</v>
      </c>
      <c r="AM375" s="4">
        <v>0</v>
      </c>
      <c r="AN375" s="4">
        <v>0</v>
      </c>
      <c r="AO375" s="4">
        <v>0</v>
      </c>
      <c r="AP375" s="3" t="s">
        <v>58</v>
      </c>
      <c r="AQ375" s="3" t="s">
        <v>58</v>
      </c>
      <c r="AS375" s="6" t="str">
        <f>HYPERLINK("https://creighton-primo.hosted.exlibrisgroup.com/primo-explore/search?tab=default_tab&amp;search_scope=EVERYTHING&amp;vid=01CRU&amp;lang=en_US&amp;offset=0&amp;query=any,contains,991001430399702656","Catalog Record")</f>
        <v>Catalog Record</v>
      </c>
      <c r="AT375" s="6" t="str">
        <f>HYPERLINK("http://www.worldcat.org/oclc/36917079","WorldCat Record")</f>
        <v>WorldCat Record</v>
      </c>
      <c r="AU375" s="3" t="s">
        <v>4630</v>
      </c>
      <c r="AV375" s="3" t="s">
        <v>4631</v>
      </c>
      <c r="AW375" s="3" t="s">
        <v>4632</v>
      </c>
      <c r="AX375" s="3" t="s">
        <v>4632</v>
      </c>
      <c r="AY375" s="3" t="s">
        <v>4633</v>
      </c>
      <c r="AZ375" s="3" t="s">
        <v>73</v>
      </c>
      <c r="BB375" s="3" t="s">
        <v>4634</v>
      </c>
      <c r="BC375" s="3" t="s">
        <v>4635</v>
      </c>
      <c r="BD375" s="3" t="s">
        <v>4636</v>
      </c>
    </row>
    <row r="376" spans="1:56" ht="40.5" customHeight="1" x14ac:dyDescent="0.25">
      <c r="A376" s="7" t="s">
        <v>58</v>
      </c>
      <c r="B376" s="2" t="s">
        <v>4637</v>
      </c>
      <c r="C376" s="2" t="s">
        <v>4638</v>
      </c>
      <c r="D376" s="2" t="s">
        <v>4639</v>
      </c>
      <c r="F376" s="3" t="s">
        <v>58</v>
      </c>
      <c r="G376" s="3" t="s">
        <v>59</v>
      </c>
      <c r="H376" s="3" t="s">
        <v>58</v>
      </c>
      <c r="I376" s="3" t="s">
        <v>58</v>
      </c>
      <c r="J376" s="3" t="s">
        <v>60</v>
      </c>
      <c r="K376" s="2" t="s">
        <v>4640</v>
      </c>
      <c r="L376" s="2" t="s">
        <v>4641</v>
      </c>
      <c r="M376" s="3" t="s">
        <v>395</v>
      </c>
      <c r="O376" s="3" t="s">
        <v>64</v>
      </c>
      <c r="P376" s="3" t="s">
        <v>117</v>
      </c>
      <c r="Q376" s="2" t="s">
        <v>4642</v>
      </c>
      <c r="R376" s="3" t="s">
        <v>66</v>
      </c>
      <c r="S376" s="4">
        <v>4</v>
      </c>
      <c r="T376" s="4">
        <v>4</v>
      </c>
      <c r="U376" s="5" t="s">
        <v>4643</v>
      </c>
      <c r="V376" s="5" t="s">
        <v>4643</v>
      </c>
      <c r="W376" s="5" t="s">
        <v>3525</v>
      </c>
      <c r="X376" s="5" t="s">
        <v>3525</v>
      </c>
      <c r="Y376" s="4">
        <v>527</v>
      </c>
      <c r="Z376" s="4">
        <v>410</v>
      </c>
      <c r="AA376" s="4">
        <v>412</v>
      </c>
      <c r="AB376" s="4">
        <v>3</v>
      </c>
      <c r="AC376" s="4">
        <v>3</v>
      </c>
      <c r="AD376" s="4">
        <v>12</v>
      </c>
      <c r="AE376" s="4">
        <v>12</v>
      </c>
      <c r="AF376" s="4">
        <v>5</v>
      </c>
      <c r="AG376" s="4">
        <v>5</v>
      </c>
      <c r="AH376" s="4">
        <v>4</v>
      </c>
      <c r="AI376" s="4">
        <v>4</v>
      </c>
      <c r="AJ376" s="4">
        <v>6</v>
      </c>
      <c r="AK376" s="4">
        <v>6</v>
      </c>
      <c r="AL376" s="4">
        <v>2</v>
      </c>
      <c r="AM376" s="4">
        <v>2</v>
      </c>
      <c r="AN376" s="4">
        <v>0</v>
      </c>
      <c r="AO376" s="4">
        <v>0</v>
      </c>
      <c r="AP376" s="3" t="s">
        <v>58</v>
      </c>
      <c r="AQ376" s="3" t="s">
        <v>85</v>
      </c>
      <c r="AR376" s="6" t="str">
        <f>HYPERLINK("http://catalog.hathitrust.org/Record/007550775","HathiTrust Record")</f>
        <v>HathiTrust Record</v>
      </c>
      <c r="AS376" s="6" t="str">
        <f>HYPERLINK("https://creighton-primo.hosted.exlibrisgroup.com/primo-explore/search?tab=default_tab&amp;search_scope=EVERYTHING&amp;vid=01CRU&amp;lang=en_US&amp;offset=0&amp;query=any,contains,991000905959702656","Catalog Record")</f>
        <v>Catalog Record</v>
      </c>
      <c r="AT376" s="6" t="str">
        <f>HYPERLINK("http://www.worldcat.org/oclc/217370","WorldCat Record")</f>
        <v>WorldCat Record</v>
      </c>
      <c r="AU376" s="3" t="s">
        <v>4644</v>
      </c>
      <c r="AV376" s="3" t="s">
        <v>4645</v>
      </c>
      <c r="AW376" s="3" t="s">
        <v>4646</v>
      </c>
      <c r="AX376" s="3" t="s">
        <v>4646</v>
      </c>
      <c r="AY376" s="3" t="s">
        <v>4647</v>
      </c>
      <c r="AZ376" s="3" t="s">
        <v>73</v>
      </c>
      <c r="BC376" s="3" t="s">
        <v>4648</v>
      </c>
      <c r="BD376" s="3" t="s">
        <v>4649</v>
      </c>
    </row>
    <row r="377" spans="1:56" ht="40.5" customHeight="1" x14ac:dyDescent="0.25">
      <c r="A377" s="7" t="s">
        <v>58</v>
      </c>
      <c r="B377" s="2" t="s">
        <v>4650</v>
      </c>
      <c r="C377" s="2" t="s">
        <v>4651</v>
      </c>
      <c r="D377" s="2" t="s">
        <v>4652</v>
      </c>
      <c r="F377" s="3" t="s">
        <v>58</v>
      </c>
      <c r="G377" s="3" t="s">
        <v>59</v>
      </c>
      <c r="H377" s="3" t="s">
        <v>58</v>
      </c>
      <c r="I377" s="3" t="s">
        <v>58</v>
      </c>
      <c r="J377" s="3" t="s">
        <v>60</v>
      </c>
      <c r="K377" s="2" t="s">
        <v>4653</v>
      </c>
      <c r="L377" s="2" t="s">
        <v>409</v>
      </c>
      <c r="M377" s="3" t="s">
        <v>63</v>
      </c>
      <c r="O377" s="3" t="s">
        <v>64</v>
      </c>
      <c r="P377" s="3" t="s">
        <v>117</v>
      </c>
      <c r="R377" s="3" t="s">
        <v>66</v>
      </c>
      <c r="S377" s="4">
        <v>7</v>
      </c>
      <c r="T377" s="4">
        <v>7</v>
      </c>
      <c r="U377" s="5" t="s">
        <v>4654</v>
      </c>
      <c r="V377" s="5" t="s">
        <v>4654</v>
      </c>
      <c r="W377" s="5" t="s">
        <v>4617</v>
      </c>
      <c r="X377" s="5" t="s">
        <v>4617</v>
      </c>
      <c r="Y377" s="4">
        <v>224</v>
      </c>
      <c r="Z377" s="4">
        <v>167</v>
      </c>
      <c r="AA377" s="4">
        <v>169</v>
      </c>
      <c r="AB377" s="4">
        <v>1</v>
      </c>
      <c r="AC377" s="4">
        <v>1</v>
      </c>
      <c r="AD377" s="4">
        <v>2</v>
      </c>
      <c r="AE377" s="4">
        <v>2</v>
      </c>
      <c r="AF377" s="4">
        <v>2</v>
      </c>
      <c r="AG377" s="4">
        <v>2</v>
      </c>
      <c r="AH377" s="4">
        <v>0</v>
      </c>
      <c r="AI377" s="4">
        <v>0</v>
      </c>
      <c r="AJ377" s="4">
        <v>1</v>
      </c>
      <c r="AK377" s="4">
        <v>1</v>
      </c>
      <c r="AL377" s="4">
        <v>0</v>
      </c>
      <c r="AM377" s="4">
        <v>0</v>
      </c>
      <c r="AN377" s="4">
        <v>0</v>
      </c>
      <c r="AO377" s="4">
        <v>0</v>
      </c>
      <c r="AP377" s="3" t="s">
        <v>58</v>
      </c>
      <c r="AQ377" s="3" t="s">
        <v>85</v>
      </c>
      <c r="AR377" s="6" t="str">
        <f>HYPERLINK("http://catalog.hathitrust.org/Record/000107138","HathiTrust Record")</f>
        <v>HathiTrust Record</v>
      </c>
      <c r="AS377" s="6" t="str">
        <f>HYPERLINK("https://creighton-primo.hosted.exlibrisgroup.com/primo-explore/search?tab=default_tab&amp;search_scope=EVERYTHING&amp;vid=01CRU&amp;lang=en_US&amp;offset=0&amp;query=any,contains,991000905839702656","Catalog Record")</f>
        <v>Catalog Record</v>
      </c>
      <c r="AT377" s="6" t="str">
        <f>HYPERLINK("http://www.worldcat.org/oclc/7614808","WorldCat Record")</f>
        <v>WorldCat Record</v>
      </c>
      <c r="AU377" s="3" t="s">
        <v>4655</v>
      </c>
      <c r="AV377" s="3" t="s">
        <v>4656</v>
      </c>
      <c r="AW377" s="3" t="s">
        <v>4657</v>
      </c>
      <c r="AX377" s="3" t="s">
        <v>4657</v>
      </c>
      <c r="AY377" s="3" t="s">
        <v>4658</v>
      </c>
      <c r="AZ377" s="3" t="s">
        <v>73</v>
      </c>
      <c r="BB377" s="3" t="s">
        <v>4659</v>
      </c>
      <c r="BC377" s="3" t="s">
        <v>4660</v>
      </c>
      <c r="BD377" s="3" t="s">
        <v>4661</v>
      </c>
    </row>
    <row r="378" spans="1:56" ht="40.5" customHeight="1" x14ac:dyDescent="0.25">
      <c r="A378" s="7" t="s">
        <v>58</v>
      </c>
      <c r="B378" s="2" t="s">
        <v>4662</v>
      </c>
      <c r="C378" s="2" t="s">
        <v>4663</v>
      </c>
      <c r="D378" s="2" t="s">
        <v>4664</v>
      </c>
      <c r="F378" s="3" t="s">
        <v>58</v>
      </c>
      <c r="G378" s="3" t="s">
        <v>59</v>
      </c>
      <c r="H378" s="3" t="s">
        <v>58</v>
      </c>
      <c r="I378" s="3" t="s">
        <v>58</v>
      </c>
      <c r="J378" s="3" t="s">
        <v>60</v>
      </c>
      <c r="L378" s="2" t="s">
        <v>4665</v>
      </c>
      <c r="M378" s="3" t="s">
        <v>98</v>
      </c>
      <c r="O378" s="3" t="s">
        <v>64</v>
      </c>
      <c r="P378" s="3" t="s">
        <v>65</v>
      </c>
      <c r="Q378" s="2" t="s">
        <v>4666</v>
      </c>
      <c r="R378" s="3" t="s">
        <v>66</v>
      </c>
      <c r="S378" s="4">
        <v>4</v>
      </c>
      <c r="T378" s="4">
        <v>4</v>
      </c>
      <c r="U378" s="5" t="s">
        <v>4667</v>
      </c>
      <c r="V378" s="5" t="s">
        <v>4667</v>
      </c>
      <c r="W378" s="5" t="s">
        <v>4343</v>
      </c>
      <c r="X378" s="5" t="s">
        <v>4343</v>
      </c>
      <c r="Y378" s="4">
        <v>226</v>
      </c>
      <c r="Z378" s="4">
        <v>178</v>
      </c>
      <c r="AA378" s="4">
        <v>189</v>
      </c>
      <c r="AB378" s="4">
        <v>1</v>
      </c>
      <c r="AC378" s="4">
        <v>1</v>
      </c>
      <c r="AD378" s="4">
        <v>8</v>
      </c>
      <c r="AE378" s="4">
        <v>10</v>
      </c>
      <c r="AF378" s="4">
        <v>3</v>
      </c>
      <c r="AG378" s="4">
        <v>4</v>
      </c>
      <c r="AH378" s="4">
        <v>2</v>
      </c>
      <c r="AI378" s="4">
        <v>3</v>
      </c>
      <c r="AJ378" s="4">
        <v>5</v>
      </c>
      <c r="AK378" s="4">
        <v>6</v>
      </c>
      <c r="AL378" s="4">
        <v>0</v>
      </c>
      <c r="AM378" s="4">
        <v>0</v>
      </c>
      <c r="AN378" s="4">
        <v>0</v>
      </c>
      <c r="AO378" s="4">
        <v>0</v>
      </c>
      <c r="AP378" s="3" t="s">
        <v>58</v>
      </c>
      <c r="AQ378" s="3" t="s">
        <v>58</v>
      </c>
      <c r="AS378" s="6" t="str">
        <f>HYPERLINK("https://creighton-primo.hosted.exlibrisgroup.com/primo-explore/search?tab=default_tab&amp;search_scope=EVERYTHING&amp;vid=01CRU&amp;lang=en_US&amp;offset=0&amp;query=any,contains,991000906399702656","Catalog Record")</f>
        <v>Catalog Record</v>
      </c>
      <c r="AT378" s="6" t="str">
        <f>HYPERLINK("http://www.worldcat.org/oclc/9392899","WorldCat Record")</f>
        <v>WorldCat Record</v>
      </c>
      <c r="AU378" s="3" t="s">
        <v>4668</v>
      </c>
      <c r="AV378" s="3" t="s">
        <v>4669</v>
      </c>
      <c r="AW378" s="3" t="s">
        <v>4670</v>
      </c>
      <c r="AX378" s="3" t="s">
        <v>4670</v>
      </c>
      <c r="AY378" s="3" t="s">
        <v>4671</v>
      </c>
      <c r="AZ378" s="3" t="s">
        <v>73</v>
      </c>
      <c r="BB378" s="3" t="s">
        <v>4672</v>
      </c>
      <c r="BC378" s="3" t="s">
        <v>4673</v>
      </c>
      <c r="BD378" s="3" t="s">
        <v>4674</v>
      </c>
    </row>
    <row r="379" spans="1:56" ht="40.5" customHeight="1" x14ac:dyDescent="0.25">
      <c r="A379" s="7" t="s">
        <v>58</v>
      </c>
      <c r="B379" s="2" t="s">
        <v>4675</v>
      </c>
      <c r="C379" s="2" t="s">
        <v>4676</v>
      </c>
      <c r="D379" s="2" t="s">
        <v>4677</v>
      </c>
      <c r="F379" s="3" t="s">
        <v>58</v>
      </c>
      <c r="G379" s="3" t="s">
        <v>59</v>
      </c>
      <c r="H379" s="3" t="s">
        <v>58</v>
      </c>
      <c r="I379" s="3" t="s">
        <v>58</v>
      </c>
      <c r="J379" s="3" t="s">
        <v>60</v>
      </c>
      <c r="L379" s="2" t="s">
        <v>4678</v>
      </c>
      <c r="M379" s="3" t="s">
        <v>365</v>
      </c>
      <c r="O379" s="3" t="s">
        <v>64</v>
      </c>
      <c r="P379" s="3" t="s">
        <v>4679</v>
      </c>
      <c r="R379" s="3" t="s">
        <v>66</v>
      </c>
      <c r="S379" s="4">
        <v>6</v>
      </c>
      <c r="T379" s="4">
        <v>6</v>
      </c>
      <c r="U379" s="5" t="s">
        <v>4680</v>
      </c>
      <c r="V379" s="5" t="s">
        <v>4680</v>
      </c>
      <c r="W379" s="5" t="s">
        <v>1661</v>
      </c>
      <c r="X379" s="5" t="s">
        <v>1661</v>
      </c>
      <c r="Y379" s="4">
        <v>93</v>
      </c>
      <c r="Z379" s="4">
        <v>60</v>
      </c>
      <c r="AA379" s="4">
        <v>72</v>
      </c>
      <c r="AB379" s="4">
        <v>1</v>
      </c>
      <c r="AC379" s="4">
        <v>1</v>
      </c>
      <c r="AD379" s="4">
        <v>2</v>
      </c>
      <c r="AE379" s="4">
        <v>2</v>
      </c>
      <c r="AF379" s="4">
        <v>0</v>
      </c>
      <c r="AG379" s="4">
        <v>0</v>
      </c>
      <c r="AH379" s="4">
        <v>1</v>
      </c>
      <c r="AI379" s="4">
        <v>1</v>
      </c>
      <c r="AJ379" s="4">
        <v>1</v>
      </c>
      <c r="AK379" s="4">
        <v>1</v>
      </c>
      <c r="AL379" s="4">
        <v>0</v>
      </c>
      <c r="AM379" s="4">
        <v>0</v>
      </c>
      <c r="AN379" s="4">
        <v>0</v>
      </c>
      <c r="AO379" s="4">
        <v>0</v>
      </c>
      <c r="AP379" s="3" t="s">
        <v>58</v>
      </c>
      <c r="AQ379" s="3" t="s">
        <v>85</v>
      </c>
      <c r="AR379" s="6" t="str">
        <f>HYPERLINK("http://catalog.hathitrust.org/Record/002997386","HathiTrust Record")</f>
        <v>HathiTrust Record</v>
      </c>
      <c r="AS379" s="6" t="str">
        <f>HYPERLINK("https://creighton-primo.hosted.exlibrisgroup.com/primo-explore/search?tab=default_tab&amp;search_scope=EVERYTHING&amp;vid=01CRU&amp;lang=en_US&amp;offset=0&amp;query=any,contains,991000678839702656","Catalog Record")</f>
        <v>Catalog Record</v>
      </c>
      <c r="AT379" s="6" t="str">
        <f>HYPERLINK("http://www.worldcat.org/oclc/30329863","WorldCat Record")</f>
        <v>WorldCat Record</v>
      </c>
      <c r="AU379" s="3" t="s">
        <v>4681</v>
      </c>
      <c r="AV379" s="3" t="s">
        <v>4682</v>
      </c>
      <c r="AW379" s="3" t="s">
        <v>4683</v>
      </c>
      <c r="AX379" s="3" t="s">
        <v>4683</v>
      </c>
      <c r="AY379" s="3" t="s">
        <v>4684</v>
      </c>
      <c r="AZ379" s="3" t="s">
        <v>73</v>
      </c>
      <c r="BB379" s="3" t="s">
        <v>4685</v>
      </c>
      <c r="BC379" s="3" t="s">
        <v>4686</v>
      </c>
      <c r="BD379" s="3" t="s">
        <v>4687</v>
      </c>
    </row>
    <row r="380" spans="1:56" ht="40.5" customHeight="1" x14ac:dyDescent="0.25">
      <c r="A380" s="7" t="s">
        <v>58</v>
      </c>
      <c r="B380" s="2" t="s">
        <v>4688</v>
      </c>
      <c r="C380" s="2" t="s">
        <v>4689</v>
      </c>
      <c r="D380" s="2" t="s">
        <v>4690</v>
      </c>
      <c r="F380" s="3" t="s">
        <v>58</v>
      </c>
      <c r="G380" s="3" t="s">
        <v>59</v>
      </c>
      <c r="H380" s="3" t="s">
        <v>58</v>
      </c>
      <c r="I380" s="3" t="s">
        <v>58</v>
      </c>
      <c r="J380" s="3" t="s">
        <v>60</v>
      </c>
      <c r="L380" s="2" t="s">
        <v>2635</v>
      </c>
      <c r="M380" s="3" t="s">
        <v>726</v>
      </c>
      <c r="O380" s="3" t="s">
        <v>64</v>
      </c>
      <c r="P380" s="3" t="s">
        <v>135</v>
      </c>
      <c r="Q380" s="2" t="s">
        <v>4691</v>
      </c>
      <c r="R380" s="3" t="s">
        <v>66</v>
      </c>
      <c r="S380" s="4">
        <v>3</v>
      </c>
      <c r="T380" s="4">
        <v>3</v>
      </c>
      <c r="U380" s="5" t="s">
        <v>4692</v>
      </c>
      <c r="V380" s="5" t="s">
        <v>4692</v>
      </c>
      <c r="W380" s="5" t="s">
        <v>4693</v>
      </c>
      <c r="X380" s="5" t="s">
        <v>4693</v>
      </c>
      <c r="Y380" s="4">
        <v>128</v>
      </c>
      <c r="Z380" s="4">
        <v>81</v>
      </c>
      <c r="AA380" s="4">
        <v>83</v>
      </c>
      <c r="AB380" s="4">
        <v>1</v>
      </c>
      <c r="AC380" s="4">
        <v>1</v>
      </c>
      <c r="AD380" s="4">
        <v>5</v>
      </c>
      <c r="AE380" s="4">
        <v>5</v>
      </c>
      <c r="AF380" s="4">
        <v>1</v>
      </c>
      <c r="AG380" s="4">
        <v>1</v>
      </c>
      <c r="AH380" s="4">
        <v>4</v>
      </c>
      <c r="AI380" s="4">
        <v>4</v>
      </c>
      <c r="AJ380" s="4">
        <v>2</v>
      </c>
      <c r="AK380" s="4">
        <v>2</v>
      </c>
      <c r="AL380" s="4">
        <v>0</v>
      </c>
      <c r="AM380" s="4">
        <v>0</v>
      </c>
      <c r="AN380" s="4">
        <v>0</v>
      </c>
      <c r="AO380" s="4">
        <v>0</v>
      </c>
      <c r="AP380" s="3" t="s">
        <v>58</v>
      </c>
      <c r="AQ380" s="3" t="s">
        <v>85</v>
      </c>
      <c r="AR380" s="6" t="str">
        <f>HYPERLINK("http://catalog.hathitrust.org/Record/002238062","HathiTrust Record")</f>
        <v>HathiTrust Record</v>
      </c>
      <c r="AS380" s="6" t="str">
        <f>HYPERLINK("https://creighton-primo.hosted.exlibrisgroup.com/primo-explore/search?tab=default_tab&amp;search_scope=EVERYTHING&amp;vid=01CRU&amp;lang=en_US&amp;offset=0&amp;query=any,contains,991001017099702656","Catalog Record")</f>
        <v>Catalog Record</v>
      </c>
      <c r="AT380" s="6" t="str">
        <f>HYPERLINK("http://www.worldcat.org/oclc/21038983","WorldCat Record")</f>
        <v>WorldCat Record</v>
      </c>
      <c r="AU380" s="3" t="s">
        <v>4694</v>
      </c>
      <c r="AV380" s="3" t="s">
        <v>4695</v>
      </c>
      <c r="AW380" s="3" t="s">
        <v>4696</v>
      </c>
      <c r="AX380" s="3" t="s">
        <v>4696</v>
      </c>
      <c r="AY380" s="3" t="s">
        <v>4697</v>
      </c>
      <c r="AZ380" s="3" t="s">
        <v>73</v>
      </c>
      <c r="BB380" s="3" t="s">
        <v>4698</v>
      </c>
      <c r="BC380" s="3" t="s">
        <v>4699</v>
      </c>
      <c r="BD380" s="3" t="s">
        <v>4700</v>
      </c>
    </row>
    <row r="381" spans="1:56" ht="40.5" customHeight="1" x14ac:dyDescent="0.25">
      <c r="A381" s="7" t="s">
        <v>58</v>
      </c>
      <c r="B381" s="2" t="s">
        <v>4701</v>
      </c>
      <c r="C381" s="2" t="s">
        <v>4702</v>
      </c>
      <c r="D381" s="2" t="s">
        <v>4703</v>
      </c>
      <c r="F381" s="3" t="s">
        <v>58</v>
      </c>
      <c r="G381" s="3" t="s">
        <v>59</v>
      </c>
      <c r="H381" s="3" t="s">
        <v>58</v>
      </c>
      <c r="I381" s="3" t="s">
        <v>58</v>
      </c>
      <c r="J381" s="3" t="s">
        <v>60</v>
      </c>
      <c r="L381" s="2" t="s">
        <v>4704</v>
      </c>
      <c r="M381" s="3" t="s">
        <v>365</v>
      </c>
      <c r="O381" s="3" t="s">
        <v>64</v>
      </c>
      <c r="P381" s="3" t="s">
        <v>117</v>
      </c>
      <c r="Q381" s="2" t="s">
        <v>4705</v>
      </c>
      <c r="R381" s="3" t="s">
        <v>66</v>
      </c>
      <c r="S381" s="4">
        <v>2</v>
      </c>
      <c r="T381" s="4">
        <v>2</v>
      </c>
      <c r="U381" s="5" t="s">
        <v>4706</v>
      </c>
      <c r="V381" s="5" t="s">
        <v>4706</v>
      </c>
      <c r="W381" s="5" t="s">
        <v>4707</v>
      </c>
      <c r="X381" s="5" t="s">
        <v>4707</v>
      </c>
      <c r="Y381" s="4">
        <v>103</v>
      </c>
      <c r="Z381" s="4">
        <v>80</v>
      </c>
      <c r="AA381" s="4">
        <v>106</v>
      </c>
      <c r="AB381" s="4">
        <v>1</v>
      </c>
      <c r="AC381" s="4">
        <v>1</v>
      </c>
      <c r="AD381" s="4">
        <v>2</v>
      </c>
      <c r="AE381" s="4">
        <v>3</v>
      </c>
      <c r="AF381" s="4">
        <v>0</v>
      </c>
      <c r="AG381" s="4">
        <v>1</v>
      </c>
      <c r="AH381" s="4">
        <v>0</v>
      </c>
      <c r="AI381" s="4">
        <v>0</v>
      </c>
      <c r="AJ381" s="4">
        <v>2</v>
      </c>
      <c r="AK381" s="4">
        <v>3</v>
      </c>
      <c r="AL381" s="4">
        <v>0</v>
      </c>
      <c r="AM381" s="4">
        <v>0</v>
      </c>
      <c r="AN381" s="4">
        <v>0</v>
      </c>
      <c r="AO381" s="4">
        <v>0</v>
      </c>
      <c r="AP381" s="3" t="s">
        <v>58</v>
      </c>
      <c r="AQ381" s="3" t="s">
        <v>85</v>
      </c>
      <c r="AR381" s="6" t="str">
        <f>HYPERLINK("http://catalog.hathitrust.org/Record/002971338","HathiTrust Record")</f>
        <v>HathiTrust Record</v>
      </c>
      <c r="AS381" s="6" t="str">
        <f>HYPERLINK("https://creighton-primo.hosted.exlibrisgroup.com/primo-explore/search?tab=default_tab&amp;search_scope=EVERYTHING&amp;vid=01CRU&amp;lang=en_US&amp;offset=0&amp;query=any,contains,991001502619702656","Catalog Record")</f>
        <v>Catalog Record</v>
      </c>
      <c r="AT381" s="6" t="str">
        <f>HYPERLINK("http://www.worldcat.org/oclc/31172807","WorldCat Record")</f>
        <v>WorldCat Record</v>
      </c>
      <c r="AU381" s="3" t="s">
        <v>4708</v>
      </c>
      <c r="AV381" s="3" t="s">
        <v>4709</v>
      </c>
      <c r="AW381" s="3" t="s">
        <v>4710</v>
      </c>
      <c r="AX381" s="3" t="s">
        <v>4710</v>
      </c>
      <c r="AY381" s="3" t="s">
        <v>4711</v>
      </c>
      <c r="AZ381" s="3" t="s">
        <v>73</v>
      </c>
      <c r="BB381" s="3" t="s">
        <v>4712</v>
      </c>
      <c r="BC381" s="3" t="s">
        <v>4713</v>
      </c>
      <c r="BD381" s="3" t="s">
        <v>4714</v>
      </c>
    </row>
    <row r="382" spans="1:56" ht="40.5" customHeight="1" x14ac:dyDescent="0.25">
      <c r="A382" s="7" t="s">
        <v>58</v>
      </c>
      <c r="B382" s="2" t="s">
        <v>4715</v>
      </c>
      <c r="C382" s="2" t="s">
        <v>4716</v>
      </c>
      <c r="D382" s="2" t="s">
        <v>4717</v>
      </c>
      <c r="F382" s="3" t="s">
        <v>58</v>
      </c>
      <c r="G382" s="3" t="s">
        <v>59</v>
      </c>
      <c r="H382" s="3" t="s">
        <v>58</v>
      </c>
      <c r="I382" s="3" t="s">
        <v>58</v>
      </c>
      <c r="J382" s="3" t="s">
        <v>60</v>
      </c>
      <c r="K382" s="2" t="s">
        <v>4718</v>
      </c>
      <c r="L382" s="2" t="s">
        <v>4719</v>
      </c>
      <c r="M382" s="3" t="s">
        <v>303</v>
      </c>
      <c r="O382" s="3" t="s">
        <v>64</v>
      </c>
      <c r="P382" s="3" t="s">
        <v>1785</v>
      </c>
      <c r="Q382" s="2" t="s">
        <v>1786</v>
      </c>
      <c r="R382" s="3" t="s">
        <v>66</v>
      </c>
      <c r="S382" s="4">
        <v>3</v>
      </c>
      <c r="T382" s="4">
        <v>3</v>
      </c>
      <c r="U382" s="5" t="s">
        <v>4720</v>
      </c>
      <c r="V382" s="5" t="s">
        <v>4720</v>
      </c>
      <c r="W382" s="5" t="s">
        <v>4721</v>
      </c>
      <c r="X382" s="5" t="s">
        <v>4721</v>
      </c>
      <c r="Y382" s="4">
        <v>97</v>
      </c>
      <c r="Z382" s="4">
        <v>75</v>
      </c>
      <c r="AA382" s="4">
        <v>81</v>
      </c>
      <c r="AB382" s="4">
        <v>1</v>
      </c>
      <c r="AC382" s="4">
        <v>1</v>
      </c>
      <c r="AD382" s="4">
        <v>1</v>
      </c>
      <c r="AE382" s="4">
        <v>1</v>
      </c>
      <c r="AF382" s="4">
        <v>0</v>
      </c>
      <c r="AG382" s="4">
        <v>0</v>
      </c>
      <c r="AH382" s="4">
        <v>1</v>
      </c>
      <c r="AI382" s="4">
        <v>1</v>
      </c>
      <c r="AJ382" s="4">
        <v>1</v>
      </c>
      <c r="AK382" s="4">
        <v>1</v>
      </c>
      <c r="AL382" s="4">
        <v>0</v>
      </c>
      <c r="AM382" s="4">
        <v>0</v>
      </c>
      <c r="AN382" s="4">
        <v>0</v>
      </c>
      <c r="AO382" s="4">
        <v>0</v>
      </c>
      <c r="AP382" s="3" t="s">
        <v>58</v>
      </c>
      <c r="AQ382" s="3" t="s">
        <v>58</v>
      </c>
      <c r="AS382" s="6" t="str">
        <f>HYPERLINK("https://creighton-primo.hosted.exlibrisgroup.com/primo-explore/search?tab=default_tab&amp;search_scope=EVERYTHING&amp;vid=01CRU&amp;lang=en_US&amp;offset=0&amp;query=any,contains,991001231799702656","Catalog Record")</f>
        <v>Catalog Record</v>
      </c>
      <c r="AT382" s="6" t="str">
        <f>HYPERLINK("http://www.worldcat.org/oclc/33838191","WorldCat Record")</f>
        <v>WorldCat Record</v>
      </c>
      <c r="AU382" s="3" t="s">
        <v>4722</v>
      </c>
      <c r="AV382" s="3" t="s">
        <v>4723</v>
      </c>
      <c r="AW382" s="3" t="s">
        <v>4724</v>
      </c>
      <c r="AX382" s="3" t="s">
        <v>4724</v>
      </c>
      <c r="AY382" s="3" t="s">
        <v>4725</v>
      </c>
      <c r="AZ382" s="3" t="s">
        <v>73</v>
      </c>
      <c r="BB382" s="3" t="s">
        <v>4726</v>
      </c>
      <c r="BC382" s="3" t="s">
        <v>4727</v>
      </c>
      <c r="BD382" s="3" t="s">
        <v>4728</v>
      </c>
    </row>
    <row r="383" spans="1:56" ht="40.5" customHeight="1" x14ac:dyDescent="0.25">
      <c r="A383" s="7" t="s">
        <v>58</v>
      </c>
      <c r="B383" s="2" t="s">
        <v>4729</v>
      </c>
      <c r="C383" s="2" t="s">
        <v>4730</v>
      </c>
      <c r="D383" s="2" t="s">
        <v>4731</v>
      </c>
      <c r="E383" s="3" t="s">
        <v>1408</v>
      </c>
      <c r="F383" s="3" t="s">
        <v>85</v>
      </c>
      <c r="G383" s="3" t="s">
        <v>59</v>
      </c>
      <c r="H383" s="3" t="s">
        <v>58</v>
      </c>
      <c r="I383" s="3" t="s">
        <v>58</v>
      </c>
      <c r="J383" s="3" t="s">
        <v>60</v>
      </c>
      <c r="L383" s="2" t="s">
        <v>4732</v>
      </c>
      <c r="M383" s="3" t="s">
        <v>1536</v>
      </c>
      <c r="N383" s="2" t="s">
        <v>198</v>
      </c>
      <c r="O383" s="3" t="s">
        <v>64</v>
      </c>
      <c r="P383" s="3" t="s">
        <v>230</v>
      </c>
      <c r="R383" s="3" t="s">
        <v>66</v>
      </c>
      <c r="S383" s="4">
        <v>2</v>
      </c>
      <c r="T383" s="4">
        <v>4</v>
      </c>
      <c r="U383" s="5" t="s">
        <v>4733</v>
      </c>
      <c r="V383" s="5" t="s">
        <v>4733</v>
      </c>
      <c r="W383" s="5" t="s">
        <v>4734</v>
      </c>
      <c r="X383" s="5" t="s">
        <v>4734</v>
      </c>
      <c r="Y383" s="4">
        <v>89</v>
      </c>
      <c r="Z383" s="4">
        <v>56</v>
      </c>
      <c r="AA383" s="4">
        <v>142</v>
      </c>
      <c r="AB383" s="4">
        <v>1</v>
      </c>
      <c r="AC383" s="4">
        <v>1</v>
      </c>
      <c r="AD383" s="4">
        <v>2</v>
      </c>
      <c r="AE383" s="4">
        <v>5</v>
      </c>
      <c r="AF383" s="4">
        <v>0</v>
      </c>
      <c r="AG383" s="4">
        <v>1</v>
      </c>
      <c r="AH383" s="4">
        <v>1</v>
      </c>
      <c r="AI383" s="4">
        <v>3</v>
      </c>
      <c r="AJ383" s="4">
        <v>2</v>
      </c>
      <c r="AK383" s="4">
        <v>3</v>
      </c>
      <c r="AL383" s="4">
        <v>0</v>
      </c>
      <c r="AM383" s="4">
        <v>0</v>
      </c>
      <c r="AN383" s="4">
        <v>0</v>
      </c>
      <c r="AO383" s="4">
        <v>0</v>
      </c>
      <c r="AP383" s="3" t="s">
        <v>58</v>
      </c>
      <c r="AQ383" s="3" t="s">
        <v>58</v>
      </c>
      <c r="AS383" s="6" t="str">
        <f>HYPERLINK("https://creighton-primo.hosted.exlibrisgroup.com/primo-explore/search?tab=default_tab&amp;search_scope=EVERYTHING&amp;vid=01CRU&amp;lang=en_US&amp;offset=0&amp;query=any,contains,991000458089702656","Catalog Record")</f>
        <v>Catalog Record</v>
      </c>
      <c r="AT383" s="6" t="str">
        <f>HYPERLINK("http://www.worldcat.org/oclc/56197774","WorldCat Record")</f>
        <v>WorldCat Record</v>
      </c>
      <c r="AU383" s="3" t="s">
        <v>4735</v>
      </c>
      <c r="AV383" s="3" t="s">
        <v>4736</v>
      </c>
      <c r="AW383" s="3" t="s">
        <v>4737</v>
      </c>
      <c r="AX383" s="3" t="s">
        <v>4737</v>
      </c>
      <c r="AY383" s="3" t="s">
        <v>4738</v>
      </c>
      <c r="AZ383" s="3" t="s">
        <v>73</v>
      </c>
      <c r="BB383" s="3" t="s">
        <v>4739</v>
      </c>
      <c r="BC383" s="3" t="s">
        <v>4740</v>
      </c>
      <c r="BD383" s="3" t="s">
        <v>4741</v>
      </c>
    </row>
    <row r="384" spans="1:56" ht="40.5" customHeight="1" x14ac:dyDescent="0.25">
      <c r="A384" s="7" t="s">
        <v>58</v>
      </c>
      <c r="B384" s="2" t="s">
        <v>4729</v>
      </c>
      <c r="C384" s="2" t="s">
        <v>4730</v>
      </c>
      <c r="D384" s="2" t="s">
        <v>4731</v>
      </c>
      <c r="E384" s="3" t="s">
        <v>628</v>
      </c>
      <c r="F384" s="3" t="s">
        <v>85</v>
      </c>
      <c r="G384" s="3" t="s">
        <v>59</v>
      </c>
      <c r="H384" s="3" t="s">
        <v>58</v>
      </c>
      <c r="I384" s="3" t="s">
        <v>58</v>
      </c>
      <c r="J384" s="3" t="s">
        <v>60</v>
      </c>
      <c r="L384" s="2" t="s">
        <v>4732</v>
      </c>
      <c r="M384" s="3" t="s">
        <v>1536</v>
      </c>
      <c r="N384" s="2" t="s">
        <v>198</v>
      </c>
      <c r="O384" s="3" t="s">
        <v>64</v>
      </c>
      <c r="P384" s="3" t="s">
        <v>230</v>
      </c>
      <c r="R384" s="3" t="s">
        <v>66</v>
      </c>
      <c r="S384" s="4">
        <v>2</v>
      </c>
      <c r="T384" s="4">
        <v>4</v>
      </c>
      <c r="U384" s="5" t="s">
        <v>4733</v>
      </c>
      <c r="V384" s="5" t="s">
        <v>4733</v>
      </c>
      <c r="W384" s="5" t="s">
        <v>4734</v>
      </c>
      <c r="X384" s="5" t="s">
        <v>4734</v>
      </c>
      <c r="Y384" s="4">
        <v>89</v>
      </c>
      <c r="Z384" s="4">
        <v>56</v>
      </c>
      <c r="AA384" s="4">
        <v>142</v>
      </c>
      <c r="AB384" s="4">
        <v>1</v>
      </c>
      <c r="AC384" s="4">
        <v>1</v>
      </c>
      <c r="AD384" s="4">
        <v>2</v>
      </c>
      <c r="AE384" s="4">
        <v>5</v>
      </c>
      <c r="AF384" s="4">
        <v>0</v>
      </c>
      <c r="AG384" s="4">
        <v>1</v>
      </c>
      <c r="AH384" s="4">
        <v>1</v>
      </c>
      <c r="AI384" s="4">
        <v>3</v>
      </c>
      <c r="AJ384" s="4">
        <v>2</v>
      </c>
      <c r="AK384" s="4">
        <v>3</v>
      </c>
      <c r="AL384" s="4">
        <v>0</v>
      </c>
      <c r="AM384" s="4">
        <v>0</v>
      </c>
      <c r="AN384" s="4">
        <v>0</v>
      </c>
      <c r="AO384" s="4">
        <v>0</v>
      </c>
      <c r="AP384" s="3" t="s">
        <v>58</v>
      </c>
      <c r="AQ384" s="3" t="s">
        <v>58</v>
      </c>
      <c r="AS384" s="6" t="str">
        <f>HYPERLINK("https://creighton-primo.hosted.exlibrisgroup.com/primo-explore/search?tab=default_tab&amp;search_scope=EVERYTHING&amp;vid=01CRU&amp;lang=en_US&amp;offset=0&amp;query=any,contains,991000458089702656","Catalog Record")</f>
        <v>Catalog Record</v>
      </c>
      <c r="AT384" s="6" t="str">
        <f>HYPERLINK("http://www.worldcat.org/oclc/56197774","WorldCat Record")</f>
        <v>WorldCat Record</v>
      </c>
      <c r="AU384" s="3" t="s">
        <v>4735</v>
      </c>
      <c r="AV384" s="3" t="s">
        <v>4736</v>
      </c>
      <c r="AW384" s="3" t="s">
        <v>4737</v>
      </c>
      <c r="AX384" s="3" t="s">
        <v>4737</v>
      </c>
      <c r="AY384" s="3" t="s">
        <v>4738</v>
      </c>
      <c r="AZ384" s="3" t="s">
        <v>73</v>
      </c>
      <c r="BB384" s="3" t="s">
        <v>4739</v>
      </c>
      <c r="BC384" s="3" t="s">
        <v>4742</v>
      </c>
      <c r="BD384" s="3" t="s">
        <v>4743</v>
      </c>
    </row>
    <row r="385" spans="1:56" ht="40.5" customHeight="1" x14ac:dyDescent="0.25">
      <c r="A385" s="7" t="s">
        <v>58</v>
      </c>
      <c r="B385" s="2" t="s">
        <v>4744</v>
      </c>
      <c r="C385" s="2" t="s">
        <v>4745</v>
      </c>
      <c r="D385" s="2" t="s">
        <v>4746</v>
      </c>
      <c r="F385" s="3" t="s">
        <v>58</v>
      </c>
      <c r="G385" s="3" t="s">
        <v>59</v>
      </c>
      <c r="H385" s="3" t="s">
        <v>58</v>
      </c>
      <c r="I385" s="3" t="s">
        <v>58</v>
      </c>
      <c r="J385" s="3" t="s">
        <v>60</v>
      </c>
      <c r="K385" s="2" t="s">
        <v>4747</v>
      </c>
      <c r="L385" s="2" t="s">
        <v>4748</v>
      </c>
      <c r="M385" s="3" t="s">
        <v>365</v>
      </c>
      <c r="O385" s="3" t="s">
        <v>64</v>
      </c>
      <c r="P385" s="3" t="s">
        <v>1785</v>
      </c>
      <c r="Q385" s="2" t="s">
        <v>1786</v>
      </c>
      <c r="R385" s="3" t="s">
        <v>66</v>
      </c>
      <c r="S385" s="4">
        <v>7</v>
      </c>
      <c r="T385" s="4">
        <v>7</v>
      </c>
      <c r="U385" s="5" t="s">
        <v>4749</v>
      </c>
      <c r="V385" s="5" t="s">
        <v>4749</v>
      </c>
      <c r="W385" s="5" t="s">
        <v>4750</v>
      </c>
      <c r="X385" s="5" t="s">
        <v>4750</v>
      </c>
      <c r="Y385" s="4">
        <v>92</v>
      </c>
      <c r="Z385" s="4">
        <v>73</v>
      </c>
      <c r="AA385" s="4">
        <v>79</v>
      </c>
      <c r="AB385" s="4">
        <v>1</v>
      </c>
      <c r="AC385" s="4">
        <v>1</v>
      </c>
      <c r="AD385" s="4">
        <v>2</v>
      </c>
      <c r="AE385" s="4">
        <v>2</v>
      </c>
      <c r="AF385" s="4">
        <v>0</v>
      </c>
      <c r="AG385" s="4">
        <v>0</v>
      </c>
      <c r="AH385" s="4">
        <v>2</v>
      </c>
      <c r="AI385" s="4">
        <v>2</v>
      </c>
      <c r="AJ385" s="4">
        <v>1</v>
      </c>
      <c r="AK385" s="4">
        <v>1</v>
      </c>
      <c r="AL385" s="4">
        <v>0</v>
      </c>
      <c r="AM385" s="4">
        <v>0</v>
      </c>
      <c r="AN385" s="4">
        <v>0</v>
      </c>
      <c r="AO385" s="4">
        <v>0</v>
      </c>
      <c r="AP385" s="3" t="s">
        <v>58</v>
      </c>
      <c r="AQ385" s="3" t="s">
        <v>58</v>
      </c>
      <c r="AS385" s="6" t="str">
        <f>HYPERLINK("https://creighton-primo.hosted.exlibrisgroup.com/primo-explore/search?tab=default_tab&amp;search_scope=EVERYTHING&amp;vid=01CRU&amp;lang=en_US&amp;offset=0&amp;query=any,contains,991001335899702656","Catalog Record")</f>
        <v>Catalog Record</v>
      </c>
      <c r="AT385" s="6" t="str">
        <f>HYPERLINK("http://www.worldcat.org/oclc/29797300","WorldCat Record")</f>
        <v>WorldCat Record</v>
      </c>
      <c r="AU385" s="3" t="s">
        <v>4751</v>
      </c>
      <c r="AV385" s="3" t="s">
        <v>4752</v>
      </c>
      <c r="AW385" s="3" t="s">
        <v>4753</v>
      </c>
      <c r="AX385" s="3" t="s">
        <v>4753</v>
      </c>
      <c r="AY385" s="3" t="s">
        <v>4754</v>
      </c>
      <c r="AZ385" s="3" t="s">
        <v>73</v>
      </c>
      <c r="BB385" s="3" t="s">
        <v>4755</v>
      </c>
      <c r="BC385" s="3" t="s">
        <v>4756</v>
      </c>
      <c r="BD385" s="3" t="s">
        <v>4757</v>
      </c>
    </row>
    <row r="386" spans="1:56" ht="40.5" customHeight="1" x14ac:dyDescent="0.25">
      <c r="A386" s="7" t="s">
        <v>58</v>
      </c>
      <c r="B386" s="2" t="s">
        <v>4758</v>
      </c>
      <c r="C386" s="2" t="s">
        <v>4759</v>
      </c>
      <c r="D386" s="2" t="s">
        <v>4760</v>
      </c>
      <c r="F386" s="3" t="s">
        <v>58</v>
      </c>
      <c r="G386" s="3" t="s">
        <v>59</v>
      </c>
      <c r="H386" s="3" t="s">
        <v>58</v>
      </c>
      <c r="I386" s="3" t="s">
        <v>58</v>
      </c>
      <c r="J386" s="3" t="s">
        <v>60</v>
      </c>
      <c r="K386" s="2" t="s">
        <v>4761</v>
      </c>
      <c r="L386" s="2" t="s">
        <v>4762</v>
      </c>
      <c r="M386" s="3" t="s">
        <v>229</v>
      </c>
      <c r="O386" s="3" t="s">
        <v>64</v>
      </c>
      <c r="P386" s="3" t="s">
        <v>135</v>
      </c>
      <c r="R386" s="3" t="s">
        <v>66</v>
      </c>
      <c r="S386" s="4">
        <v>4</v>
      </c>
      <c r="T386" s="4">
        <v>4</v>
      </c>
      <c r="U386" s="5" t="s">
        <v>4763</v>
      </c>
      <c r="V386" s="5" t="s">
        <v>4763</v>
      </c>
      <c r="W386" s="5" t="s">
        <v>4343</v>
      </c>
      <c r="X386" s="5" t="s">
        <v>4343</v>
      </c>
      <c r="Y386" s="4">
        <v>123</v>
      </c>
      <c r="Z386" s="4">
        <v>88</v>
      </c>
      <c r="AA386" s="4">
        <v>90</v>
      </c>
      <c r="AB386" s="4">
        <v>1</v>
      </c>
      <c r="AC386" s="4">
        <v>1</v>
      </c>
      <c r="AD386" s="4">
        <v>1</v>
      </c>
      <c r="AE386" s="4">
        <v>1</v>
      </c>
      <c r="AF386" s="4">
        <v>0</v>
      </c>
      <c r="AG386" s="4">
        <v>0</v>
      </c>
      <c r="AH386" s="4">
        <v>1</v>
      </c>
      <c r="AI386" s="4">
        <v>1</v>
      </c>
      <c r="AJ386" s="4">
        <v>0</v>
      </c>
      <c r="AK386" s="4">
        <v>0</v>
      </c>
      <c r="AL386" s="4">
        <v>0</v>
      </c>
      <c r="AM386" s="4">
        <v>0</v>
      </c>
      <c r="AN386" s="4">
        <v>0</v>
      </c>
      <c r="AO386" s="4">
        <v>0</v>
      </c>
      <c r="AP386" s="3" t="s">
        <v>58</v>
      </c>
      <c r="AQ386" s="3" t="s">
        <v>85</v>
      </c>
      <c r="AR386" s="6" t="str">
        <f>HYPERLINK("http://catalog.hathitrust.org/Record/000683993","HathiTrust Record")</f>
        <v>HathiTrust Record</v>
      </c>
      <c r="AS386" s="6" t="str">
        <f>HYPERLINK("https://creighton-primo.hosted.exlibrisgroup.com/primo-explore/search?tab=default_tab&amp;search_scope=EVERYTHING&amp;vid=01CRU&amp;lang=en_US&amp;offset=0&amp;query=any,contains,991000906279702656","Catalog Record")</f>
        <v>Catalog Record</v>
      </c>
      <c r="AT386" s="6" t="str">
        <f>HYPERLINK("http://www.worldcat.org/oclc/6420885","WorldCat Record")</f>
        <v>WorldCat Record</v>
      </c>
      <c r="AU386" s="3" t="s">
        <v>4764</v>
      </c>
      <c r="AV386" s="3" t="s">
        <v>4765</v>
      </c>
      <c r="AW386" s="3" t="s">
        <v>4766</v>
      </c>
      <c r="AX386" s="3" t="s">
        <v>4766</v>
      </c>
      <c r="AY386" s="3" t="s">
        <v>4767</v>
      </c>
      <c r="AZ386" s="3" t="s">
        <v>73</v>
      </c>
      <c r="BB386" s="3" t="s">
        <v>4768</v>
      </c>
      <c r="BC386" s="3" t="s">
        <v>4769</v>
      </c>
      <c r="BD386" s="3" t="s">
        <v>4770</v>
      </c>
    </row>
    <row r="387" spans="1:56" ht="40.5" customHeight="1" x14ac:dyDescent="0.25">
      <c r="A387" s="7" t="s">
        <v>58</v>
      </c>
      <c r="B387" s="2" t="s">
        <v>4771</v>
      </c>
      <c r="C387" s="2" t="s">
        <v>4772</v>
      </c>
      <c r="D387" s="2" t="s">
        <v>4773</v>
      </c>
      <c r="F387" s="3" t="s">
        <v>58</v>
      </c>
      <c r="G387" s="3" t="s">
        <v>59</v>
      </c>
      <c r="H387" s="3" t="s">
        <v>58</v>
      </c>
      <c r="I387" s="3" t="s">
        <v>58</v>
      </c>
      <c r="J387" s="3" t="s">
        <v>60</v>
      </c>
      <c r="K387" s="2" t="s">
        <v>4774</v>
      </c>
      <c r="L387" s="2" t="s">
        <v>4775</v>
      </c>
      <c r="M387" s="3" t="s">
        <v>116</v>
      </c>
      <c r="O387" s="3" t="s">
        <v>64</v>
      </c>
      <c r="P387" s="3" t="s">
        <v>396</v>
      </c>
      <c r="R387" s="3" t="s">
        <v>66</v>
      </c>
      <c r="S387" s="4">
        <v>11</v>
      </c>
      <c r="T387" s="4">
        <v>11</v>
      </c>
      <c r="U387" s="5" t="s">
        <v>4456</v>
      </c>
      <c r="V387" s="5" t="s">
        <v>4456</v>
      </c>
      <c r="W387" s="5" t="s">
        <v>2065</v>
      </c>
      <c r="X387" s="5" t="s">
        <v>2065</v>
      </c>
      <c r="Y387" s="4">
        <v>108</v>
      </c>
      <c r="Z387" s="4">
        <v>73</v>
      </c>
      <c r="AA387" s="4">
        <v>95</v>
      </c>
      <c r="AB387" s="4">
        <v>1</v>
      </c>
      <c r="AC387" s="4">
        <v>1</v>
      </c>
      <c r="AD387" s="4">
        <v>2</v>
      </c>
      <c r="AE387" s="4">
        <v>3</v>
      </c>
      <c r="AF387" s="4">
        <v>0</v>
      </c>
      <c r="AG387" s="4">
        <v>1</v>
      </c>
      <c r="AH387" s="4">
        <v>2</v>
      </c>
      <c r="AI387" s="4">
        <v>2</v>
      </c>
      <c r="AJ387" s="4">
        <v>1</v>
      </c>
      <c r="AK387" s="4">
        <v>2</v>
      </c>
      <c r="AL387" s="4">
        <v>0</v>
      </c>
      <c r="AM387" s="4">
        <v>0</v>
      </c>
      <c r="AN387" s="4">
        <v>0</v>
      </c>
      <c r="AO387" s="4">
        <v>0</v>
      </c>
      <c r="AP387" s="3" t="s">
        <v>58</v>
      </c>
      <c r="AQ387" s="3" t="s">
        <v>85</v>
      </c>
      <c r="AR387" s="6" t="str">
        <f>HYPERLINK("http://catalog.hathitrust.org/Record/002712295","HathiTrust Record")</f>
        <v>HathiTrust Record</v>
      </c>
      <c r="AS387" s="6" t="str">
        <f>HYPERLINK("https://creighton-primo.hosted.exlibrisgroup.com/primo-explore/search?tab=default_tab&amp;search_scope=EVERYTHING&amp;vid=01CRU&amp;lang=en_US&amp;offset=0&amp;query=any,contains,991001481899702656","Catalog Record")</f>
        <v>Catalog Record</v>
      </c>
      <c r="AT387" s="6" t="str">
        <f>HYPERLINK("http://www.worldcat.org/oclc/25094484","WorldCat Record")</f>
        <v>WorldCat Record</v>
      </c>
      <c r="AU387" s="3" t="s">
        <v>4776</v>
      </c>
      <c r="AV387" s="3" t="s">
        <v>4777</v>
      </c>
      <c r="AW387" s="3" t="s">
        <v>4778</v>
      </c>
      <c r="AX387" s="3" t="s">
        <v>4778</v>
      </c>
      <c r="AY387" s="3" t="s">
        <v>4779</v>
      </c>
      <c r="AZ387" s="3" t="s">
        <v>73</v>
      </c>
      <c r="BB387" s="3" t="s">
        <v>4780</v>
      </c>
      <c r="BC387" s="3" t="s">
        <v>4781</v>
      </c>
      <c r="BD387" s="3" t="s">
        <v>4782</v>
      </c>
    </row>
    <row r="388" spans="1:56" ht="40.5" customHeight="1" x14ac:dyDescent="0.25">
      <c r="A388" s="7" t="s">
        <v>58</v>
      </c>
      <c r="B388" s="2" t="s">
        <v>4783</v>
      </c>
      <c r="C388" s="2" t="s">
        <v>4784</v>
      </c>
      <c r="D388" s="2" t="s">
        <v>4785</v>
      </c>
      <c r="E388" s="3" t="s">
        <v>96</v>
      </c>
      <c r="F388" s="3" t="s">
        <v>85</v>
      </c>
      <c r="G388" s="3" t="s">
        <v>59</v>
      </c>
      <c r="H388" s="3" t="s">
        <v>58</v>
      </c>
      <c r="I388" s="3" t="s">
        <v>58</v>
      </c>
      <c r="J388" s="3" t="s">
        <v>60</v>
      </c>
      <c r="L388" s="2" t="s">
        <v>1690</v>
      </c>
      <c r="M388" s="3" t="s">
        <v>197</v>
      </c>
      <c r="O388" s="3" t="s">
        <v>64</v>
      </c>
      <c r="P388" s="3" t="s">
        <v>65</v>
      </c>
      <c r="Q388" s="2" t="s">
        <v>4786</v>
      </c>
      <c r="R388" s="3" t="s">
        <v>66</v>
      </c>
      <c r="S388" s="4">
        <v>3</v>
      </c>
      <c r="T388" s="4">
        <v>6</v>
      </c>
      <c r="U388" s="5" t="s">
        <v>4787</v>
      </c>
      <c r="V388" s="5" t="s">
        <v>4787</v>
      </c>
      <c r="W388" s="5" t="s">
        <v>1551</v>
      </c>
      <c r="X388" s="5" t="s">
        <v>1551</v>
      </c>
      <c r="Y388" s="4">
        <v>87</v>
      </c>
      <c r="Z388" s="4">
        <v>67</v>
      </c>
      <c r="AA388" s="4">
        <v>69</v>
      </c>
      <c r="AB388" s="4">
        <v>2</v>
      </c>
      <c r="AC388" s="4">
        <v>2</v>
      </c>
      <c r="AD388" s="4">
        <v>3</v>
      </c>
      <c r="AE388" s="4">
        <v>3</v>
      </c>
      <c r="AF388" s="4">
        <v>0</v>
      </c>
      <c r="AG388" s="4">
        <v>0</v>
      </c>
      <c r="AH388" s="4">
        <v>2</v>
      </c>
      <c r="AI388" s="4">
        <v>2</v>
      </c>
      <c r="AJ388" s="4">
        <v>1</v>
      </c>
      <c r="AK388" s="4">
        <v>1</v>
      </c>
      <c r="AL388" s="4">
        <v>1</v>
      </c>
      <c r="AM388" s="4">
        <v>1</v>
      </c>
      <c r="AN388" s="4">
        <v>0</v>
      </c>
      <c r="AO388" s="4">
        <v>0</v>
      </c>
      <c r="AP388" s="3" t="s">
        <v>58</v>
      </c>
      <c r="AQ388" s="3" t="s">
        <v>85</v>
      </c>
      <c r="AR388" s="6" t="str">
        <f>HYPERLINK("http://catalog.hathitrust.org/Record/000901004","HathiTrust Record")</f>
        <v>HathiTrust Record</v>
      </c>
      <c r="AS388" s="6" t="str">
        <f>HYPERLINK("https://creighton-primo.hosted.exlibrisgroup.com/primo-explore/search?tab=default_tab&amp;search_scope=EVERYTHING&amp;vid=01CRU&amp;lang=en_US&amp;offset=0&amp;query=any,contains,991001314109702656","Catalog Record")</f>
        <v>Catalog Record</v>
      </c>
      <c r="AT388" s="6" t="str">
        <f>HYPERLINK("http://www.worldcat.org/oclc/16354229","WorldCat Record")</f>
        <v>WorldCat Record</v>
      </c>
      <c r="AU388" s="3" t="s">
        <v>4788</v>
      </c>
      <c r="AV388" s="3" t="s">
        <v>4789</v>
      </c>
      <c r="AW388" s="3" t="s">
        <v>4790</v>
      </c>
      <c r="AX388" s="3" t="s">
        <v>4790</v>
      </c>
      <c r="AY388" s="3" t="s">
        <v>4791</v>
      </c>
      <c r="AZ388" s="3" t="s">
        <v>73</v>
      </c>
      <c r="BB388" s="3" t="s">
        <v>4792</v>
      </c>
      <c r="BC388" s="3" t="s">
        <v>4793</v>
      </c>
      <c r="BD388" s="3" t="s">
        <v>4794</v>
      </c>
    </row>
    <row r="389" spans="1:56" ht="40.5" customHeight="1" x14ac:dyDescent="0.25">
      <c r="A389" s="7" t="s">
        <v>58</v>
      </c>
      <c r="B389" s="2" t="s">
        <v>4783</v>
      </c>
      <c r="C389" s="2" t="s">
        <v>4784</v>
      </c>
      <c r="D389" s="2" t="s">
        <v>4785</v>
      </c>
      <c r="E389" s="3" t="s">
        <v>258</v>
      </c>
      <c r="F389" s="3" t="s">
        <v>85</v>
      </c>
      <c r="G389" s="3" t="s">
        <v>59</v>
      </c>
      <c r="H389" s="3" t="s">
        <v>58</v>
      </c>
      <c r="I389" s="3" t="s">
        <v>58</v>
      </c>
      <c r="J389" s="3" t="s">
        <v>60</v>
      </c>
      <c r="L389" s="2" t="s">
        <v>1690</v>
      </c>
      <c r="M389" s="3" t="s">
        <v>197</v>
      </c>
      <c r="O389" s="3" t="s">
        <v>64</v>
      </c>
      <c r="P389" s="3" t="s">
        <v>65</v>
      </c>
      <c r="Q389" s="2" t="s">
        <v>4786</v>
      </c>
      <c r="R389" s="3" t="s">
        <v>66</v>
      </c>
      <c r="S389" s="4">
        <v>3</v>
      </c>
      <c r="T389" s="4">
        <v>6</v>
      </c>
      <c r="U389" s="5" t="s">
        <v>4787</v>
      </c>
      <c r="V389" s="5" t="s">
        <v>4787</v>
      </c>
      <c r="W389" s="5" t="s">
        <v>1551</v>
      </c>
      <c r="X389" s="5" t="s">
        <v>1551</v>
      </c>
      <c r="Y389" s="4">
        <v>87</v>
      </c>
      <c r="Z389" s="4">
        <v>67</v>
      </c>
      <c r="AA389" s="4">
        <v>69</v>
      </c>
      <c r="AB389" s="4">
        <v>2</v>
      </c>
      <c r="AC389" s="4">
        <v>2</v>
      </c>
      <c r="AD389" s="4">
        <v>3</v>
      </c>
      <c r="AE389" s="4">
        <v>3</v>
      </c>
      <c r="AF389" s="4">
        <v>0</v>
      </c>
      <c r="AG389" s="4">
        <v>0</v>
      </c>
      <c r="AH389" s="4">
        <v>2</v>
      </c>
      <c r="AI389" s="4">
        <v>2</v>
      </c>
      <c r="AJ389" s="4">
        <v>1</v>
      </c>
      <c r="AK389" s="4">
        <v>1</v>
      </c>
      <c r="AL389" s="4">
        <v>1</v>
      </c>
      <c r="AM389" s="4">
        <v>1</v>
      </c>
      <c r="AN389" s="4">
        <v>0</v>
      </c>
      <c r="AO389" s="4">
        <v>0</v>
      </c>
      <c r="AP389" s="3" t="s">
        <v>58</v>
      </c>
      <c r="AQ389" s="3" t="s">
        <v>85</v>
      </c>
      <c r="AR389" s="6" t="str">
        <f>HYPERLINK("http://catalog.hathitrust.org/Record/000901004","HathiTrust Record")</f>
        <v>HathiTrust Record</v>
      </c>
      <c r="AS389" s="6" t="str">
        <f>HYPERLINK("https://creighton-primo.hosted.exlibrisgroup.com/primo-explore/search?tab=default_tab&amp;search_scope=EVERYTHING&amp;vid=01CRU&amp;lang=en_US&amp;offset=0&amp;query=any,contains,991001314109702656","Catalog Record")</f>
        <v>Catalog Record</v>
      </c>
      <c r="AT389" s="6" t="str">
        <f>HYPERLINK("http://www.worldcat.org/oclc/16354229","WorldCat Record")</f>
        <v>WorldCat Record</v>
      </c>
      <c r="AU389" s="3" t="s">
        <v>4788</v>
      </c>
      <c r="AV389" s="3" t="s">
        <v>4789</v>
      </c>
      <c r="AW389" s="3" t="s">
        <v>4790</v>
      </c>
      <c r="AX389" s="3" t="s">
        <v>4790</v>
      </c>
      <c r="AY389" s="3" t="s">
        <v>4791</v>
      </c>
      <c r="AZ389" s="3" t="s">
        <v>73</v>
      </c>
      <c r="BB389" s="3" t="s">
        <v>4792</v>
      </c>
      <c r="BC389" s="3" t="s">
        <v>4795</v>
      </c>
      <c r="BD389" s="3" t="s">
        <v>4796</v>
      </c>
    </row>
    <row r="390" spans="1:56" ht="40.5" customHeight="1" x14ac:dyDescent="0.25">
      <c r="A390" s="7" t="s">
        <v>58</v>
      </c>
      <c r="B390" s="2" t="s">
        <v>4797</v>
      </c>
      <c r="C390" s="2" t="s">
        <v>4798</v>
      </c>
      <c r="D390" s="2" t="s">
        <v>4799</v>
      </c>
      <c r="F390" s="3" t="s">
        <v>58</v>
      </c>
      <c r="G390" s="3" t="s">
        <v>59</v>
      </c>
      <c r="H390" s="3" t="s">
        <v>58</v>
      </c>
      <c r="I390" s="3" t="s">
        <v>58</v>
      </c>
      <c r="J390" s="3" t="s">
        <v>60</v>
      </c>
      <c r="L390" s="2" t="s">
        <v>3432</v>
      </c>
      <c r="M390" s="3" t="s">
        <v>742</v>
      </c>
      <c r="O390" s="3" t="s">
        <v>64</v>
      </c>
      <c r="P390" s="3" t="s">
        <v>117</v>
      </c>
      <c r="R390" s="3" t="s">
        <v>66</v>
      </c>
      <c r="S390" s="4">
        <v>3</v>
      </c>
      <c r="T390" s="4">
        <v>3</v>
      </c>
      <c r="U390" s="5" t="s">
        <v>4800</v>
      </c>
      <c r="V390" s="5" t="s">
        <v>4800</v>
      </c>
      <c r="W390" s="5" t="s">
        <v>4801</v>
      </c>
      <c r="X390" s="5" t="s">
        <v>4801</v>
      </c>
      <c r="Y390" s="4">
        <v>114</v>
      </c>
      <c r="Z390" s="4">
        <v>89</v>
      </c>
      <c r="AA390" s="4">
        <v>112</v>
      </c>
      <c r="AB390" s="4">
        <v>1</v>
      </c>
      <c r="AC390" s="4">
        <v>1</v>
      </c>
      <c r="AD390" s="4">
        <v>3</v>
      </c>
      <c r="AE390" s="4">
        <v>3</v>
      </c>
      <c r="AF390" s="4">
        <v>0</v>
      </c>
      <c r="AG390" s="4">
        <v>0</v>
      </c>
      <c r="AH390" s="4">
        <v>2</v>
      </c>
      <c r="AI390" s="4">
        <v>2</v>
      </c>
      <c r="AJ390" s="4">
        <v>1</v>
      </c>
      <c r="AK390" s="4">
        <v>1</v>
      </c>
      <c r="AL390" s="4">
        <v>0</v>
      </c>
      <c r="AM390" s="4">
        <v>0</v>
      </c>
      <c r="AN390" s="4">
        <v>0</v>
      </c>
      <c r="AO390" s="4">
        <v>0</v>
      </c>
      <c r="AP390" s="3" t="s">
        <v>58</v>
      </c>
      <c r="AQ390" s="3" t="s">
        <v>85</v>
      </c>
      <c r="AR390" s="6" t="str">
        <f>HYPERLINK("http://catalog.hathitrust.org/Record/002706931","HathiTrust Record")</f>
        <v>HathiTrust Record</v>
      </c>
      <c r="AS390" s="6" t="str">
        <f>HYPERLINK("https://creighton-primo.hosted.exlibrisgroup.com/primo-explore/search?tab=default_tab&amp;search_scope=EVERYTHING&amp;vid=01CRU&amp;lang=en_US&amp;offset=0&amp;query=any,contains,991000669429702656","Catalog Record")</f>
        <v>Catalog Record</v>
      </c>
      <c r="AT390" s="6" t="str">
        <f>HYPERLINK("http://www.worldcat.org/oclc/28182453","WorldCat Record")</f>
        <v>WorldCat Record</v>
      </c>
      <c r="AU390" s="3" t="s">
        <v>4802</v>
      </c>
      <c r="AV390" s="3" t="s">
        <v>4803</v>
      </c>
      <c r="AW390" s="3" t="s">
        <v>4804</v>
      </c>
      <c r="AX390" s="3" t="s">
        <v>4804</v>
      </c>
      <c r="AY390" s="3" t="s">
        <v>4805</v>
      </c>
      <c r="AZ390" s="3" t="s">
        <v>73</v>
      </c>
      <c r="BB390" s="3" t="s">
        <v>4806</v>
      </c>
      <c r="BC390" s="3" t="s">
        <v>4807</v>
      </c>
      <c r="BD390" s="3" t="s">
        <v>4808</v>
      </c>
    </row>
    <row r="391" spans="1:56" ht="40.5" customHeight="1" x14ac:dyDescent="0.25">
      <c r="A391" s="7" t="s">
        <v>58</v>
      </c>
      <c r="B391" s="2" t="s">
        <v>4809</v>
      </c>
      <c r="C391" s="2" t="s">
        <v>4810</v>
      </c>
      <c r="D391" s="2" t="s">
        <v>4811</v>
      </c>
      <c r="F391" s="3" t="s">
        <v>58</v>
      </c>
      <c r="G391" s="3" t="s">
        <v>59</v>
      </c>
      <c r="H391" s="3" t="s">
        <v>58</v>
      </c>
      <c r="I391" s="3" t="s">
        <v>58</v>
      </c>
      <c r="J391" s="3" t="s">
        <v>59</v>
      </c>
      <c r="L391" s="2" t="s">
        <v>4812</v>
      </c>
      <c r="M391" s="3" t="s">
        <v>4123</v>
      </c>
      <c r="N391" s="2" t="s">
        <v>198</v>
      </c>
      <c r="O391" s="3" t="s">
        <v>64</v>
      </c>
      <c r="P391" s="3" t="s">
        <v>135</v>
      </c>
      <c r="Q391" s="2" t="s">
        <v>2582</v>
      </c>
      <c r="R391" s="3" t="s">
        <v>66</v>
      </c>
      <c r="S391" s="4">
        <v>1</v>
      </c>
      <c r="T391" s="4">
        <v>1</v>
      </c>
      <c r="U391" s="5" t="s">
        <v>4813</v>
      </c>
      <c r="V391" s="5" t="s">
        <v>4813</v>
      </c>
      <c r="W391" s="5" t="s">
        <v>4814</v>
      </c>
      <c r="X391" s="5" t="s">
        <v>4814</v>
      </c>
      <c r="Y391" s="4">
        <v>230</v>
      </c>
      <c r="Z391" s="4">
        <v>141</v>
      </c>
      <c r="AA391" s="4">
        <v>952</v>
      </c>
      <c r="AB391" s="4">
        <v>1</v>
      </c>
      <c r="AC391" s="4">
        <v>14</v>
      </c>
      <c r="AD391" s="4">
        <v>4</v>
      </c>
      <c r="AE391" s="4">
        <v>34</v>
      </c>
      <c r="AF391" s="4">
        <v>0</v>
      </c>
      <c r="AG391" s="4">
        <v>8</v>
      </c>
      <c r="AH391" s="4">
        <v>2</v>
      </c>
      <c r="AI391" s="4">
        <v>7</v>
      </c>
      <c r="AJ391" s="4">
        <v>3</v>
      </c>
      <c r="AK391" s="4">
        <v>12</v>
      </c>
      <c r="AL391" s="4">
        <v>0</v>
      </c>
      <c r="AM391" s="4">
        <v>12</v>
      </c>
      <c r="AN391" s="4">
        <v>0</v>
      </c>
      <c r="AO391" s="4">
        <v>1</v>
      </c>
      <c r="AP391" s="3" t="s">
        <v>58</v>
      </c>
      <c r="AQ391" s="3" t="s">
        <v>58</v>
      </c>
      <c r="AS391" s="6" t="str">
        <f>HYPERLINK("https://creighton-primo.hosted.exlibrisgroup.com/primo-explore/search?tab=default_tab&amp;search_scope=EVERYTHING&amp;vid=01CRU&amp;lang=en_US&amp;offset=0&amp;query=any,contains,991000306889702656","Catalog Record")</f>
        <v>Catalog Record</v>
      </c>
      <c r="AT391" s="6" t="str">
        <f>HYPERLINK("http://www.worldcat.org/oclc/44869022","WorldCat Record")</f>
        <v>WorldCat Record</v>
      </c>
      <c r="AU391" s="3" t="s">
        <v>4815</v>
      </c>
      <c r="AV391" s="3" t="s">
        <v>4816</v>
      </c>
      <c r="AW391" s="3" t="s">
        <v>4817</v>
      </c>
      <c r="AX391" s="3" t="s">
        <v>4817</v>
      </c>
      <c r="AY391" s="3" t="s">
        <v>4818</v>
      </c>
      <c r="AZ391" s="3" t="s">
        <v>73</v>
      </c>
      <c r="BB391" s="3" t="s">
        <v>4819</v>
      </c>
      <c r="BC391" s="3" t="s">
        <v>4820</v>
      </c>
      <c r="BD391" s="3" t="s">
        <v>4821</v>
      </c>
    </row>
    <row r="392" spans="1:56" ht="40.5" customHeight="1" x14ac:dyDescent="0.25">
      <c r="A392" s="7" t="s">
        <v>58</v>
      </c>
      <c r="B392" s="2" t="s">
        <v>4822</v>
      </c>
      <c r="C392" s="2" t="s">
        <v>4823</v>
      </c>
      <c r="D392" s="2" t="s">
        <v>4824</v>
      </c>
      <c r="F392" s="3" t="s">
        <v>58</v>
      </c>
      <c r="G392" s="3" t="s">
        <v>59</v>
      </c>
      <c r="H392" s="3" t="s">
        <v>58</v>
      </c>
      <c r="I392" s="3" t="s">
        <v>58</v>
      </c>
      <c r="J392" s="3" t="s">
        <v>60</v>
      </c>
      <c r="L392" s="2" t="s">
        <v>4825</v>
      </c>
      <c r="M392" s="3" t="s">
        <v>614</v>
      </c>
      <c r="O392" s="3" t="s">
        <v>64</v>
      </c>
      <c r="P392" s="3" t="s">
        <v>135</v>
      </c>
      <c r="R392" s="3" t="s">
        <v>66</v>
      </c>
      <c r="S392" s="4">
        <v>7</v>
      </c>
      <c r="T392" s="4">
        <v>7</v>
      </c>
      <c r="U392" s="5" t="s">
        <v>4826</v>
      </c>
      <c r="V392" s="5" t="s">
        <v>4826</v>
      </c>
      <c r="W392" s="5" t="s">
        <v>4827</v>
      </c>
      <c r="X392" s="5" t="s">
        <v>4827</v>
      </c>
      <c r="Y392" s="4">
        <v>50</v>
      </c>
      <c r="Z392" s="4">
        <v>43</v>
      </c>
      <c r="AA392" s="4">
        <v>114</v>
      </c>
      <c r="AB392" s="4">
        <v>1</v>
      </c>
      <c r="AC392" s="4">
        <v>2</v>
      </c>
      <c r="AD392" s="4">
        <v>0</v>
      </c>
      <c r="AE392" s="4">
        <v>2</v>
      </c>
      <c r="AF392" s="4">
        <v>0</v>
      </c>
      <c r="AG392" s="4">
        <v>0</v>
      </c>
      <c r="AH392" s="4">
        <v>0</v>
      </c>
      <c r="AI392" s="4">
        <v>1</v>
      </c>
      <c r="AJ392" s="4">
        <v>0</v>
      </c>
      <c r="AK392" s="4">
        <v>1</v>
      </c>
      <c r="AL392" s="4">
        <v>0</v>
      </c>
      <c r="AM392" s="4">
        <v>1</v>
      </c>
      <c r="AN392" s="4">
        <v>0</v>
      </c>
      <c r="AO392" s="4">
        <v>0</v>
      </c>
      <c r="AP392" s="3" t="s">
        <v>58</v>
      </c>
      <c r="AQ392" s="3" t="s">
        <v>58</v>
      </c>
      <c r="AS392" s="6" t="str">
        <f>HYPERLINK("https://creighton-primo.hosted.exlibrisgroup.com/primo-explore/search?tab=default_tab&amp;search_scope=EVERYTHING&amp;vid=01CRU&amp;lang=en_US&amp;offset=0&amp;query=any,contains,991001252999702656","Catalog Record")</f>
        <v>Catalog Record</v>
      </c>
      <c r="AT392" s="6" t="str">
        <f>HYPERLINK("http://www.worldcat.org/oclc/19352792","WorldCat Record")</f>
        <v>WorldCat Record</v>
      </c>
      <c r="AU392" s="3" t="s">
        <v>4828</v>
      </c>
      <c r="AV392" s="3" t="s">
        <v>4829</v>
      </c>
      <c r="AW392" s="3" t="s">
        <v>4830</v>
      </c>
      <c r="AX392" s="3" t="s">
        <v>4830</v>
      </c>
      <c r="AY392" s="3" t="s">
        <v>4831</v>
      </c>
      <c r="AZ392" s="3" t="s">
        <v>73</v>
      </c>
      <c r="BB392" s="3" t="s">
        <v>4832</v>
      </c>
      <c r="BC392" s="3" t="s">
        <v>4833</v>
      </c>
      <c r="BD392" s="3" t="s">
        <v>4834</v>
      </c>
    </row>
    <row r="393" spans="1:56" ht="40.5" customHeight="1" x14ac:dyDescent="0.25">
      <c r="A393" s="7" t="s">
        <v>58</v>
      </c>
      <c r="B393" s="2" t="s">
        <v>4835</v>
      </c>
      <c r="C393" s="2" t="s">
        <v>4836</v>
      </c>
      <c r="D393" s="2" t="s">
        <v>4837</v>
      </c>
      <c r="F393" s="3" t="s">
        <v>58</v>
      </c>
      <c r="G393" s="3" t="s">
        <v>59</v>
      </c>
      <c r="H393" s="3" t="s">
        <v>58</v>
      </c>
      <c r="I393" s="3" t="s">
        <v>58</v>
      </c>
      <c r="J393" s="3" t="s">
        <v>60</v>
      </c>
      <c r="L393" s="2" t="s">
        <v>3547</v>
      </c>
      <c r="M393" s="3" t="s">
        <v>2552</v>
      </c>
      <c r="O393" s="3" t="s">
        <v>64</v>
      </c>
      <c r="P393" s="3" t="s">
        <v>65</v>
      </c>
      <c r="R393" s="3" t="s">
        <v>66</v>
      </c>
      <c r="S393" s="4">
        <v>6</v>
      </c>
      <c r="T393" s="4">
        <v>6</v>
      </c>
      <c r="U393" s="5" t="s">
        <v>4838</v>
      </c>
      <c r="V393" s="5" t="s">
        <v>4838</v>
      </c>
      <c r="W393" s="5" t="s">
        <v>4839</v>
      </c>
      <c r="X393" s="5" t="s">
        <v>4839</v>
      </c>
      <c r="Y393" s="4">
        <v>108</v>
      </c>
      <c r="Z393" s="4">
        <v>84</v>
      </c>
      <c r="AA393" s="4">
        <v>132</v>
      </c>
      <c r="AB393" s="4">
        <v>1</v>
      </c>
      <c r="AC393" s="4">
        <v>1</v>
      </c>
      <c r="AD393" s="4">
        <v>3</v>
      </c>
      <c r="AE393" s="4">
        <v>6</v>
      </c>
      <c r="AF393" s="4">
        <v>0</v>
      </c>
      <c r="AG393" s="4">
        <v>2</v>
      </c>
      <c r="AH393" s="4">
        <v>2</v>
      </c>
      <c r="AI393" s="4">
        <v>4</v>
      </c>
      <c r="AJ393" s="4">
        <v>1</v>
      </c>
      <c r="AK393" s="4">
        <v>1</v>
      </c>
      <c r="AL393" s="4">
        <v>0</v>
      </c>
      <c r="AM393" s="4">
        <v>0</v>
      </c>
      <c r="AN393" s="4">
        <v>0</v>
      </c>
      <c r="AO393" s="4">
        <v>0</v>
      </c>
      <c r="AP393" s="3" t="s">
        <v>58</v>
      </c>
      <c r="AQ393" s="3" t="s">
        <v>85</v>
      </c>
      <c r="AR393" s="6" t="str">
        <f>HYPERLINK("http://catalog.hathitrust.org/Record/000824849","HathiTrust Record")</f>
        <v>HathiTrust Record</v>
      </c>
      <c r="AS393" s="6" t="str">
        <f>HYPERLINK("https://creighton-primo.hosted.exlibrisgroup.com/primo-explore/search?tab=default_tab&amp;search_scope=EVERYTHING&amp;vid=01CRU&amp;lang=en_US&amp;offset=0&amp;query=any,contains,991001268589702656","Catalog Record")</f>
        <v>Catalog Record</v>
      </c>
      <c r="AT393" s="6" t="str">
        <f>HYPERLINK("http://www.worldcat.org/oclc/14132148","WorldCat Record")</f>
        <v>WorldCat Record</v>
      </c>
      <c r="AU393" s="3" t="s">
        <v>4840</v>
      </c>
      <c r="AV393" s="3" t="s">
        <v>4841</v>
      </c>
      <c r="AW393" s="3" t="s">
        <v>4842</v>
      </c>
      <c r="AX393" s="3" t="s">
        <v>4842</v>
      </c>
      <c r="AY393" s="3" t="s">
        <v>4843</v>
      </c>
      <c r="AZ393" s="3" t="s">
        <v>73</v>
      </c>
      <c r="BB393" s="3" t="s">
        <v>4844</v>
      </c>
      <c r="BC393" s="3" t="s">
        <v>4845</v>
      </c>
      <c r="BD393" s="3" t="s">
        <v>4846</v>
      </c>
    </row>
    <row r="394" spans="1:56" ht="40.5" customHeight="1" x14ac:dyDescent="0.25">
      <c r="A394" s="7" t="s">
        <v>58</v>
      </c>
      <c r="B394" s="2" t="s">
        <v>4847</v>
      </c>
      <c r="C394" s="2" t="s">
        <v>4848</v>
      </c>
      <c r="D394" s="2" t="s">
        <v>4849</v>
      </c>
      <c r="F394" s="3" t="s">
        <v>58</v>
      </c>
      <c r="G394" s="3" t="s">
        <v>59</v>
      </c>
      <c r="H394" s="3" t="s">
        <v>58</v>
      </c>
      <c r="I394" s="3" t="s">
        <v>58</v>
      </c>
      <c r="J394" s="3" t="s">
        <v>60</v>
      </c>
      <c r="L394" s="2" t="s">
        <v>4850</v>
      </c>
      <c r="M394" s="3" t="s">
        <v>2764</v>
      </c>
      <c r="O394" s="3" t="s">
        <v>64</v>
      </c>
      <c r="P394" s="3" t="s">
        <v>117</v>
      </c>
      <c r="R394" s="3" t="s">
        <v>66</v>
      </c>
      <c r="S394" s="4">
        <v>0</v>
      </c>
      <c r="T394" s="4">
        <v>0</v>
      </c>
      <c r="U394" s="5" t="s">
        <v>3166</v>
      </c>
      <c r="V394" s="5" t="s">
        <v>3166</v>
      </c>
      <c r="W394" s="5" t="s">
        <v>4851</v>
      </c>
      <c r="X394" s="5" t="s">
        <v>4851</v>
      </c>
      <c r="Y394" s="4">
        <v>50</v>
      </c>
      <c r="Z394" s="4">
        <v>34</v>
      </c>
      <c r="AA394" s="4">
        <v>34</v>
      </c>
      <c r="AB394" s="4">
        <v>1</v>
      </c>
      <c r="AC394" s="4">
        <v>1</v>
      </c>
      <c r="AD394" s="4">
        <v>1</v>
      </c>
      <c r="AE394" s="4">
        <v>1</v>
      </c>
      <c r="AF394" s="4">
        <v>0</v>
      </c>
      <c r="AG394" s="4">
        <v>0</v>
      </c>
      <c r="AH394" s="4">
        <v>1</v>
      </c>
      <c r="AI394" s="4">
        <v>1</v>
      </c>
      <c r="AJ394" s="4">
        <v>1</v>
      </c>
      <c r="AK394" s="4">
        <v>1</v>
      </c>
      <c r="AL394" s="4">
        <v>0</v>
      </c>
      <c r="AM394" s="4">
        <v>0</v>
      </c>
      <c r="AN394" s="4">
        <v>0</v>
      </c>
      <c r="AO394" s="4">
        <v>0</v>
      </c>
      <c r="AP394" s="3" t="s">
        <v>58</v>
      </c>
      <c r="AQ394" s="3" t="s">
        <v>58</v>
      </c>
      <c r="AS394" s="6" t="str">
        <f>HYPERLINK("https://creighton-primo.hosted.exlibrisgroup.com/primo-explore/search?tab=default_tab&amp;search_scope=EVERYTHING&amp;vid=01CRU&amp;lang=en_US&amp;offset=0&amp;query=any,contains,991000592799702656","Catalog Record")</f>
        <v>Catalog Record</v>
      </c>
      <c r="AT394" s="6" t="str">
        <f>HYPERLINK("http://www.worldcat.org/oclc/59011561","WorldCat Record")</f>
        <v>WorldCat Record</v>
      </c>
      <c r="AU394" s="3" t="s">
        <v>4852</v>
      </c>
      <c r="AV394" s="3" t="s">
        <v>4853</v>
      </c>
      <c r="AW394" s="3" t="s">
        <v>4854</v>
      </c>
      <c r="AX394" s="3" t="s">
        <v>4854</v>
      </c>
      <c r="AY394" s="3" t="s">
        <v>4855</v>
      </c>
      <c r="AZ394" s="3" t="s">
        <v>73</v>
      </c>
      <c r="BB394" s="3" t="s">
        <v>4856</v>
      </c>
      <c r="BC394" s="3" t="s">
        <v>4857</v>
      </c>
      <c r="BD394" s="3" t="s">
        <v>4858</v>
      </c>
    </row>
    <row r="395" spans="1:56" ht="40.5" customHeight="1" x14ac:dyDescent="0.25">
      <c r="A395" s="7" t="s">
        <v>58</v>
      </c>
      <c r="B395" s="2" t="s">
        <v>4859</v>
      </c>
      <c r="C395" s="2" t="s">
        <v>4860</v>
      </c>
      <c r="D395" s="2" t="s">
        <v>4861</v>
      </c>
      <c r="F395" s="3" t="s">
        <v>58</v>
      </c>
      <c r="G395" s="3" t="s">
        <v>59</v>
      </c>
      <c r="H395" s="3" t="s">
        <v>58</v>
      </c>
      <c r="I395" s="3" t="s">
        <v>58</v>
      </c>
      <c r="J395" s="3" t="s">
        <v>60</v>
      </c>
      <c r="L395" s="2" t="s">
        <v>4527</v>
      </c>
      <c r="M395" s="3" t="s">
        <v>229</v>
      </c>
      <c r="O395" s="3" t="s">
        <v>64</v>
      </c>
      <c r="P395" s="3" t="s">
        <v>117</v>
      </c>
      <c r="R395" s="3" t="s">
        <v>66</v>
      </c>
      <c r="S395" s="4">
        <v>4</v>
      </c>
      <c r="T395" s="4">
        <v>4</v>
      </c>
      <c r="U395" s="5" t="s">
        <v>4862</v>
      </c>
      <c r="V395" s="5" t="s">
        <v>4862</v>
      </c>
      <c r="W395" s="5" t="s">
        <v>4343</v>
      </c>
      <c r="X395" s="5" t="s">
        <v>4343</v>
      </c>
      <c r="Y395" s="4">
        <v>179</v>
      </c>
      <c r="Z395" s="4">
        <v>128</v>
      </c>
      <c r="AA395" s="4">
        <v>130</v>
      </c>
      <c r="AB395" s="4">
        <v>2</v>
      </c>
      <c r="AC395" s="4">
        <v>2</v>
      </c>
      <c r="AD395" s="4">
        <v>4</v>
      </c>
      <c r="AE395" s="4">
        <v>4</v>
      </c>
      <c r="AF395" s="4">
        <v>1</v>
      </c>
      <c r="AG395" s="4">
        <v>1</v>
      </c>
      <c r="AH395" s="4">
        <v>2</v>
      </c>
      <c r="AI395" s="4">
        <v>2</v>
      </c>
      <c r="AJ395" s="4">
        <v>1</v>
      </c>
      <c r="AK395" s="4">
        <v>1</v>
      </c>
      <c r="AL395" s="4">
        <v>1</v>
      </c>
      <c r="AM395" s="4">
        <v>1</v>
      </c>
      <c r="AN395" s="4">
        <v>0</v>
      </c>
      <c r="AO395" s="4">
        <v>0</v>
      </c>
      <c r="AP395" s="3" t="s">
        <v>58</v>
      </c>
      <c r="AQ395" s="3" t="s">
        <v>85</v>
      </c>
      <c r="AR395" s="6" t="str">
        <f>HYPERLINK("http://catalog.hathitrust.org/Record/000039497","HathiTrust Record")</f>
        <v>HathiTrust Record</v>
      </c>
      <c r="AS395" s="6" t="str">
        <f>HYPERLINK("https://creighton-primo.hosted.exlibrisgroup.com/primo-explore/search?tab=default_tab&amp;search_scope=EVERYTHING&amp;vid=01CRU&amp;lang=en_US&amp;offset=0&amp;query=any,contains,991000906229702656","Catalog Record")</f>
        <v>Catalog Record</v>
      </c>
      <c r="AT395" s="6" t="str">
        <f>HYPERLINK("http://www.worldcat.org/oclc/5676443","WorldCat Record")</f>
        <v>WorldCat Record</v>
      </c>
      <c r="AU395" s="3" t="s">
        <v>4863</v>
      </c>
      <c r="AV395" s="3" t="s">
        <v>4864</v>
      </c>
      <c r="AW395" s="3" t="s">
        <v>4865</v>
      </c>
      <c r="AX395" s="3" t="s">
        <v>4865</v>
      </c>
      <c r="AY395" s="3" t="s">
        <v>4866</v>
      </c>
      <c r="AZ395" s="3" t="s">
        <v>73</v>
      </c>
      <c r="BB395" s="3" t="s">
        <v>4867</v>
      </c>
      <c r="BC395" s="3" t="s">
        <v>4868</v>
      </c>
      <c r="BD395" s="3" t="s">
        <v>4869</v>
      </c>
    </row>
    <row r="396" spans="1:56" ht="40.5" customHeight="1" x14ac:dyDescent="0.25">
      <c r="A396" s="7" t="s">
        <v>58</v>
      </c>
      <c r="B396" s="2" t="s">
        <v>4870</v>
      </c>
      <c r="C396" s="2" t="s">
        <v>4871</v>
      </c>
      <c r="D396" s="2" t="s">
        <v>4872</v>
      </c>
      <c r="F396" s="3" t="s">
        <v>58</v>
      </c>
      <c r="G396" s="3" t="s">
        <v>59</v>
      </c>
      <c r="H396" s="3" t="s">
        <v>58</v>
      </c>
      <c r="I396" s="3" t="s">
        <v>58</v>
      </c>
      <c r="J396" s="3" t="s">
        <v>60</v>
      </c>
      <c r="L396" s="2" t="s">
        <v>4873</v>
      </c>
      <c r="M396" s="3" t="s">
        <v>467</v>
      </c>
      <c r="O396" s="3" t="s">
        <v>64</v>
      </c>
      <c r="P396" s="3" t="s">
        <v>65</v>
      </c>
      <c r="R396" s="3" t="s">
        <v>66</v>
      </c>
      <c r="S396" s="4">
        <v>8</v>
      </c>
      <c r="T396" s="4">
        <v>8</v>
      </c>
      <c r="U396" s="5" t="s">
        <v>4479</v>
      </c>
      <c r="V396" s="5" t="s">
        <v>4479</v>
      </c>
      <c r="W396" s="5" t="s">
        <v>4343</v>
      </c>
      <c r="X396" s="5" t="s">
        <v>4343</v>
      </c>
      <c r="Y396" s="4">
        <v>92</v>
      </c>
      <c r="Z396" s="4">
        <v>70</v>
      </c>
      <c r="AA396" s="4">
        <v>74</v>
      </c>
      <c r="AB396" s="4">
        <v>1</v>
      </c>
      <c r="AC396" s="4">
        <v>1</v>
      </c>
      <c r="AD396" s="4">
        <v>0</v>
      </c>
      <c r="AE396" s="4">
        <v>0</v>
      </c>
      <c r="AF396" s="4">
        <v>0</v>
      </c>
      <c r="AG396" s="4">
        <v>0</v>
      </c>
      <c r="AH396" s="4">
        <v>0</v>
      </c>
      <c r="AI396" s="4">
        <v>0</v>
      </c>
      <c r="AJ396" s="4">
        <v>0</v>
      </c>
      <c r="AK396" s="4">
        <v>0</v>
      </c>
      <c r="AL396" s="4">
        <v>0</v>
      </c>
      <c r="AM396" s="4">
        <v>0</v>
      </c>
      <c r="AN396" s="4">
        <v>0</v>
      </c>
      <c r="AO396" s="4">
        <v>0</v>
      </c>
      <c r="AP396" s="3" t="s">
        <v>58</v>
      </c>
      <c r="AQ396" s="3" t="s">
        <v>58</v>
      </c>
      <c r="AS396" s="6" t="str">
        <f>HYPERLINK("https://creighton-primo.hosted.exlibrisgroup.com/primo-explore/search?tab=default_tab&amp;search_scope=EVERYTHING&amp;vid=01CRU&amp;lang=en_US&amp;offset=0&amp;query=any,contains,991000906199702656","Catalog Record")</f>
        <v>Catalog Record</v>
      </c>
      <c r="AT396" s="6" t="str">
        <f>HYPERLINK("http://www.worldcat.org/oclc/6087508","WorldCat Record")</f>
        <v>WorldCat Record</v>
      </c>
      <c r="AU396" s="3" t="s">
        <v>4874</v>
      </c>
      <c r="AV396" s="3" t="s">
        <v>4875</v>
      </c>
      <c r="AW396" s="3" t="s">
        <v>4876</v>
      </c>
      <c r="AX396" s="3" t="s">
        <v>4876</v>
      </c>
      <c r="AY396" s="3" t="s">
        <v>4877</v>
      </c>
      <c r="AZ396" s="3" t="s">
        <v>73</v>
      </c>
      <c r="BB396" s="3" t="s">
        <v>4878</v>
      </c>
      <c r="BC396" s="3" t="s">
        <v>4879</v>
      </c>
      <c r="BD396" s="3" t="s">
        <v>4880</v>
      </c>
    </row>
    <row r="397" spans="1:56" ht="40.5" customHeight="1" x14ac:dyDescent="0.25">
      <c r="A397" s="7" t="s">
        <v>58</v>
      </c>
      <c r="B397" s="2" t="s">
        <v>4881</v>
      </c>
      <c r="C397" s="2" t="s">
        <v>4882</v>
      </c>
      <c r="D397" s="2" t="s">
        <v>4883</v>
      </c>
      <c r="F397" s="3" t="s">
        <v>58</v>
      </c>
      <c r="G397" s="3" t="s">
        <v>59</v>
      </c>
      <c r="H397" s="3" t="s">
        <v>58</v>
      </c>
      <c r="I397" s="3" t="s">
        <v>58</v>
      </c>
      <c r="J397" s="3" t="s">
        <v>60</v>
      </c>
      <c r="L397" s="2" t="s">
        <v>2722</v>
      </c>
      <c r="M397" s="3" t="s">
        <v>365</v>
      </c>
      <c r="O397" s="3" t="s">
        <v>64</v>
      </c>
      <c r="P397" s="3" t="s">
        <v>117</v>
      </c>
      <c r="Q397" s="2" t="s">
        <v>2039</v>
      </c>
      <c r="R397" s="3" t="s">
        <v>66</v>
      </c>
      <c r="S397" s="4">
        <v>9</v>
      </c>
      <c r="T397" s="4">
        <v>9</v>
      </c>
      <c r="U397" s="5" t="s">
        <v>4884</v>
      </c>
      <c r="V397" s="5" t="s">
        <v>4884</v>
      </c>
      <c r="W397" s="5" t="s">
        <v>4885</v>
      </c>
      <c r="X397" s="5" t="s">
        <v>4885</v>
      </c>
      <c r="Y397" s="4">
        <v>239</v>
      </c>
      <c r="Z397" s="4">
        <v>160</v>
      </c>
      <c r="AA397" s="4">
        <v>167</v>
      </c>
      <c r="AB397" s="4">
        <v>1</v>
      </c>
      <c r="AC397" s="4">
        <v>1</v>
      </c>
      <c r="AD397" s="4">
        <v>5</v>
      </c>
      <c r="AE397" s="4">
        <v>5</v>
      </c>
      <c r="AF397" s="4">
        <v>2</v>
      </c>
      <c r="AG397" s="4">
        <v>2</v>
      </c>
      <c r="AH397" s="4">
        <v>1</v>
      </c>
      <c r="AI397" s="4">
        <v>1</v>
      </c>
      <c r="AJ397" s="4">
        <v>4</v>
      </c>
      <c r="AK397" s="4">
        <v>4</v>
      </c>
      <c r="AL397" s="4">
        <v>0</v>
      </c>
      <c r="AM397" s="4">
        <v>0</v>
      </c>
      <c r="AN397" s="4">
        <v>0</v>
      </c>
      <c r="AO397" s="4">
        <v>0</v>
      </c>
      <c r="AP397" s="3" t="s">
        <v>58</v>
      </c>
      <c r="AQ397" s="3" t="s">
        <v>85</v>
      </c>
      <c r="AR397" s="6" t="str">
        <f>HYPERLINK("http://catalog.hathitrust.org/Record/002966301","HathiTrust Record")</f>
        <v>HathiTrust Record</v>
      </c>
      <c r="AS397" s="6" t="str">
        <f>HYPERLINK("https://creighton-primo.hosted.exlibrisgroup.com/primo-explore/search?tab=default_tab&amp;search_scope=EVERYTHING&amp;vid=01CRU&amp;lang=en_US&amp;offset=0&amp;query=any,contains,991001198509702656","Catalog Record")</f>
        <v>Catalog Record</v>
      </c>
      <c r="AT397" s="6" t="str">
        <f>HYPERLINK("http://www.worldcat.org/oclc/30666901","WorldCat Record")</f>
        <v>WorldCat Record</v>
      </c>
      <c r="AU397" s="3" t="s">
        <v>4886</v>
      </c>
      <c r="AV397" s="3" t="s">
        <v>4887</v>
      </c>
      <c r="AW397" s="3" t="s">
        <v>4888</v>
      </c>
      <c r="AX397" s="3" t="s">
        <v>4888</v>
      </c>
      <c r="AY397" s="3" t="s">
        <v>4889</v>
      </c>
      <c r="AZ397" s="3" t="s">
        <v>73</v>
      </c>
      <c r="BB397" s="3" t="s">
        <v>4890</v>
      </c>
      <c r="BC397" s="3" t="s">
        <v>4891</v>
      </c>
      <c r="BD397" s="3" t="s">
        <v>4892</v>
      </c>
    </row>
    <row r="398" spans="1:56" ht="40.5" customHeight="1" x14ac:dyDescent="0.25">
      <c r="A398" s="7" t="s">
        <v>58</v>
      </c>
      <c r="B398" s="2" t="s">
        <v>4893</v>
      </c>
      <c r="C398" s="2" t="s">
        <v>4894</v>
      </c>
      <c r="D398" s="2" t="s">
        <v>4895</v>
      </c>
      <c r="F398" s="3" t="s">
        <v>58</v>
      </c>
      <c r="G398" s="3" t="s">
        <v>59</v>
      </c>
      <c r="H398" s="3" t="s">
        <v>58</v>
      </c>
      <c r="I398" s="3" t="s">
        <v>58</v>
      </c>
      <c r="J398" s="3" t="s">
        <v>60</v>
      </c>
      <c r="L398" s="2" t="s">
        <v>3547</v>
      </c>
      <c r="M398" s="3" t="s">
        <v>2552</v>
      </c>
      <c r="O398" s="3" t="s">
        <v>64</v>
      </c>
      <c r="P398" s="3" t="s">
        <v>65</v>
      </c>
      <c r="R398" s="3" t="s">
        <v>66</v>
      </c>
      <c r="S398" s="4">
        <v>2</v>
      </c>
      <c r="T398" s="4">
        <v>2</v>
      </c>
      <c r="U398" s="5" t="s">
        <v>4896</v>
      </c>
      <c r="V398" s="5" t="s">
        <v>4896</v>
      </c>
      <c r="W398" s="5" t="s">
        <v>4343</v>
      </c>
      <c r="X398" s="5" t="s">
        <v>4343</v>
      </c>
      <c r="Y398" s="4">
        <v>139</v>
      </c>
      <c r="Z398" s="4">
        <v>113</v>
      </c>
      <c r="AA398" s="4">
        <v>115</v>
      </c>
      <c r="AB398" s="4">
        <v>2</v>
      </c>
      <c r="AC398" s="4">
        <v>2</v>
      </c>
      <c r="AD398" s="4">
        <v>6</v>
      </c>
      <c r="AE398" s="4">
        <v>6</v>
      </c>
      <c r="AF398" s="4">
        <v>2</v>
      </c>
      <c r="AG398" s="4">
        <v>2</v>
      </c>
      <c r="AH398" s="4">
        <v>1</v>
      </c>
      <c r="AI398" s="4">
        <v>1</v>
      </c>
      <c r="AJ398" s="4">
        <v>3</v>
      </c>
      <c r="AK398" s="4">
        <v>3</v>
      </c>
      <c r="AL398" s="4">
        <v>1</v>
      </c>
      <c r="AM398" s="4">
        <v>1</v>
      </c>
      <c r="AN398" s="4">
        <v>0</v>
      </c>
      <c r="AO398" s="4">
        <v>0</v>
      </c>
      <c r="AP398" s="3" t="s">
        <v>58</v>
      </c>
      <c r="AQ398" s="3" t="s">
        <v>85</v>
      </c>
      <c r="AR398" s="6" t="str">
        <f>HYPERLINK("http://catalog.hathitrust.org/Record/000437399","HathiTrust Record")</f>
        <v>HathiTrust Record</v>
      </c>
      <c r="AS398" s="6" t="str">
        <f>HYPERLINK("https://creighton-primo.hosted.exlibrisgroup.com/primo-explore/search?tab=default_tab&amp;search_scope=EVERYTHING&amp;vid=01CRU&amp;lang=en_US&amp;offset=0&amp;query=any,contains,991000906079702656","Catalog Record")</f>
        <v>Catalog Record</v>
      </c>
      <c r="AT398" s="6" t="str">
        <f>HYPERLINK("http://www.worldcat.org/oclc/13497234","WorldCat Record")</f>
        <v>WorldCat Record</v>
      </c>
      <c r="AU398" s="3" t="s">
        <v>4897</v>
      </c>
      <c r="AV398" s="3" t="s">
        <v>4898</v>
      </c>
      <c r="AW398" s="3" t="s">
        <v>4899</v>
      </c>
      <c r="AX398" s="3" t="s">
        <v>4899</v>
      </c>
      <c r="AY398" s="3" t="s">
        <v>4900</v>
      </c>
      <c r="AZ398" s="3" t="s">
        <v>73</v>
      </c>
      <c r="BB398" s="3" t="s">
        <v>4901</v>
      </c>
      <c r="BC398" s="3" t="s">
        <v>4902</v>
      </c>
      <c r="BD398" s="3" t="s">
        <v>4903</v>
      </c>
    </row>
    <row r="399" spans="1:56" ht="40.5" customHeight="1" x14ac:dyDescent="0.25">
      <c r="A399" s="7" t="s">
        <v>58</v>
      </c>
      <c r="B399" s="2" t="s">
        <v>4904</v>
      </c>
      <c r="C399" s="2" t="s">
        <v>4905</v>
      </c>
      <c r="D399" s="2" t="s">
        <v>4906</v>
      </c>
      <c r="E399" s="3" t="s">
        <v>4907</v>
      </c>
      <c r="F399" s="3" t="s">
        <v>58</v>
      </c>
      <c r="G399" s="3" t="s">
        <v>59</v>
      </c>
      <c r="H399" s="3" t="s">
        <v>58</v>
      </c>
      <c r="I399" s="3" t="s">
        <v>58</v>
      </c>
      <c r="J399" s="3" t="s">
        <v>60</v>
      </c>
      <c r="L399" s="2" t="s">
        <v>4908</v>
      </c>
      <c r="M399" s="3" t="s">
        <v>197</v>
      </c>
      <c r="O399" s="3" t="s">
        <v>64</v>
      </c>
      <c r="P399" s="3" t="s">
        <v>1394</v>
      </c>
      <c r="Q399" s="2" t="s">
        <v>4909</v>
      </c>
      <c r="R399" s="3" t="s">
        <v>66</v>
      </c>
      <c r="S399" s="4">
        <v>2</v>
      </c>
      <c r="T399" s="4">
        <v>2</v>
      </c>
      <c r="U399" s="5" t="s">
        <v>4910</v>
      </c>
      <c r="V399" s="5" t="s">
        <v>4910</v>
      </c>
      <c r="W399" s="5" t="s">
        <v>427</v>
      </c>
      <c r="X399" s="5" t="s">
        <v>427</v>
      </c>
      <c r="Y399" s="4">
        <v>124</v>
      </c>
      <c r="Z399" s="4">
        <v>85</v>
      </c>
      <c r="AA399" s="4">
        <v>97</v>
      </c>
      <c r="AB399" s="4">
        <v>2</v>
      </c>
      <c r="AC399" s="4">
        <v>2</v>
      </c>
      <c r="AD399" s="4">
        <v>4</v>
      </c>
      <c r="AE399" s="4">
        <v>4</v>
      </c>
      <c r="AF399" s="4">
        <v>0</v>
      </c>
      <c r="AG399" s="4">
        <v>0</v>
      </c>
      <c r="AH399" s="4">
        <v>3</v>
      </c>
      <c r="AI399" s="4">
        <v>3</v>
      </c>
      <c r="AJ399" s="4">
        <v>1</v>
      </c>
      <c r="AK399" s="4">
        <v>1</v>
      </c>
      <c r="AL399" s="4">
        <v>1</v>
      </c>
      <c r="AM399" s="4">
        <v>1</v>
      </c>
      <c r="AN399" s="4">
        <v>0</v>
      </c>
      <c r="AO399" s="4">
        <v>0</v>
      </c>
      <c r="AP399" s="3" t="s">
        <v>58</v>
      </c>
      <c r="AQ399" s="3" t="s">
        <v>58</v>
      </c>
      <c r="AS399" s="6" t="str">
        <f>HYPERLINK("https://creighton-primo.hosted.exlibrisgroup.com/primo-explore/search?tab=default_tab&amp;search_scope=EVERYTHING&amp;vid=01CRU&amp;lang=en_US&amp;offset=0&amp;query=any,contains,991001240719702656","Catalog Record")</f>
        <v>Catalog Record</v>
      </c>
      <c r="AT399" s="6" t="str">
        <f>HYPERLINK("http://www.worldcat.org/oclc/17878387","WorldCat Record")</f>
        <v>WorldCat Record</v>
      </c>
      <c r="AU399" s="3" t="s">
        <v>4911</v>
      </c>
      <c r="AV399" s="3" t="s">
        <v>4912</v>
      </c>
      <c r="AW399" s="3" t="s">
        <v>4913</v>
      </c>
      <c r="AX399" s="3" t="s">
        <v>4913</v>
      </c>
      <c r="AY399" s="3" t="s">
        <v>4914</v>
      </c>
      <c r="AZ399" s="3" t="s">
        <v>73</v>
      </c>
      <c r="BB399" s="3" t="s">
        <v>4915</v>
      </c>
      <c r="BC399" s="3" t="s">
        <v>4916</v>
      </c>
      <c r="BD399" s="3" t="s">
        <v>4917</v>
      </c>
    </row>
    <row r="400" spans="1:56" ht="40.5" customHeight="1" x14ac:dyDescent="0.25">
      <c r="A400" s="7" t="s">
        <v>58</v>
      </c>
      <c r="B400" s="2" t="s">
        <v>4918</v>
      </c>
      <c r="C400" s="2" t="s">
        <v>4919</v>
      </c>
      <c r="D400" s="2" t="s">
        <v>4920</v>
      </c>
      <c r="F400" s="3" t="s">
        <v>58</v>
      </c>
      <c r="G400" s="3" t="s">
        <v>59</v>
      </c>
      <c r="H400" s="3" t="s">
        <v>58</v>
      </c>
      <c r="I400" s="3" t="s">
        <v>58</v>
      </c>
      <c r="J400" s="3" t="s">
        <v>60</v>
      </c>
      <c r="K400" s="2" t="s">
        <v>4921</v>
      </c>
      <c r="L400" s="2" t="s">
        <v>4922</v>
      </c>
      <c r="M400" s="3" t="s">
        <v>2764</v>
      </c>
      <c r="O400" s="3" t="s">
        <v>64</v>
      </c>
      <c r="P400" s="3" t="s">
        <v>3204</v>
      </c>
      <c r="R400" s="3" t="s">
        <v>66</v>
      </c>
      <c r="S400" s="4">
        <v>2</v>
      </c>
      <c r="T400" s="4">
        <v>2</v>
      </c>
      <c r="U400" s="5" t="s">
        <v>4923</v>
      </c>
      <c r="V400" s="5" t="s">
        <v>4923</v>
      </c>
      <c r="W400" s="5" t="s">
        <v>4924</v>
      </c>
      <c r="X400" s="5" t="s">
        <v>4924</v>
      </c>
      <c r="Y400" s="4">
        <v>33</v>
      </c>
      <c r="Z400" s="4">
        <v>32</v>
      </c>
      <c r="AA400" s="4">
        <v>45</v>
      </c>
      <c r="AB400" s="4">
        <v>1</v>
      </c>
      <c r="AC400" s="4">
        <v>1</v>
      </c>
      <c r="AD400" s="4">
        <v>0</v>
      </c>
      <c r="AE400" s="4">
        <v>0</v>
      </c>
      <c r="AF400" s="4">
        <v>0</v>
      </c>
      <c r="AG400" s="4">
        <v>0</v>
      </c>
      <c r="AH400" s="4">
        <v>0</v>
      </c>
      <c r="AI400" s="4">
        <v>0</v>
      </c>
      <c r="AJ400" s="4">
        <v>0</v>
      </c>
      <c r="AK400" s="4">
        <v>0</v>
      </c>
      <c r="AL400" s="4">
        <v>0</v>
      </c>
      <c r="AM400" s="4">
        <v>0</v>
      </c>
      <c r="AN400" s="4">
        <v>0</v>
      </c>
      <c r="AO400" s="4">
        <v>0</v>
      </c>
      <c r="AP400" s="3" t="s">
        <v>58</v>
      </c>
      <c r="AQ400" s="3" t="s">
        <v>85</v>
      </c>
      <c r="AR400" s="6" t="str">
        <f>HYPERLINK("http://catalog.hathitrust.org/Record/010379832","HathiTrust Record")</f>
        <v>HathiTrust Record</v>
      </c>
      <c r="AS400" s="6" t="str">
        <f>HYPERLINK("https://creighton-primo.hosted.exlibrisgroup.com/primo-explore/search?tab=default_tab&amp;search_scope=EVERYTHING&amp;vid=01CRU&amp;lang=en_US&amp;offset=0&amp;query=any,contains,991000475809702656","Catalog Record")</f>
        <v>Catalog Record</v>
      </c>
      <c r="AT400" s="6" t="str">
        <f>HYPERLINK("http://www.worldcat.org/oclc/56956432","WorldCat Record")</f>
        <v>WorldCat Record</v>
      </c>
      <c r="AU400" s="3" t="s">
        <v>4925</v>
      </c>
      <c r="AV400" s="3" t="s">
        <v>4926</v>
      </c>
      <c r="AW400" s="3" t="s">
        <v>4927</v>
      </c>
      <c r="AX400" s="3" t="s">
        <v>4927</v>
      </c>
      <c r="AY400" s="3" t="s">
        <v>4928</v>
      </c>
      <c r="AZ400" s="3" t="s">
        <v>73</v>
      </c>
      <c r="BB400" s="3" t="s">
        <v>4929</v>
      </c>
      <c r="BC400" s="3" t="s">
        <v>4930</v>
      </c>
      <c r="BD400" s="3" t="s">
        <v>4931</v>
      </c>
    </row>
    <row r="401" spans="1:56" ht="40.5" customHeight="1" x14ac:dyDescent="0.25">
      <c r="A401" s="7" t="s">
        <v>58</v>
      </c>
      <c r="B401" s="2" t="s">
        <v>4932</v>
      </c>
      <c r="C401" s="2" t="s">
        <v>4933</v>
      </c>
      <c r="D401" s="2" t="s">
        <v>4934</v>
      </c>
      <c r="E401" s="3" t="s">
        <v>1245</v>
      </c>
      <c r="F401" s="3" t="s">
        <v>58</v>
      </c>
      <c r="G401" s="3" t="s">
        <v>59</v>
      </c>
      <c r="H401" s="3" t="s">
        <v>58</v>
      </c>
      <c r="I401" s="3" t="s">
        <v>58</v>
      </c>
      <c r="J401" s="3" t="s">
        <v>60</v>
      </c>
      <c r="L401" s="2" t="s">
        <v>4935</v>
      </c>
      <c r="M401" s="3" t="s">
        <v>2552</v>
      </c>
      <c r="O401" s="3" t="s">
        <v>64</v>
      </c>
      <c r="P401" s="3" t="s">
        <v>4936</v>
      </c>
      <c r="Q401" s="2" t="s">
        <v>4937</v>
      </c>
      <c r="R401" s="3" t="s">
        <v>66</v>
      </c>
      <c r="S401" s="4">
        <v>10</v>
      </c>
      <c r="T401" s="4">
        <v>10</v>
      </c>
      <c r="U401" s="5" t="s">
        <v>4938</v>
      </c>
      <c r="V401" s="5" t="s">
        <v>4938</v>
      </c>
      <c r="W401" s="5" t="s">
        <v>4343</v>
      </c>
      <c r="X401" s="5" t="s">
        <v>4343</v>
      </c>
      <c r="Y401" s="4">
        <v>109</v>
      </c>
      <c r="Z401" s="4">
        <v>58</v>
      </c>
      <c r="AA401" s="4">
        <v>60</v>
      </c>
      <c r="AB401" s="4">
        <v>1</v>
      </c>
      <c r="AC401" s="4">
        <v>1</v>
      </c>
      <c r="AD401" s="4">
        <v>2</v>
      </c>
      <c r="AE401" s="4">
        <v>2</v>
      </c>
      <c r="AF401" s="4">
        <v>0</v>
      </c>
      <c r="AG401" s="4">
        <v>0</v>
      </c>
      <c r="AH401" s="4">
        <v>2</v>
      </c>
      <c r="AI401" s="4">
        <v>2</v>
      </c>
      <c r="AJ401" s="4">
        <v>0</v>
      </c>
      <c r="AK401" s="4">
        <v>0</v>
      </c>
      <c r="AL401" s="4">
        <v>0</v>
      </c>
      <c r="AM401" s="4">
        <v>0</v>
      </c>
      <c r="AN401" s="4">
        <v>0</v>
      </c>
      <c r="AO401" s="4">
        <v>0</v>
      </c>
      <c r="AP401" s="3" t="s">
        <v>58</v>
      </c>
      <c r="AQ401" s="3" t="s">
        <v>85</v>
      </c>
      <c r="AR401" s="6" t="str">
        <f>HYPERLINK("http://catalog.hathitrust.org/Record/000832205","HathiTrust Record")</f>
        <v>HathiTrust Record</v>
      </c>
      <c r="AS401" s="6" t="str">
        <f>HYPERLINK("https://creighton-primo.hosted.exlibrisgroup.com/primo-explore/search?tab=default_tab&amp;search_scope=EVERYTHING&amp;vid=01CRU&amp;lang=en_US&amp;offset=0&amp;query=any,contains,991001265609702656","Catalog Record")</f>
        <v>Catalog Record</v>
      </c>
      <c r="AT401" s="6" t="str">
        <f>HYPERLINK("http://www.worldcat.org/oclc/13456294","WorldCat Record")</f>
        <v>WorldCat Record</v>
      </c>
      <c r="AU401" s="3" t="s">
        <v>4939</v>
      </c>
      <c r="AV401" s="3" t="s">
        <v>4940</v>
      </c>
      <c r="AW401" s="3" t="s">
        <v>4941</v>
      </c>
      <c r="AX401" s="3" t="s">
        <v>4941</v>
      </c>
      <c r="AY401" s="3" t="s">
        <v>4942</v>
      </c>
      <c r="AZ401" s="3" t="s">
        <v>73</v>
      </c>
      <c r="BB401" s="3" t="s">
        <v>4943</v>
      </c>
      <c r="BC401" s="3" t="s">
        <v>4944</v>
      </c>
      <c r="BD401" s="3" t="s">
        <v>4945</v>
      </c>
    </row>
    <row r="402" spans="1:56" ht="40.5" customHeight="1" x14ac:dyDescent="0.25">
      <c r="A402" s="7" t="s">
        <v>58</v>
      </c>
      <c r="B402" s="2" t="s">
        <v>4946</v>
      </c>
      <c r="C402" s="2" t="s">
        <v>4947</v>
      </c>
      <c r="D402" s="2" t="s">
        <v>4948</v>
      </c>
      <c r="F402" s="3" t="s">
        <v>58</v>
      </c>
      <c r="G402" s="3" t="s">
        <v>59</v>
      </c>
      <c r="H402" s="3" t="s">
        <v>58</v>
      </c>
      <c r="I402" s="3" t="s">
        <v>85</v>
      </c>
      <c r="J402" s="3" t="s">
        <v>60</v>
      </c>
      <c r="K402" s="2" t="s">
        <v>4949</v>
      </c>
      <c r="L402" s="2" t="s">
        <v>914</v>
      </c>
      <c r="M402" s="3" t="s">
        <v>365</v>
      </c>
      <c r="N402" s="2" t="s">
        <v>4950</v>
      </c>
      <c r="O402" s="3" t="s">
        <v>64</v>
      </c>
      <c r="P402" s="3" t="s">
        <v>82</v>
      </c>
      <c r="R402" s="3" t="s">
        <v>66</v>
      </c>
      <c r="S402" s="4">
        <v>30</v>
      </c>
      <c r="T402" s="4">
        <v>30</v>
      </c>
      <c r="U402" s="5" t="s">
        <v>4286</v>
      </c>
      <c r="V402" s="5" t="s">
        <v>4286</v>
      </c>
      <c r="W402" s="5" t="s">
        <v>4951</v>
      </c>
      <c r="X402" s="5" t="s">
        <v>4951</v>
      </c>
      <c r="Y402" s="4">
        <v>552</v>
      </c>
      <c r="Z402" s="4">
        <v>514</v>
      </c>
      <c r="AA402" s="4">
        <v>2213</v>
      </c>
      <c r="AB402" s="4">
        <v>3</v>
      </c>
      <c r="AC402" s="4">
        <v>17</v>
      </c>
      <c r="AD402" s="4">
        <v>7</v>
      </c>
      <c r="AE402" s="4">
        <v>38</v>
      </c>
      <c r="AF402" s="4">
        <v>2</v>
      </c>
      <c r="AG402" s="4">
        <v>14</v>
      </c>
      <c r="AH402" s="4">
        <v>2</v>
      </c>
      <c r="AI402" s="4">
        <v>7</v>
      </c>
      <c r="AJ402" s="4">
        <v>3</v>
      </c>
      <c r="AK402" s="4">
        <v>16</v>
      </c>
      <c r="AL402" s="4">
        <v>1</v>
      </c>
      <c r="AM402" s="4">
        <v>7</v>
      </c>
      <c r="AN402" s="4">
        <v>0</v>
      </c>
      <c r="AO402" s="4">
        <v>0</v>
      </c>
      <c r="AP402" s="3" t="s">
        <v>58</v>
      </c>
      <c r="AQ402" s="3" t="s">
        <v>58</v>
      </c>
      <c r="AS402" s="6" t="str">
        <f>HYPERLINK("https://creighton-primo.hosted.exlibrisgroup.com/primo-explore/search?tab=default_tab&amp;search_scope=EVERYTHING&amp;vid=01CRU&amp;lang=en_US&amp;offset=0&amp;query=any,contains,991001486649702656","Catalog Record")</f>
        <v>Catalog Record</v>
      </c>
      <c r="AT402" s="6" t="str">
        <f>HYPERLINK("http://www.worldcat.org/oclc/26633680","WorldCat Record")</f>
        <v>WorldCat Record</v>
      </c>
      <c r="AU402" s="3" t="s">
        <v>4952</v>
      </c>
      <c r="AV402" s="3" t="s">
        <v>4953</v>
      </c>
      <c r="AW402" s="3" t="s">
        <v>4954</v>
      </c>
      <c r="AX402" s="3" t="s">
        <v>4954</v>
      </c>
      <c r="AY402" s="3" t="s">
        <v>4955</v>
      </c>
      <c r="AZ402" s="3" t="s">
        <v>73</v>
      </c>
      <c r="BB402" s="3" t="s">
        <v>4956</v>
      </c>
      <c r="BC402" s="3" t="s">
        <v>4957</v>
      </c>
      <c r="BD402" s="3" t="s">
        <v>4958</v>
      </c>
    </row>
    <row r="403" spans="1:56" ht="40.5" customHeight="1" x14ac:dyDescent="0.25">
      <c r="A403" s="7" t="s">
        <v>58</v>
      </c>
      <c r="B403" s="2" t="s">
        <v>4959</v>
      </c>
      <c r="C403" s="2" t="s">
        <v>4960</v>
      </c>
      <c r="D403" s="2" t="s">
        <v>4961</v>
      </c>
      <c r="F403" s="3" t="s">
        <v>58</v>
      </c>
      <c r="G403" s="3" t="s">
        <v>59</v>
      </c>
      <c r="H403" s="3" t="s">
        <v>58</v>
      </c>
      <c r="I403" s="3" t="s">
        <v>58</v>
      </c>
      <c r="J403" s="3" t="s">
        <v>60</v>
      </c>
      <c r="K403" s="2" t="s">
        <v>4962</v>
      </c>
      <c r="L403" s="2" t="s">
        <v>4963</v>
      </c>
      <c r="M403" s="3" t="s">
        <v>303</v>
      </c>
      <c r="N403" s="2" t="s">
        <v>288</v>
      </c>
      <c r="O403" s="3" t="s">
        <v>64</v>
      </c>
      <c r="P403" s="3" t="s">
        <v>4964</v>
      </c>
      <c r="R403" s="3" t="s">
        <v>66</v>
      </c>
      <c r="S403" s="4">
        <v>18</v>
      </c>
      <c r="T403" s="4">
        <v>18</v>
      </c>
      <c r="U403" s="5" t="s">
        <v>4965</v>
      </c>
      <c r="V403" s="5" t="s">
        <v>4965</v>
      </c>
      <c r="W403" s="5" t="s">
        <v>4966</v>
      </c>
      <c r="X403" s="5" t="s">
        <v>4966</v>
      </c>
      <c r="Y403" s="4">
        <v>90</v>
      </c>
      <c r="Z403" s="4">
        <v>68</v>
      </c>
      <c r="AA403" s="4">
        <v>293</v>
      </c>
      <c r="AB403" s="4">
        <v>1</v>
      </c>
      <c r="AC403" s="4">
        <v>3</v>
      </c>
      <c r="AD403" s="4">
        <v>1</v>
      </c>
      <c r="AE403" s="4">
        <v>7</v>
      </c>
      <c r="AF403" s="4">
        <v>0</v>
      </c>
      <c r="AG403" s="4">
        <v>2</v>
      </c>
      <c r="AH403" s="4">
        <v>1</v>
      </c>
      <c r="AI403" s="4">
        <v>2</v>
      </c>
      <c r="AJ403" s="4">
        <v>0</v>
      </c>
      <c r="AK403" s="4">
        <v>3</v>
      </c>
      <c r="AL403" s="4">
        <v>0</v>
      </c>
      <c r="AM403" s="4">
        <v>1</v>
      </c>
      <c r="AN403" s="4">
        <v>0</v>
      </c>
      <c r="AO403" s="4">
        <v>0</v>
      </c>
      <c r="AP403" s="3" t="s">
        <v>58</v>
      </c>
      <c r="AQ403" s="3" t="s">
        <v>58</v>
      </c>
      <c r="AS403" s="6" t="str">
        <f>HYPERLINK("https://creighton-primo.hosted.exlibrisgroup.com/primo-explore/search?tab=default_tab&amp;search_scope=EVERYTHING&amp;vid=01CRU&amp;lang=en_US&amp;offset=0&amp;query=any,contains,991000853329702656","Catalog Record")</f>
        <v>Catalog Record</v>
      </c>
      <c r="AT403" s="6" t="str">
        <f>HYPERLINK("http://www.worldcat.org/oclc/33333608","WorldCat Record")</f>
        <v>WorldCat Record</v>
      </c>
      <c r="AU403" s="3" t="s">
        <v>4967</v>
      </c>
      <c r="AV403" s="3" t="s">
        <v>4968</v>
      </c>
      <c r="AW403" s="3" t="s">
        <v>4969</v>
      </c>
      <c r="AX403" s="3" t="s">
        <v>4969</v>
      </c>
      <c r="AY403" s="3" t="s">
        <v>4970</v>
      </c>
      <c r="AZ403" s="3" t="s">
        <v>73</v>
      </c>
      <c r="BB403" s="3" t="s">
        <v>4971</v>
      </c>
      <c r="BC403" s="3" t="s">
        <v>4972</v>
      </c>
      <c r="BD403" s="3" t="s">
        <v>4973</v>
      </c>
    </row>
    <row r="404" spans="1:56" ht="40.5" customHeight="1" x14ac:dyDescent="0.25">
      <c r="A404" s="7" t="s">
        <v>58</v>
      </c>
      <c r="B404" s="2" t="s">
        <v>4974</v>
      </c>
      <c r="C404" s="2" t="s">
        <v>4975</v>
      </c>
      <c r="D404" s="2" t="s">
        <v>4976</v>
      </c>
      <c r="F404" s="3" t="s">
        <v>58</v>
      </c>
      <c r="G404" s="3" t="s">
        <v>59</v>
      </c>
      <c r="H404" s="3" t="s">
        <v>58</v>
      </c>
      <c r="I404" s="3" t="s">
        <v>58</v>
      </c>
      <c r="J404" s="3" t="s">
        <v>60</v>
      </c>
      <c r="K404" s="2" t="s">
        <v>4977</v>
      </c>
      <c r="L404" s="2" t="s">
        <v>4978</v>
      </c>
      <c r="M404" s="3" t="s">
        <v>759</v>
      </c>
      <c r="O404" s="3" t="s">
        <v>64</v>
      </c>
      <c r="P404" s="3" t="s">
        <v>4964</v>
      </c>
      <c r="R404" s="3" t="s">
        <v>66</v>
      </c>
      <c r="S404" s="4">
        <v>18</v>
      </c>
      <c r="T404" s="4">
        <v>18</v>
      </c>
      <c r="U404" s="5" t="s">
        <v>4979</v>
      </c>
      <c r="V404" s="5" t="s">
        <v>4979</v>
      </c>
      <c r="W404" s="5" t="s">
        <v>4980</v>
      </c>
      <c r="X404" s="5" t="s">
        <v>4980</v>
      </c>
      <c r="Y404" s="4">
        <v>56</v>
      </c>
      <c r="Z404" s="4">
        <v>45</v>
      </c>
      <c r="AA404" s="4">
        <v>275</v>
      </c>
      <c r="AB404" s="4">
        <v>1</v>
      </c>
      <c r="AC404" s="4">
        <v>1</v>
      </c>
      <c r="AD404" s="4">
        <v>2</v>
      </c>
      <c r="AE404" s="4">
        <v>6</v>
      </c>
      <c r="AF404" s="4">
        <v>2</v>
      </c>
      <c r="AG404" s="4">
        <v>5</v>
      </c>
      <c r="AH404" s="4">
        <v>0</v>
      </c>
      <c r="AI404" s="4">
        <v>1</v>
      </c>
      <c r="AJ404" s="4">
        <v>0</v>
      </c>
      <c r="AK404" s="4">
        <v>0</v>
      </c>
      <c r="AL404" s="4">
        <v>0</v>
      </c>
      <c r="AM404" s="4">
        <v>0</v>
      </c>
      <c r="AN404" s="4">
        <v>0</v>
      </c>
      <c r="AO404" s="4">
        <v>0</v>
      </c>
      <c r="AP404" s="3" t="s">
        <v>58</v>
      </c>
      <c r="AQ404" s="3" t="s">
        <v>58</v>
      </c>
      <c r="AS404" s="6" t="str">
        <f>HYPERLINK("https://creighton-primo.hosted.exlibrisgroup.com/primo-explore/search?tab=default_tab&amp;search_scope=EVERYTHING&amp;vid=01CRU&amp;lang=en_US&amp;offset=0&amp;query=any,contains,991001502239702656","Catalog Record")</f>
        <v>Catalog Record</v>
      </c>
      <c r="AT404" s="6" t="str">
        <f>HYPERLINK("http://www.worldcat.org/oclc/31514475","WorldCat Record")</f>
        <v>WorldCat Record</v>
      </c>
      <c r="AU404" s="3" t="s">
        <v>4981</v>
      </c>
      <c r="AV404" s="3" t="s">
        <v>4982</v>
      </c>
      <c r="AW404" s="3" t="s">
        <v>4983</v>
      </c>
      <c r="AX404" s="3" t="s">
        <v>4983</v>
      </c>
      <c r="AY404" s="3" t="s">
        <v>4984</v>
      </c>
      <c r="AZ404" s="3" t="s">
        <v>73</v>
      </c>
      <c r="BB404" s="3" t="s">
        <v>4985</v>
      </c>
      <c r="BC404" s="3" t="s">
        <v>4986</v>
      </c>
      <c r="BD404" s="3" t="s">
        <v>4987</v>
      </c>
    </row>
    <row r="405" spans="1:56" ht="40.5" customHeight="1" x14ac:dyDescent="0.25">
      <c r="A405" s="7" t="s">
        <v>58</v>
      </c>
      <c r="B405" s="2" t="s">
        <v>4988</v>
      </c>
      <c r="C405" s="2" t="s">
        <v>4989</v>
      </c>
      <c r="D405" s="2" t="s">
        <v>4990</v>
      </c>
      <c r="F405" s="3" t="s">
        <v>58</v>
      </c>
      <c r="G405" s="3" t="s">
        <v>59</v>
      </c>
      <c r="H405" s="3" t="s">
        <v>85</v>
      </c>
      <c r="I405" s="3" t="s">
        <v>58</v>
      </c>
      <c r="J405" s="3" t="s">
        <v>60</v>
      </c>
      <c r="K405" s="2" t="s">
        <v>4991</v>
      </c>
      <c r="L405" s="2" t="s">
        <v>4992</v>
      </c>
      <c r="M405" s="3" t="s">
        <v>197</v>
      </c>
      <c r="N405" s="2" t="s">
        <v>198</v>
      </c>
      <c r="O405" s="3" t="s">
        <v>64</v>
      </c>
      <c r="P405" s="3" t="s">
        <v>65</v>
      </c>
      <c r="R405" s="3" t="s">
        <v>66</v>
      </c>
      <c r="S405" s="4">
        <v>33</v>
      </c>
      <c r="T405" s="4">
        <v>33</v>
      </c>
      <c r="U405" s="5" t="s">
        <v>4993</v>
      </c>
      <c r="V405" s="5" t="s">
        <v>4993</v>
      </c>
      <c r="W405" s="5" t="s">
        <v>4994</v>
      </c>
      <c r="X405" s="5" t="s">
        <v>4994</v>
      </c>
      <c r="Y405" s="4">
        <v>117</v>
      </c>
      <c r="Z405" s="4">
        <v>104</v>
      </c>
      <c r="AA405" s="4">
        <v>296</v>
      </c>
      <c r="AB405" s="4">
        <v>1</v>
      </c>
      <c r="AC405" s="4">
        <v>1</v>
      </c>
      <c r="AD405" s="4">
        <v>2</v>
      </c>
      <c r="AE405" s="4">
        <v>10</v>
      </c>
      <c r="AF405" s="4">
        <v>0</v>
      </c>
      <c r="AG405" s="4">
        <v>5</v>
      </c>
      <c r="AH405" s="4">
        <v>1</v>
      </c>
      <c r="AI405" s="4">
        <v>3</v>
      </c>
      <c r="AJ405" s="4">
        <v>2</v>
      </c>
      <c r="AK405" s="4">
        <v>5</v>
      </c>
      <c r="AL405" s="4">
        <v>0</v>
      </c>
      <c r="AM405" s="4">
        <v>0</v>
      </c>
      <c r="AN405" s="4">
        <v>0</v>
      </c>
      <c r="AO405" s="4">
        <v>0</v>
      </c>
      <c r="AP405" s="3" t="s">
        <v>58</v>
      </c>
      <c r="AQ405" s="3" t="s">
        <v>85</v>
      </c>
      <c r="AR405" s="6" t="str">
        <f>HYPERLINK("http://catalog.hathitrust.org/Record/004413529","HathiTrust Record")</f>
        <v>HathiTrust Record</v>
      </c>
      <c r="AS405" s="6" t="str">
        <f>HYPERLINK("https://creighton-primo.hosted.exlibrisgroup.com/primo-explore/search?tab=default_tab&amp;search_scope=EVERYTHING&amp;vid=01CRU&amp;lang=en_US&amp;offset=0&amp;query=any,contains,991001326619702656","Catalog Record")</f>
        <v>Catalog Record</v>
      </c>
      <c r="AT405" s="6" t="str">
        <f>HYPERLINK("http://www.worldcat.org/oclc/16985738","WorldCat Record")</f>
        <v>WorldCat Record</v>
      </c>
      <c r="AU405" s="3" t="s">
        <v>4995</v>
      </c>
      <c r="AV405" s="3" t="s">
        <v>4996</v>
      </c>
      <c r="AW405" s="3" t="s">
        <v>4997</v>
      </c>
      <c r="AX405" s="3" t="s">
        <v>4997</v>
      </c>
      <c r="AY405" s="3" t="s">
        <v>4998</v>
      </c>
      <c r="AZ405" s="3" t="s">
        <v>73</v>
      </c>
      <c r="BB405" s="3" t="s">
        <v>4999</v>
      </c>
      <c r="BC405" s="3" t="s">
        <v>5000</v>
      </c>
      <c r="BD405" s="3" t="s">
        <v>5001</v>
      </c>
    </row>
    <row r="406" spans="1:56" ht="40.5" customHeight="1" x14ac:dyDescent="0.25">
      <c r="A406" s="7" t="s">
        <v>58</v>
      </c>
      <c r="B406" s="2" t="s">
        <v>5002</v>
      </c>
      <c r="C406" s="2" t="s">
        <v>5003</v>
      </c>
      <c r="D406" s="2" t="s">
        <v>4990</v>
      </c>
      <c r="F406" s="3" t="s">
        <v>58</v>
      </c>
      <c r="G406" s="3" t="s">
        <v>59</v>
      </c>
      <c r="H406" s="3" t="s">
        <v>85</v>
      </c>
      <c r="I406" s="3" t="s">
        <v>58</v>
      </c>
      <c r="J406" s="3" t="s">
        <v>60</v>
      </c>
      <c r="K406" s="2" t="s">
        <v>4991</v>
      </c>
      <c r="L406" s="2" t="s">
        <v>4992</v>
      </c>
      <c r="M406" s="3" t="s">
        <v>197</v>
      </c>
      <c r="N406" s="2" t="s">
        <v>198</v>
      </c>
      <c r="O406" s="3" t="s">
        <v>64</v>
      </c>
      <c r="P406" s="3" t="s">
        <v>65</v>
      </c>
      <c r="R406" s="3" t="s">
        <v>66</v>
      </c>
      <c r="S406" s="4">
        <v>0</v>
      </c>
      <c r="T406" s="4">
        <v>33</v>
      </c>
      <c r="V406" s="5" t="s">
        <v>4993</v>
      </c>
      <c r="W406" s="5" t="s">
        <v>4994</v>
      </c>
      <c r="X406" s="5" t="s">
        <v>4994</v>
      </c>
      <c r="Y406" s="4">
        <v>117</v>
      </c>
      <c r="Z406" s="4">
        <v>104</v>
      </c>
      <c r="AA406" s="4">
        <v>296</v>
      </c>
      <c r="AB406" s="4">
        <v>1</v>
      </c>
      <c r="AC406" s="4">
        <v>1</v>
      </c>
      <c r="AD406" s="4">
        <v>2</v>
      </c>
      <c r="AE406" s="4">
        <v>10</v>
      </c>
      <c r="AF406" s="4">
        <v>0</v>
      </c>
      <c r="AG406" s="4">
        <v>5</v>
      </c>
      <c r="AH406" s="4">
        <v>1</v>
      </c>
      <c r="AI406" s="4">
        <v>3</v>
      </c>
      <c r="AJ406" s="4">
        <v>2</v>
      </c>
      <c r="AK406" s="4">
        <v>5</v>
      </c>
      <c r="AL406" s="4">
        <v>0</v>
      </c>
      <c r="AM406" s="4">
        <v>0</v>
      </c>
      <c r="AN406" s="4">
        <v>0</v>
      </c>
      <c r="AO406" s="4">
        <v>0</v>
      </c>
      <c r="AP406" s="3" t="s">
        <v>58</v>
      </c>
      <c r="AQ406" s="3" t="s">
        <v>85</v>
      </c>
      <c r="AR406" s="6" t="str">
        <f>HYPERLINK("http://catalog.hathitrust.org/Record/004413529","HathiTrust Record")</f>
        <v>HathiTrust Record</v>
      </c>
      <c r="AS406" s="6" t="str">
        <f>HYPERLINK("https://creighton-primo.hosted.exlibrisgroup.com/primo-explore/search?tab=default_tab&amp;search_scope=EVERYTHING&amp;vid=01CRU&amp;lang=en_US&amp;offset=0&amp;query=any,contains,991001326619702656","Catalog Record")</f>
        <v>Catalog Record</v>
      </c>
      <c r="AT406" s="6" t="str">
        <f>HYPERLINK("http://www.worldcat.org/oclc/16985738","WorldCat Record")</f>
        <v>WorldCat Record</v>
      </c>
      <c r="AU406" s="3" t="s">
        <v>4995</v>
      </c>
      <c r="AV406" s="3" t="s">
        <v>4996</v>
      </c>
      <c r="AW406" s="3" t="s">
        <v>4997</v>
      </c>
      <c r="AX406" s="3" t="s">
        <v>4997</v>
      </c>
      <c r="AY406" s="3" t="s">
        <v>4998</v>
      </c>
      <c r="AZ406" s="3" t="s">
        <v>73</v>
      </c>
      <c r="BB406" s="3" t="s">
        <v>4999</v>
      </c>
      <c r="BC406" s="3" t="s">
        <v>5004</v>
      </c>
      <c r="BD406" s="3" t="s">
        <v>5005</v>
      </c>
    </row>
    <row r="407" spans="1:56" ht="40.5" customHeight="1" x14ac:dyDescent="0.25">
      <c r="A407" s="7" t="s">
        <v>58</v>
      </c>
      <c r="B407" s="2" t="s">
        <v>5006</v>
      </c>
      <c r="C407" s="2" t="s">
        <v>5007</v>
      </c>
      <c r="D407" s="2" t="s">
        <v>5008</v>
      </c>
      <c r="E407" s="3" t="s">
        <v>1408</v>
      </c>
      <c r="F407" s="3" t="s">
        <v>58</v>
      </c>
      <c r="G407" s="3" t="s">
        <v>59</v>
      </c>
      <c r="H407" s="3" t="s">
        <v>58</v>
      </c>
      <c r="I407" s="3" t="s">
        <v>58</v>
      </c>
      <c r="J407" s="3" t="s">
        <v>60</v>
      </c>
      <c r="L407" s="2" t="s">
        <v>5009</v>
      </c>
      <c r="M407" s="3" t="s">
        <v>482</v>
      </c>
      <c r="O407" s="3" t="s">
        <v>64</v>
      </c>
      <c r="P407" s="3" t="s">
        <v>1324</v>
      </c>
      <c r="Q407" s="2" t="s">
        <v>5010</v>
      </c>
      <c r="R407" s="3" t="s">
        <v>66</v>
      </c>
      <c r="S407" s="4">
        <v>3</v>
      </c>
      <c r="T407" s="4">
        <v>3</v>
      </c>
      <c r="U407" s="5" t="s">
        <v>5011</v>
      </c>
      <c r="V407" s="5" t="s">
        <v>5011</v>
      </c>
      <c r="W407" s="5" t="s">
        <v>2443</v>
      </c>
      <c r="X407" s="5" t="s">
        <v>2443</v>
      </c>
      <c r="Y407" s="4">
        <v>85</v>
      </c>
      <c r="Z407" s="4">
        <v>69</v>
      </c>
      <c r="AA407" s="4">
        <v>70</v>
      </c>
      <c r="AB407" s="4">
        <v>2</v>
      </c>
      <c r="AC407" s="4">
        <v>2</v>
      </c>
      <c r="AD407" s="4">
        <v>1</v>
      </c>
      <c r="AE407" s="4">
        <v>1</v>
      </c>
      <c r="AF407" s="4">
        <v>0</v>
      </c>
      <c r="AG407" s="4">
        <v>0</v>
      </c>
      <c r="AH407" s="4">
        <v>0</v>
      </c>
      <c r="AI407" s="4">
        <v>0</v>
      </c>
      <c r="AJ407" s="4">
        <v>0</v>
      </c>
      <c r="AK407" s="4">
        <v>0</v>
      </c>
      <c r="AL407" s="4">
        <v>1</v>
      </c>
      <c r="AM407" s="4">
        <v>1</v>
      </c>
      <c r="AN407" s="4">
        <v>0</v>
      </c>
      <c r="AO407" s="4">
        <v>0</v>
      </c>
      <c r="AP407" s="3" t="s">
        <v>58</v>
      </c>
      <c r="AQ407" s="3" t="s">
        <v>58</v>
      </c>
      <c r="AS407" s="6" t="str">
        <f>HYPERLINK("https://creighton-primo.hosted.exlibrisgroup.com/primo-explore/search?tab=default_tab&amp;search_scope=EVERYTHING&amp;vid=01CRU&amp;lang=en_US&amp;offset=0&amp;query=any,contains,991001281079702656","Catalog Record")</f>
        <v>Catalog Record</v>
      </c>
      <c r="AT407" s="6" t="str">
        <f>HYPERLINK("http://www.worldcat.org/oclc/18292316","WorldCat Record")</f>
        <v>WorldCat Record</v>
      </c>
      <c r="AU407" s="3" t="s">
        <v>5012</v>
      </c>
      <c r="AV407" s="3" t="s">
        <v>5013</v>
      </c>
      <c r="AW407" s="3" t="s">
        <v>5014</v>
      </c>
      <c r="AX407" s="3" t="s">
        <v>5014</v>
      </c>
      <c r="AY407" s="3" t="s">
        <v>5015</v>
      </c>
      <c r="AZ407" s="3" t="s">
        <v>73</v>
      </c>
      <c r="BB407" s="3" t="s">
        <v>5016</v>
      </c>
      <c r="BC407" s="3" t="s">
        <v>5017</v>
      </c>
      <c r="BD407" s="3" t="s">
        <v>5018</v>
      </c>
    </row>
    <row r="408" spans="1:56" ht="40.5" customHeight="1" x14ac:dyDescent="0.25">
      <c r="A408" s="7" t="s">
        <v>58</v>
      </c>
      <c r="B408" s="2" t="s">
        <v>5019</v>
      </c>
      <c r="C408" s="2" t="s">
        <v>5020</v>
      </c>
      <c r="D408" s="2" t="s">
        <v>5021</v>
      </c>
      <c r="F408" s="3" t="s">
        <v>58</v>
      </c>
      <c r="G408" s="3" t="s">
        <v>59</v>
      </c>
      <c r="H408" s="3" t="s">
        <v>58</v>
      </c>
      <c r="I408" s="3" t="s">
        <v>85</v>
      </c>
      <c r="J408" s="3" t="s">
        <v>60</v>
      </c>
      <c r="L408" s="2" t="s">
        <v>5022</v>
      </c>
      <c r="M408" s="3" t="s">
        <v>1267</v>
      </c>
      <c r="N408" s="2" t="s">
        <v>198</v>
      </c>
      <c r="O408" s="3" t="s">
        <v>64</v>
      </c>
      <c r="P408" s="3" t="s">
        <v>319</v>
      </c>
      <c r="R408" s="3" t="s">
        <v>66</v>
      </c>
      <c r="S408" s="4">
        <v>0</v>
      </c>
      <c r="T408" s="4">
        <v>0</v>
      </c>
      <c r="U408" s="5" t="s">
        <v>779</v>
      </c>
      <c r="V408" s="5" t="s">
        <v>779</v>
      </c>
      <c r="W408" s="5" t="s">
        <v>5023</v>
      </c>
      <c r="X408" s="5" t="s">
        <v>5023</v>
      </c>
      <c r="Y408" s="4">
        <v>272</v>
      </c>
      <c r="Z408" s="4">
        <v>226</v>
      </c>
      <c r="AA408" s="4">
        <v>678</v>
      </c>
      <c r="AB408" s="4">
        <v>2</v>
      </c>
      <c r="AC408" s="4">
        <v>4</v>
      </c>
      <c r="AD408" s="4">
        <v>6</v>
      </c>
      <c r="AE408" s="4">
        <v>22</v>
      </c>
      <c r="AF408" s="4">
        <v>0</v>
      </c>
      <c r="AG408" s="4">
        <v>8</v>
      </c>
      <c r="AH408" s="4">
        <v>2</v>
      </c>
      <c r="AI408" s="4">
        <v>5</v>
      </c>
      <c r="AJ408" s="4">
        <v>4</v>
      </c>
      <c r="AK408" s="4">
        <v>9</v>
      </c>
      <c r="AL408" s="4">
        <v>1</v>
      </c>
      <c r="AM408" s="4">
        <v>3</v>
      </c>
      <c r="AN408" s="4">
        <v>0</v>
      </c>
      <c r="AO408" s="4">
        <v>0</v>
      </c>
      <c r="AP408" s="3" t="s">
        <v>58</v>
      </c>
      <c r="AQ408" s="3" t="s">
        <v>85</v>
      </c>
      <c r="AR408" s="6" t="str">
        <f>HYPERLINK("http://catalog.hathitrust.org/Record/004035560","HathiTrust Record")</f>
        <v>HathiTrust Record</v>
      </c>
      <c r="AS408" s="6" t="str">
        <f>HYPERLINK("https://creighton-primo.hosted.exlibrisgroup.com/primo-explore/search?tab=default_tab&amp;search_scope=EVERYTHING&amp;vid=01CRU&amp;lang=en_US&amp;offset=0&amp;query=any,contains,991000318389702656","Catalog Record")</f>
        <v>Catalog Record</v>
      </c>
      <c r="AT408" s="6" t="str">
        <f>HYPERLINK("http://www.worldcat.org/oclc/40939934","WorldCat Record")</f>
        <v>WorldCat Record</v>
      </c>
      <c r="AU408" s="3" t="s">
        <v>5024</v>
      </c>
      <c r="AV408" s="3" t="s">
        <v>5025</v>
      </c>
      <c r="AW408" s="3" t="s">
        <v>5026</v>
      </c>
      <c r="AX408" s="3" t="s">
        <v>5026</v>
      </c>
      <c r="AY408" s="3" t="s">
        <v>5027</v>
      </c>
      <c r="AZ408" s="3" t="s">
        <v>73</v>
      </c>
      <c r="BB408" s="3" t="s">
        <v>5028</v>
      </c>
      <c r="BC408" s="3" t="s">
        <v>5029</v>
      </c>
      <c r="BD408" s="3" t="s">
        <v>5030</v>
      </c>
    </row>
    <row r="409" spans="1:56" ht="40.5" customHeight="1" x14ac:dyDescent="0.25">
      <c r="A409" s="7" t="s">
        <v>58</v>
      </c>
      <c r="B409" s="2" t="s">
        <v>5031</v>
      </c>
      <c r="C409" s="2" t="s">
        <v>5032</v>
      </c>
      <c r="D409" s="2" t="s">
        <v>5033</v>
      </c>
      <c r="F409" s="3" t="s">
        <v>58</v>
      </c>
      <c r="G409" s="3" t="s">
        <v>59</v>
      </c>
      <c r="H409" s="3" t="s">
        <v>58</v>
      </c>
      <c r="I409" s="3" t="s">
        <v>58</v>
      </c>
      <c r="J409" s="3" t="s">
        <v>60</v>
      </c>
      <c r="K409" s="2" t="s">
        <v>5034</v>
      </c>
      <c r="L409" s="2" t="s">
        <v>5035</v>
      </c>
      <c r="M409" s="3" t="s">
        <v>726</v>
      </c>
      <c r="N409" s="2" t="s">
        <v>2273</v>
      </c>
      <c r="O409" s="3" t="s">
        <v>64</v>
      </c>
      <c r="P409" s="3" t="s">
        <v>65</v>
      </c>
      <c r="R409" s="3" t="s">
        <v>66</v>
      </c>
      <c r="S409" s="4">
        <v>13</v>
      </c>
      <c r="T409" s="4">
        <v>13</v>
      </c>
      <c r="U409" s="5" t="s">
        <v>5036</v>
      </c>
      <c r="V409" s="5" t="s">
        <v>5036</v>
      </c>
      <c r="W409" s="5" t="s">
        <v>5037</v>
      </c>
      <c r="X409" s="5" t="s">
        <v>5037</v>
      </c>
      <c r="Y409" s="4">
        <v>539</v>
      </c>
      <c r="Z409" s="4">
        <v>520</v>
      </c>
      <c r="AA409" s="4">
        <v>702</v>
      </c>
      <c r="AB409" s="4">
        <v>6</v>
      </c>
      <c r="AC409" s="4">
        <v>7</v>
      </c>
      <c r="AD409" s="4">
        <v>10</v>
      </c>
      <c r="AE409" s="4">
        <v>12</v>
      </c>
      <c r="AF409" s="4">
        <v>2</v>
      </c>
      <c r="AG409" s="4">
        <v>3</v>
      </c>
      <c r="AH409" s="4">
        <v>2</v>
      </c>
      <c r="AI409" s="4">
        <v>2</v>
      </c>
      <c r="AJ409" s="4">
        <v>2</v>
      </c>
      <c r="AK409" s="4">
        <v>4</v>
      </c>
      <c r="AL409" s="4">
        <v>4</v>
      </c>
      <c r="AM409" s="4">
        <v>4</v>
      </c>
      <c r="AN409" s="4">
        <v>0</v>
      </c>
      <c r="AO409" s="4">
        <v>0</v>
      </c>
      <c r="AP409" s="3" t="s">
        <v>58</v>
      </c>
      <c r="AQ409" s="3" t="s">
        <v>58</v>
      </c>
      <c r="AS409" s="6" t="str">
        <f>HYPERLINK("https://creighton-primo.hosted.exlibrisgroup.com/primo-explore/search?tab=default_tab&amp;search_scope=EVERYTHING&amp;vid=01CRU&amp;lang=en_US&amp;offset=0&amp;query=any,contains,991001031479702656","Catalog Record")</f>
        <v>Catalog Record</v>
      </c>
      <c r="AT409" s="6" t="str">
        <f>HYPERLINK("http://www.worldcat.org/oclc/21043110","WorldCat Record")</f>
        <v>WorldCat Record</v>
      </c>
      <c r="AU409" s="3" t="s">
        <v>5038</v>
      </c>
      <c r="AV409" s="3" t="s">
        <v>5039</v>
      </c>
      <c r="AW409" s="3" t="s">
        <v>5040</v>
      </c>
      <c r="AX409" s="3" t="s">
        <v>5040</v>
      </c>
      <c r="AY409" s="3" t="s">
        <v>5041</v>
      </c>
      <c r="AZ409" s="3" t="s">
        <v>73</v>
      </c>
      <c r="BB409" s="3" t="s">
        <v>5042</v>
      </c>
      <c r="BC409" s="3" t="s">
        <v>5043</v>
      </c>
      <c r="BD409" s="3" t="s">
        <v>5044</v>
      </c>
    </row>
    <row r="410" spans="1:56" ht="40.5" customHeight="1" x14ac:dyDescent="0.25">
      <c r="A410" s="7" t="s">
        <v>58</v>
      </c>
      <c r="B410" s="2" t="s">
        <v>5045</v>
      </c>
      <c r="C410" s="2" t="s">
        <v>5046</v>
      </c>
      <c r="D410" s="2" t="s">
        <v>5047</v>
      </c>
      <c r="F410" s="3" t="s">
        <v>58</v>
      </c>
      <c r="G410" s="3" t="s">
        <v>59</v>
      </c>
      <c r="H410" s="3" t="s">
        <v>58</v>
      </c>
      <c r="I410" s="3" t="s">
        <v>85</v>
      </c>
      <c r="J410" s="3" t="s">
        <v>60</v>
      </c>
      <c r="K410" s="2" t="s">
        <v>5048</v>
      </c>
      <c r="L410" s="2" t="s">
        <v>5049</v>
      </c>
      <c r="M410" s="3" t="s">
        <v>182</v>
      </c>
      <c r="N410" s="2" t="s">
        <v>198</v>
      </c>
      <c r="O410" s="3" t="s">
        <v>64</v>
      </c>
      <c r="P410" s="3" t="s">
        <v>65</v>
      </c>
      <c r="R410" s="3" t="s">
        <v>66</v>
      </c>
      <c r="S410" s="4">
        <v>11</v>
      </c>
      <c r="T410" s="4">
        <v>11</v>
      </c>
      <c r="U410" s="5" t="s">
        <v>5050</v>
      </c>
      <c r="V410" s="5" t="s">
        <v>5050</v>
      </c>
      <c r="W410" s="5" t="s">
        <v>5051</v>
      </c>
      <c r="X410" s="5" t="s">
        <v>5051</v>
      </c>
      <c r="Y410" s="4">
        <v>194</v>
      </c>
      <c r="Z410" s="4">
        <v>148</v>
      </c>
      <c r="AA410" s="4">
        <v>248</v>
      </c>
      <c r="AB410" s="4">
        <v>1</v>
      </c>
      <c r="AC410" s="4">
        <v>2</v>
      </c>
      <c r="AD410" s="4">
        <v>5</v>
      </c>
      <c r="AE410" s="4">
        <v>8</v>
      </c>
      <c r="AF410" s="4">
        <v>1</v>
      </c>
      <c r="AG410" s="4">
        <v>1</v>
      </c>
      <c r="AH410" s="4">
        <v>1</v>
      </c>
      <c r="AI410" s="4">
        <v>1</v>
      </c>
      <c r="AJ410" s="4">
        <v>3</v>
      </c>
      <c r="AK410" s="4">
        <v>5</v>
      </c>
      <c r="AL410" s="4">
        <v>0</v>
      </c>
      <c r="AM410" s="4">
        <v>1</v>
      </c>
      <c r="AN410" s="4">
        <v>0</v>
      </c>
      <c r="AO410" s="4">
        <v>0</v>
      </c>
      <c r="AP410" s="3" t="s">
        <v>58</v>
      </c>
      <c r="AQ410" s="3" t="s">
        <v>85</v>
      </c>
      <c r="AR410" s="6" t="str">
        <f>HYPERLINK("http://catalog.hathitrust.org/Record/000815981","HathiTrust Record")</f>
        <v>HathiTrust Record</v>
      </c>
      <c r="AS410" s="6" t="str">
        <f>HYPERLINK("https://creighton-primo.hosted.exlibrisgroup.com/primo-explore/search?tab=default_tab&amp;search_scope=EVERYTHING&amp;vid=01CRU&amp;lang=en_US&amp;offset=0&amp;query=any,contains,991000763049702656","Catalog Record")</f>
        <v>Catalog Record</v>
      </c>
      <c r="AT410" s="6" t="str">
        <f>HYPERLINK("http://www.worldcat.org/oclc/14241292","WorldCat Record")</f>
        <v>WorldCat Record</v>
      </c>
      <c r="AU410" s="3" t="s">
        <v>5052</v>
      </c>
      <c r="AV410" s="3" t="s">
        <v>5053</v>
      </c>
      <c r="AW410" s="3" t="s">
        <v>5054</v>
      </c>
      <c r="AX410" s="3" t="s">
        <v>5054</v>
      </c>
      <c r="AY410" s="3" t="s">
        <v>5055</v>
      </c>
      <c r="AZ410" s="3" t="s">
        <v>73</v>
      </c>
      <c r="BB410" s="3" t="s">
        <v>5056</v>
      </c>
      <c r="BC410" s="3" t="s">
        <v>5057</v>
      </c>
      <c r="BD410" s="3" t="s">
        <v>5058</v>
      </c>
    </row>
    <row r="411" spans="1:56" ht="40.5" customHeight="1" x14ac:dyDescent="0.25">
      <c r="A411" s="7" t="s">
        <v>58</v>
      </c>
      <c r="B411" s="2" t="s">
        <v>5059</v>
      </c>
      <c r="C411" s="2" t="s">
        <v>5060</v>
      </c>
      <c r="D411" s="2" t="s">
        <v>5061</v>
      </c>
      <c r="F411" s="3" t="s">
        <v>58</v>
      </c>
      <c r="G411" s="3" t="s">
        <v>59</v>
      </c>
      <c r="H411" s="3" t="s">
        <v>58</v>
      </c>
      <c r="I411" s="3" t="s">
        <v>85</v>
      </c>
      <c r="J411" s="3" t="s">
        <v>60</v>
      </c>
      <c r="K411" s="2" t="s">
        <v>5062</v>
      </c>
      <c r="L411" s="2" t="s">
        <v>5063</v>
      </c>
      <c r="M411" s="3" t="s">
        <v>197</v>
      </c>
      <c r="N411" s="2" t="s">
        <v>5064</v>
      </c>
      <c r="O411" s="3" t="s">
        <v>64</v>
      </c>
      <c r="P411" s="3" t="s">
        <v>4964</v>
      </c>
      <c r="R411" s="3" t="s">
        <v>66</v>
      </c>
      <c r="S411" s="4">
        <v>47</v>
      </c>
      <c r="T411" s="4">
        <v>47</v>
      </c>
      <c r="U411" s="5" t="s">
        <v>5065</v>
      </c>
      <c r="V411" s="5" t="s">
        <v>5065</v>
      </c>
      <c r="W411" s="5" t="s">
        <v>5066</v>
      </c>
      <c r="X411" s="5" t="s">
        <v>5066</v>
      </c>
      <c r="Y411" s="4">
        <v>189</v>
      </c>
      <c r="Z411" s="4">
        <v>150</v>
      </c>
      <c r="AA411" s="4">
        <v>1134</v>
      </c>
      <c r="AB411" s="4">
        <v>3</v>
      </c>
      <c r="AC411" s="4">
        <v>8</v>
      </c>
      <c r="AD411" s="4">
        <v>3</v>
      </c>
      <c r="AE411" s="4">
        <v>28</v>
      </c>
      <c r="AF411" s="4">
        <v>1</v>
      </c>
      <c r="AG411" s="4">
        <v>10</v>
      </c>
      <c r="AH411" s="4">
        <v>0</v>
      </c>
      <c r="AI411" s="4">
        <v>7</v>
      </c>
      <c r="AJ411" s="4">
        <v>1</v>
      </c>
      <c r="AK411" s="4">
        <v>14</v>
      </c>
      <c r="AL411" s="4">
        <v>1</v>
      </c>
      <c r="AM411" s="4">
        <v>5</v>
      </c>
      <c r="AN411" s="4">
        <v>0</v>
      </c>
      <c r="AO411" s="4">
        <v>0</v>
      </c>
      <c r="AP411" s="3" t="s">
        <v>58</v>
      </c>
      <c r="AQ411" s="3" t="s">
        <v>58</v>
      </c>
      <c r="AS411" s="6" t="str">
        <f>HYPERLINK("https://creighton-primo.hosted.exlibrisgroup.com/primo-explore/search?tab=default_tab&amp;search_scope=EVERYTHING&amp;vid=01CRU&amp;lang=en_US&amp;offset=0&amp;query=any,contains,991001107719702656","Catalog Record")</f>
        <v>Catalog Record</v>
      </c>
      <c r="AT411" s="6" t="str">
        <f>HYPERLINK("http://www.worldcat.org/oclc/17299152","WorldCat Record")</f>
        <v>WorldCat Record</v>
      </c>
      <c r="AU411" s="3" t="s">
        <v>5067</v>
      </c>
      <c r="AV411" s="3" t="s">
        <v>5068</v>
      </c>
      <c r="AW411" s="3" t="s">
        <v>5069</v>
      </c>
      <c r="AX411" s="3" t="s">
        <v>5069</v>
      </c>
      <c r="AY411" s="3" t="s">
        <v>5070</v>
      </c>
      <c r="AZ411" s="3" t="s">
        <v>73</v>
      </c>
      <c r="BB411" s="3" t="s">
        <v>5071</v>
      </c>
      <c r="BC411" s="3" t="s">
        <v>5072</v>
      </c>
      <c r="BD411" s="3" t="s">
        <v>5073</v>
      </c>
    </row>
    <row r="412" spans="1:56" ht="40.5" customHeight="1" x14ac:dyDescent="0.25">
      <c r="A412" s="7" t="s">
        <v>58</v>
      </c>
      <c r="B412" s="2" t="s">
        <v>5074</v>
      </c>
      <c r="C412" s="2" t="s">
        <v>5075</v>
      </c>
      <c r="D412" s="2" t="s">
        <v>5076</v>
      </c>
      <c r="F412" s="3" t="s">
        <v>58</v>
      </c>
      <c r="G412" s="3" t="s">
        <v>59</v>
      </c>
      <c r="H412" s="3" t="s">
        <v>58</v>
      </c>
      <c r="I412" s="3" t="s">
        <v>58</v>
      </c>
      <c r="J412" s="3" t="s">
        <v>60</v>
      </c>
      <c r="K412" s="2" t="s">
        <v>5077</v>
      </c>
      <c r="L412" s="2" t="s">
        <v>5078</v>
      </c>
      <c r="M412" s="3" t="s">
        <v>197</v>
      </c>
      <c r="O412" s="3" t="s">
        <v>64</v>
      </c>
      <c r="P412" s="3" t="s">
        <v>350</v>
      </c>
      <c r="R412" s="3" t="s">
        <v>66</v>
      </c>
      <c r="S412" s="4">
        <v>10</v>
      </c>
      <c r="T412" s="4">
        <v>10</v>
      </c>
      <c r="U412" s="5" t="s">
        <v>5079</v>
      </c>
      <c r="V412" s="5" t="s">
        <v>5079</v>
      </c>
      <c r="W412" s="5" t="s">
        <v>5080</v>
      </c>
      <c r="X412" s="5" t="s">
        <v>5080</v>
      </c>
      <c r="Y412" s="4">
        <v>141</v>
      </c>
      <c r="Z412" s="4">
        <v>111</v>
      </c>
      <c r="AA412" s="4">
        <v>118</v>
      </c>
      <c r="AB412" s="4">
        <v>3</v>
      </c>
      <c r="AC412" s="4">
        <v>3</v>
      </c>
      <c r="AD412" s="4">
        <v>4</v>
      </c>
      <c r="AE412" s="4">
        <v>4</v>
      </c>
      <c r="AF412" s="4">
        <v>1</v>
      </c>
      <c r="AG412" s="4">
        <v>1</v>
      </c>
      <c r="AH412" s="4">
        <v>0</v>
      </c>
      <c r="AI412" s="4">
        <v>0</v>
      </c>
      <c r="AJ412" s="4">
        <v>1</v>
      </c>
      <c r="AK412" s="4">
        <v>1</v>
      </c>
      <c r="AL412" s="4">
        <v>2</v>
      </c>
      <c r="AM412" s="4">
        <v>2</v>
      </c>
      <c r="AN412" s="4">
        <v>0</v>
      </c>
      <c r="AO412" s="4">
        <v>0</v>
      </c>
      <c r="AP412" s="3" t="s">
        <v>58</v>
      </c>
      <c r="AQ412" s="3" t="s">
        <v>85</v>
      </c>
      <c r="AR412" s="6" t="str">
        <f>HYPERLINK("http://catalog.hathitrust.org/Record/004386446","HathiTrust Record")</f>
        <v>HathiTrust Record</v>
      </c>
      <c r="AS412" s="6" t="str">
        <f>HYPERLINK("https://creighton-primo.hosted.exlibrisgroup.com/primo-explore/search?tab=default_tab&amp;search_scope=EVERYTHING&amp;vid=01CRU&amp;lang=en_US&amp;offset=0&amp;query=any,contains,991001245959702656","Catalog Record")</f>
        <v>Catalog Record</v>
      </c>
      <c r="AT412" s="6" t="str">
        <f>HYPERLINK("http://www.worldcat.org/oclc/16682120","WorldCat Record")</f>
        <v>WorldCat Record</v>
      </c>
      <c r="AU412" s="3" t="s">
        <v>5081</v>
      </c>
      <c r="AV412" s="3" t="s">
        <v>5082</v>
      </c>
      <c r="AW412" s="3" t="s">
        <v>5083</v>
      </c>
      <c r="AX412" s="3" t="s">
        <v>5083</v>
      </c>
      <c r="AY412" s="3" t="s">
        <v>5084</v>
      </c>
      <c r="AZ412" s="3" t="s">
        <v>73</v>
      </c>
      <c r="BB412" s="3" t="s">
        <v>5085</v>
      </c>
      <c r="BC412" s="3" t="s">
        <v>5086</v>
      </c>
      <c r="BD412" s="3" t="s">
        <v>5087</v>
      </c>
    </row>
    <row r="413" spans="1:56" ht="40.5" customHeight="1" x14ac:dyDescent="0.25">
      <c r="A413" s="7" t="s">
        <v>58</v>
      </c>
      <c r="B413" s="2" t="s">
        <v>5088</v>
      </c>
      <c r="C413" s="2" t="s">
        <v>5089</v>
      </c>
      <c r="D413" s="2" t="s">
        <v>5090</v>
      </c>
      <c r="F413" s="3" t="s">
        <v>58</v>
      </c>
      <c r="G413" s="3" t="s">
        <v>59</v>
      </c>
      <c r="H413" s="3" t="s">
        <v>58</v>
      </c>
      <c r="I413" s="3" t="s">
        <v>58</v>
      </c>
      <c r="J413" s="3" t="s">
        <v>60</v>
      </c>
      <c r="K413" s="2" t="s">
        <v>5091</v>
      </c>
      <c r="L413" s="2" t="s">
        <v>5092</v>
      </c>
      <c r="M413" s="3" t="s">
        <v>5093</v>
      </c>
      <c r="O413" s="3" t="s">
        <v>64</v>
      </c>
      <c r="P413" s="3" t="s">
        <v>674</v>
      </c>
      <c r="R413" s="3" t="s">
        <v>66</v>
      </c>
      <c r="S413" s="4">
        <v>2</v>
      </c>
      <c r="T413" s="4">
        <v>2</v>
      </c>
      <c r="U413" s="5" t="s">
        <v>5094</v>
      </c>
      <c r="V413" s="5" t="s">
        <v>5094</v>
      </c>
      <c r="W413" s="5" t="s">
        <v>4343</v>
      </c>
      <c r="X413" s="5" t="s">
        <v>4343</v>
      </c>
      <c r="Y413" s="4">
        <v>25</v>
      </c>
      <c r="Z413" s="4">
        <v>23</v>
      </c>
      <c r="AA413" s="4">
        <v>111</v>
      </c>
      <c r="AB413" s="4">
        <v>1</v>
      </c>
      <c r="AC413" s="4">
        <v>2</v>
      </c>
      <c r="AD413" s="4">
        <v>1</v>
      </c>
      <c r="AE413" s="4">
        <v>3</v>
      </c>
      <c r="AF413" s="4">
        <v>0</v>
      </c>
      <c r="AG413" s="4">
        <v>0</v>
      </c>
      <c r="AH413" s="4">
        <v>0</v>
      </c>
      <c r="AI413" s="4">
        <v>0</v>
      </c>
      <c r="AJ413" s="4">
        <v>1</v>
      </c>
      <c r="AK413" s="4">
        <v>2</v>
      </c>
      <c r="AL413" s="4">
        <v>0</v>
      </c>
      <c r="AM413" s="4">
        <v>1</v>
      </c>
      <c r="AN413" s="4">
        <v>0</v>
      </c>
      <c r="AO413" s="4">
        <v>0</v>
      </c>
      <c r="AP413" s="3" t="s">
        <v>85</v>
      </c>
      <c r="AQ413" s="3" t="s">
        <v>58</v>
      </c>
      <c r="AR413" s="6" t="str">
        <f>HYPERLINK("http://catalog.hathitrust.org/Record/005078686","HathiTrust Record")</f>
        <v>HathiTrust Record</v>
      </c>
      <c r="AS413" s="6" t="str">
        <f>HYPERLINK("https://creighton-primo.hosted.exlibrisgroup.com/primo-explore/search?tab=default_tab&amp;search_scope=EVERYTHING&amp;vid=01CRU&amp;lang=en_US&amp;offset=0&amp;query=any,contains,991000906509702656","Catalog Record")</f>
        <v>Catalog Record</v>
      </c>
      <c r="AT413" s="6" t="str">
        <f>HYPERLINK("http://www.worldcat.org/oclc/3231651","WorldCat Record")</f>
        <v>WorldCat Record</v>
      </c>
      <c r="AU413" s="3" t="s">
        <v>5095</v>
      </c>
      <c r="AV413" s="3" t="s">
        <v>5096</v>
      </c>
      <c r="AW413" s="3" t="s">
        <v>5097</v>
      </c>
      <c r="AX413" s="3" t="s">
        <v>5097</v>
      </c>
      <c r="AY413" s="3" t="s">
        <v>5098</v>
      </c>
      <c r="AZ413" s="3" t="s">
        <v>73</v>
      </c>
      <c r="BC413" s="3" t="s">
        <v>5099</v>
      </c>
      <c r="BD413" s="3" t="s">
        <v>5100</v>
      </c>
    </row>
    <row r="414" spans="1:56" ht="40.5" customHeight="1" x14ac:dyDescent="0.25">
      <c r="A414" s="7" t="s">
        <v>58</v>
      </c>
      <c r="B414" s="2" t="s">
        <v>5101</v>
      </c>
      <c r="C414" s="2" t="s">
        <v>5102</v>
      </c>
      <c r="D414" s="2" t="s">
        <v>5103</v>
      </c>
      <c r="F414" s="3" t="s">
        <v>58</v>
      </c>
      <c r="G414" s="3" t="s">
        <v>59</v>
      </c>
      <c r="H414" s="3" t="s">
        <v>58</v>
      </c>
      <c r="I414" s="3" t="s">
        <v>58</v>
      </c>
      <c r="J414" s="3" t="s">
        <v>60</v>
      </c>
      <c r="K414" s="2" t="s">
        <v>5104</v>
      </c>
      <c r="L414" s="2" t="s">
        <v>5105</v>
      </c>
      <c r="M414" s="3" t="s">
        <v>63</v>
      </c>
      <c r="N414" s="2" t="s">
        <v>198</v>
      </c>
      <c r="O414" s="3" t="s">
        <v>64</v>
      </c>
      <c r="P414" s="3" t="s">
        <v>65</v>
      </c>
      <c r="R414" s="3" t="s">
        <v>66</v>
      </c>
      <c r="S414" s="4">
        <v>8</v>
      </c>
      <c r="T414" s="4">
        <v>8</v>
      </c>
      <c r="U414" s="5" t="s">
        <v>4979</v>
      </c>
      <c r="V414" s="5" t="s">
        <v>4979</v>
      </c>
      <c r="W414" s="5" t="s">
        <v>215</v>
      </c>
      <c r="X414" s="5" t="s">
        <v>215</v>
      </c>
      <c r="Y414" s="4">
        <v>246</v>
      </c>
      <c r="Z414" s="4">
        <v>201</v>
      </c>
      <c r="AA414" s="4">
        <v>315</v>
      </c>
      <c r="AB414" s="4">
        <v>2</v>
      </c>
      <c r="AC414" s="4">
        <v>2</v>
      </c>
      <c r="AD414" s="4">
        <v>8</v>
      </c>
      <c r="AE414" s="4">
        <v>10</v>
      </c>
      <c r="AF414" s="4">
        <v>4</v>
      </c>
      <c r="AG414" s="4">
        <v>6</v>
      </c>
      <c r="AH414" s="4">
        <v>1</v>
      </c>
      <c r="AI414" s="4">
        <v>1</v>
      </c>
      <c r="AJ414" s="4">
        <v>5</v>
      </c>
      <c r="AK414" s="4">
        <v>5</v>
      </c>
      <c r="AL414" s="4">
        <v>1</v>
      </c>
      <c r="AM414" s="4">
        <v>1</v>
      </c>
      <c r="AN414" s="4">
        <v>0</v>
      </c>
      <c r="AO414" s="4">
        <v>0</v>
      </c>
      <c r="AP414" s="3" t="s">
        <v>58</v>
      </c>
      <c r="AQ414" s="3" t="s">
        <v>58</v>
      </c>
      <c r="AS414" s="6" t="str">
        <f>HYPERLINK("https://creighton-primo.hosted.exlibrisgroup.com/primo-explore/search?tab=default_tab&amp;search_scope=EVERYTHING&amp;vid=01CRU&amp;lang=en_US&amp;offset=0&amp;query=any,contains,991000493399702656","Catalog Record")</f>
        <v>Catalog Record</v>
      </c>
      <c r="AT414" s="6" t="str">
        <f>HYPERLINK("http://www.worldcat.org/oclc/7615485","WorldCat Record")</f>
        <v>WorldCat Record</v>
      </c>
      <c r="AU414" s="3" t="s">
        <v>5106</v>
      </c>
      <c r="AV414" s="3" t="s">
        <v>5107</v>
      </c>
      <c r="AW414" s="3" t="s">
        <v>5108</v>
      </c>
      <c r="AX414" s="3" t="s">
        <v>5108</v>
      </c>
      <c r="AY414" s="3" t="s">
        <v>5109</v>
      </c>
      <c r="AZ414" s="3" t="s">
        <v>73</v>
      </c>
      <c r="BB414" s="3" t="s">
        <v>5110</v>
      </c>
      <c r="BC414" s="3" t="s">
        <v>5111</v>
      </c>
      <c r="BD414" s="3" t="s">
        <v>5112</v>
      </c>
    </row>
    <row r="415" spans="1:56" ht="40.5" customHeight="1" x14ac:dyDescent="0.25">
      <c r="A415" s="7" t="s">
        <v>58</v>
      </c>
      <c r="B415" s="2" t="s">
        <v>5113</v>
      </c>
      <c r="C415" s="2" t="s">
        <v>5114</v>
      </c>
      <c r="D415" s="2" t="s">
        <v>5115</v>
      </c>
      <c r="E415" s="3" t="s">
        <v>96</v>
      </c>
      <c r="F415" s="3" t="s">
        <v>58</v>
      </c>
      <c r="G415" s="3" t="s">
        <v>59</v>
      </c>
      <c r="H415" s="3" t="s">
        <v>58</v>
      </c>
      <c r="I415" s="3" t="s">
        <v>58</v>
      </c>
      <c r="J415" s="3" t="s">
        <v>60</v>
      </c>
      <c r="L415" s="2" t="s">
        <v>4161</v>
      </c>
      <c r="M415" s="3" t="s">
        <v>229</v>
      </c>
      <c r="O415" s="3" t="s">
        <v>64</v>
      </c>
      <c r="P415" s="3" t="s">
        <v>117</v>
      </c>
      <c r="Q415" s="2" t="s">
        <v>5116</v>
      </c>
      <c r="R415" s="3" t="s">
        <v>66</v>
      </c>
      <c r="S415" s="4">
        <v>3</v>
      </c>
      <c r="T415" s="4">
        <v>3</v>
      </c>
      <c r="U415" s="5" t="s">
        <v>2598</v>
      </c>
      <c r="V415" s="5" t="s">
        <v>2598</v>
      </c>
      <c r="W415" s="5" t="s">
        <v>5117</v>
      </c>
      <c r="X415" s="5" t="s">
        <v>5117</v>
      </c>
      <c r="Y415" s="4">
        <v>388</v>
      </c>
      <c r="Z415" s="4">
        <v>292</v>
      </c>
      <c r="AA415" s="4">
        <v>294</v>
      </c>
      <c r="AB415" s="4">
        <v>1</v>
      </c>
      <c r="AC415" s="4">
        <v>1</v>
      </c>
      <c r="AD415" s="4">
        <v>10</v>
      </c>
      <c r="AE415" s="4">
        <v>10</v>
      </c>
      <c r="AF415" s="4">
        <v>4</v>
      </c>
      <c r="AG415" s="4">
        <v>4</v>
      </c>
      <c r="AH415" s="4">
        <v>2</v>
      </c>
      <c r="AI415" s="4">
        <v>2</v>
      </c>
      <c r="AJ415" s="4">
        <v>7</v>
      </c>
      <c r="AK415" s="4">
        <v>7</v>
      </c>
      <c r="AL415" s="4">
        <v>0</v>
      </c>
      <c r="AM415" s="4">
        <v>0</v>
      </c>
      <c r="AN415" s="4">
        <v>0</v>
      </c>
      <c r="AO415" s="4">
        <v>0</v>
      </c>
      <c r="AP415" s="3" t="s">
        <v>58</v>
      </c>
      <c r="AQ415" s="3" t="s">
        <v>85</v>
      </c>
      <c r="AR415" s="6" t="str">
        <f>HYPERLINK("http://catalog.hathitrust.org/Record/000708131","HathiTrust Record")</f>
        <v>HathiTrust Record</v>
      </c>
      <c r="AS415" s="6" t="str">
        <f>HYPERLINK("https://creighton-primo.hosted.exlibrisgroup.com/primo-explore/search?tab=default_tab&amp;search_scope=EVERYTHING&amp;vid=01CRU&amp;lang=en_US&amp;offset=0&amp;query=any,contains,991000906789702656","Catalog Record")</f>
        <v>Catalog Record</v>
      </c>
      <c r="AT415" s="6" t="str">
        <f>HYPERLINK("http://www.worldcat.org/oclc/4515905","WorldCat Record")</f>
        <v>WorldCat Record</v>
      </c>
      <c r="AU415" s="3" t="s">
        <v>5118</v>
      </c>
      <c r="AV415" s="3" t="s">
        <v>5119</v>
      </c>
      <c r="AW415" s="3" t="s">
        <v>5120</v>
      </c>
      <c r="AX415" s="3" t="s">
        <v>5120</v>
      </c>
      <c r="AY415" s="3" t="s">
        <v>5121</v>
      </c>
      <c r="AZ415" s="3" t="s">
        <v>73</v>
      </c>
      <c r="BB415" s="3" t="s">
        <v>5122</v>
      </c>
      <c r="BC415" s="3" t="s">
        <v>5123</v>
      </c>
      <c r="BD415" s="3" t="s">
        <v>5124</v>
      </c>
    </row>
    <row r="416" spans="1:56" ht="40.5" customHeight="1" x14ac:dyDescent="0.25">
      <c r="A416" s="7" t="s">
        <v>58</v>
      </c>
      <c r="B416" s="2" t="s">
        <v>5125</v>
      </c>
      <c r="C416" s="2" t="s">
        <v>5126</v>
      </c>
      <c r="D416" s="2" t="s">
        <v>5127</v>
      </c>
      <c r="E416" s="3" t="s">
        <v>1707</v>
      </c>
      <c r="F416" s="3" t="s">
        <v>58</v>
      </c>
      <c r="G416" s="3" t="s">
        <v>59</v>
      </c>
      <c r="H416" s="3" t="s">
        <v>58</v>
      </c>
      <c r="I416" s="3" t="s">
        <v>58</v>
      </c>
      <c r="J416" s="3" t="s">
        <v>60</v>
      </c>
      <c r="L416" s="2" t="s">
        <v>4161</v>
      </c>
      <c r="M416" s="3" t="s">
        <v>229</v>
      </c>
      <c r="O416" s="3" t="s">
        <v>64</v>
      </c>
      <c r="P416" s="3" t="s">
        <v>117</v>
      </c>
      <c r="Q416" s="2" t="s">
        <v>5128</v>
      </c>
      <c r="R416" s="3" t="s">
        <v>66</v>
      </c>
      <c r="S416" s="4">
        <v>3</v>
      </c>
      <c r="T416" s="4">
        <v>3</v>
      </c>
      <c r="U416" s="5" t="s">
        <v>5129</v>
      </c>
      <c r="V416" s="5" t="s">
        <v>5129</v>
      </c>
      <c r="W416" s="5" t="s">
        <v>5117</v>
      </c>
      <c r="X416" s="5" t="s">
        <v>5117</v>
      </c>
      <c r="Y416" s="4">
        <v>336</v>
      </c>
      <c r="Z416" s="4">
        <v>254</v>
      </c>
      <c r="AA416" s="4">
        <v>273</v>
      </c>
      <c r="AB416" s="4">
        <v>1</v>
      </c>
      <c r="AC416" s="4">
        <v>1</v>
      </c>
      <c r="AD416" s="4">
        <v>8</v>
      </c>
      <c r="AE416" s="4">
        <v>8</v>
      </c>
      <c r="AF416" s="4">
        <v>3</v>
      </c>
      <c r="AG416" s="4">
        <v>3</v>
      </c>
      <c r="AH416" s="4">
        <v>2</v>
      </c>
      <c r="AI416" s="4">
        <v>2</v>
      </c>
      <c r="AJ416" s="4">
        <v>6</v>
      </c>
      <c r="AK416" s="4">
        <v>6</v>
      </c>
      <c r="AL416" s="4">
        <v>0</v>
      </c>
      <c r="AM416" s="4">
        <v>0</v>
      </c>
      <c r="AN416" s="4">
        <v>0</v>
      </c>
      <c r="AO416" s="4">
        <v>0</v>
      </c>
      <c r="AP416" s="3" t="s">
        <v>58</v>
      </c>
      <c r="AQ416" s="3" t="s">
        <v>85</v>
      </c>
      <c r="AR416" s="6" t="str">
        <f>HYPERLINK("http://catalog.hathitrust.org/Record/000029635","HathiTrust Record")</f>
        <v>HathiTrust Record</v>
      </c>
      <c r="AS416" s="6" t="str">
        <f>HYPERLINK("https://creighton-primo.hosted.exlibrisgroup.com/primo-explore/search?tab=default_tab&amp;search_scope=EVERYTHING&amp;vid=01CRU&amp;lang=en_US&amp;offset=0&amp;query=any,contains,991000906699702656","Catalog Record")</f>
        <v>Catalog Record</v>
      </c>
      <c r="AT416" s="6" t="str">
        <f>HYPERLINK("http://www.worldcat.org/oclc/4491596","WorldCat Record")</f>
        <v>WorldCat Record</v>
      </c>
      <c r="AU416" s="3" t="s">
        <v>5130</v>
      </c>
      <c r="AV416" s="3" t="s">
        <v>5131</v>
      </c>
      <c r="AW416" s="3" t="s">
        <v>5132</v>
      </c>
      <c r="AX416" s="3" t="s">
        <v>5132</v>
      </c>
      <c r="AY416" s="3" t="s">
        <v>5133</v>
      </c>
      <c r="AZ416" s="3" t="s">
        <v>73</v>
      </c>
      <c r="BB416" s="3" t="s">
        <v>5134</v>
      </c>
      <c r="BC416" s="3" t="s">
        <v>5135</v>
      </c>
      <c r="BD416" s="3" t="s">
        <v>5136</v>
      </c>
    </row>
    <row r="417" spans="1:56" ht="40.5" customHeight="1" x14ac:dyDescent="0.25">
      <c r="A417" s="7" t="s">
        <v>58</v>
      </c>
      <c r="B417" s="2" t="s">
        <v>5137</v>
      </c>
      <c r="C417" s="2" t="s">
        <v>5138</v>
      </c>
      <c r="D417" s="2" t="s">
        <v>5139</v>
      </c>
      <c r="E417" s="3" t="s">
        <v>1447</v>
      </c>
      <c r="F417" s="3" t="s">
        <v>58</v>
      </c>
      <c r="G417" s="3" t="s">
        <v>59</v>
      </c>
      <c r="H417" s="3" t="s">
        <v>58</v>
      </c>
      <c r="I417" s="3" t="s">
        <v>58</v>
      </c>
      <c r="J417" s="3" t="s">
        <v>60</v>
      </c>
      <c r="L417" s="2" t="s">
        <v>5140</v>
      </c>
      <c r="M417" s="3" t="s">
        <v>614</v>
      </c>
      <c r="O417" s="3" t="s">
        <v>64</v>
      </c>
      <c r="P417" s="3" t="s">
        <v>65</v>
      </c>
      <c r="Q417" s="2" t="s">
        <v>5141</v>
      </c>
      <c r="R417" s="3" t="s">
        <v>66</v>
      </c>
      <c r="S417" s="4">
        <v>11</v>
      </c>
      <c r="T417" s="4">
        <v>11</v>
      </c>
      <c r="U417" s="5" t="s">
        <v>5142</v>
      </c>
      <c r="V417" s="5" t="s">
        <v>5142</v>
      </c>
      <c r="W417" s="5" t="s">
        <v>5143</v>
      </c>
      <c r="X417" s="5" t="s">
        <v>5143</v>
      </c>
      <c r="Y417" s="4">
        <v>272</v>
      </c>
      <c r="Z417" s="4">
        <v>210</v>
      </c>
      <c r="AA417" s="4">
        <v>232</v>
      </c>
      <c r="AB417" s="4">
        <v>3</v>
      </c>
      <c r="AC417" s="4">
        <v>3</v>
      </c>
      <c r="AD417" s="4">
        <v>5</v>
      </c>
      <c r="AE417" s="4">
        <v>6</v>
      </c>
      <c r="AF417" s="4">
        <v>0</v>
      </c>
      <c r="AG417" s="4">
        <v>1</v>
      </c>
      <c r="AH417" s="4">
        <v>2</v>
      </c>
      <c r="AI417" s="4">
        <v>2</v>
      </c>
      <c r="AJ417" s="4">
        <v>2</v>
      </c>
      <c r="AK417" s="4">
        <v>3</v>
      </c>
      <c r="AL417" s="4">
        <v>2</v>
      </c>
      <c r="AM417" s="4">
        <v>2</v>
      </c>
      <c r="AN417" s="4">
        <v>0</v>
      </c>
      <c r="AO417" s="4">
        <v>0</v>
      </c>
      <c r="AP417" s="3" t="s">
        <v>58</v>
      </c>
      <c r="AQ417" s="3" t="s">
        <v>85</v>
      </c>
      <c r="AR417" s="6" t="str">
        <f>HYPERLINK("http://catalog.hathitrust.org/Record/001290372","HathiTrust Record")</f>
        <v>HathiTrust Record</v>
      </c>
      <c r="AS417" s="6" t="str">
        <f>HYPERLINK("https://creighton-primo.hosted.exlibrisgroup.com/primo-explore/search?tab=default_tab&amp;search_scope=EVERYTHING&amp;vid=01CRU&amp;lang=en_US&amp;offset=0&amp;query=any,contains,991001310459702656","Catalog Record")</f>
        <v>Catalog Record</v>
      </c>
      <c r="AT417" s="6" t="str">
        <f>HYPERLINK("http://www.worldcat.org/oclc/18681315","WorldCat Record")</f>
        <v>WorldCat Record</v>
      </c>
      <c r="AU417" s="3" t="s">
        <v>5144</v>
      </c>
      <c r="AV417" s="3" t="s">
        <v>5145</v>
      </c>
      <c r="AW417" s="3" t="s">
        <v>5146</v>
      </c>
      <c r="AX417" s="3" t="s">
        <v>5146</v>
      </c>
      <c r="AY417" s="3" t="s">
        <v>5147</v>
      </c>
      <c r="AZ417" s="3" t="s">
        <v>73</v>
      </c>
      <c r="BB417" s="3" t="s">
        <v>5148</v>
      </c>
      <c r="BC417" s="3" t="s">
        <v>5149</v>
      </c>
      <c r="BD417" s="3" t="s">
        <v>5150</v>
      </c>
    </row>
    <row r="418" spans="1:56" ht="40.5" customHeight="1" x14ac:dyDescent="0.25">
      <c r="A418" s="7" t="s">
        <v>58</v>
      </c>
      <c r="B418" s="2" t="s">
        <v>5151</v>
      </c>
      <c r="C418" s="2" t="s">
        <v>5152</v>
      </c>
      <c r="D418" s="2" t="s">
        <v>5153</v>
      </c>
      <c r="E418" s="3" t="s">
        <v>5154</v>
      </c>
      <c r="F418" s="3" t="s">
        <v>58</v>
      </c>
      <c r="G418" s="3" t="s">
        <v>59</v>
      </c>
      <c r="H418" s="3" t="s">
        <v>58</v>
      </c>
      <c r="I418" s="3" t="s">
        <v>58</v>
      </c>
      <c r="J418" s="3" t="s">
        <v>60</v>
      </c>
      <c r="L418" s="2" t="s">
        <v>5155</v>
      </c>
      <c r="M418" s="3" t="s">
        <v>1067</v>
      </c>
      <c r="O418" s="3" t="s">
        <v>64</v>
      </c>
      <c r="P418" s="3" t="s">
        <v>117</v>
      </c>
      <c r="Q418" s="2" t="s">
        <v>5156</v>
      </c>
      <c r="R418" s="3" t="s">
        <v>66</v>
      </c>
      <c r="S418" s="4">
        <v>9</v>
      </c>
      <c r="T418" s="4">
        <v>9</v>
      </c>
      <c r="U418" s="5" t="s">
        <v>5094</v>
      </c>
      <c r="V418" s="5" t="s">
        <v>5094</v>
      </c>
      <c r="W418" s="5" t="s">
        <v>3315</v>
      </c>
      <c r="X418" s="5" t="s">
        <v>3315</v>
      </c>
      <c r="Y418" s="4">
        <v>225</v>
      </c>
      <c r="Z418" s="4">
        <v>163</v>
      </c>
      <c r="AA418" s="4">
        <v>187</v>
      </c>
      <c r="AB418" s="4">
        <v>1</v>
      </c>
      <c r="AC418" s="4">
        <v>2</v>
      </c>
      <c r="AD418" s="4">
        <v>5</v>
      </c>
      <c r="AE418" s="4">
        <v>7</v>
      </c>
      <c r="AF418" s="4">
        <v>2</v>
      </c>
      <c r="AG418" s="4">
        <v>3</v>
      </c>
      <c r="AH418" s="4">
        <v>2</v>
      </c>
      <c r="AI418" s="4">
        <v>2</v>
      </c>
      <c r="AJ418" s="4">
        <v>3</v>
      </c>
      <c r="AK418" s="4">
        <v>4</v>
      </c>
      <c r="AL418" s="4">
        <v>0</v>
      </c>
      <c r="AM418" s="4">
        <v>1</v>
      </c>
      <c r="AN418" s="4">
        <v>0</v>
      </c>
      <c r="AO418" s="4">
        <v>0</v>
      </c>
      <c r="AP418" s="3" t="s">
        <v>58</v>
      </c>
      <c r="AQ418" s="3" t="s">
        <v>85</v>
      </c>
      <c r="AR418" s="6" t="str">
        <f>HYPERLINK("http://catalog.hathitrust.org/Record/002424430","HathiTrust Record")</f>
        <v>HathiTrust Record</v>
      </c>
      <c r="AS418" s="6" t="str">
        <f>HYPERLINK("https://creighton-primo.hosted.exlibrisgroup.com/primo-explore/search?tab=default_tab&amp;search_scope=EVERYTHING&amp;vid=01CRU&amp;lang=en_US&amp;offset=0&amp;query=any,contains,991000827449702656","Catalog Record")</f>
        <v>Catalog Record</v>
      </c>
      <c r="AT418" s="6" t="str">
        <f>HYPERLINK("http://www.worldcat.org/oclc/22665316","WorldCat Record")</f>
        <v>WorldCat Record</v>
      </c>
      <c r="AU418" s="3" t="s">
        <v>5157</v>
      </c>
      <c r="AV418" s="3" t="s">
        <v>5158</v>
      </c>
      <c r="AW418" s="3" t="s">
        <v>5159</v>
      </c>
      <c r="AX418" s="3" t="s">
        <v>5159</v>
      </c>
      <c r="AY418" s="3" t="s">
        <v>5160</v>
      </c>
      <c r="AZ418" s="3" t="s">
        <v>73</v>
      </c>
      <c r="BB418" s="3" t="s">
        <v>5161</v>
      </c>
      <c r="BC418" s="3" t="s">
        <v>5162</v>
      </c>
      <c r="BD418" s="3" t="s">
        <v>5163</v>
      </c>
    </row>
    <row r="419" spans="1:56" ht="40.5" customHeight="1" x14ac:dyDescent="0.25">
      <c r="A419" s="7" t="s">
        <v>58</v>
      </c>
      <c r="B419" s="2" t="s">
        <v>5164</v>
      </c>
      <c r="C419" s="2" t="s">
        <v>5165</v>
      </c>
      <c r="D419" s="2" t="s">
        <v>5166</v>
      </c>
      <c r="F419" s="3" t="s">
        <v>58</v>
      </c>
      <c r="G419" s="3" t="s">
        <v>59</v>
      </c>
      <c r="H419" s="3" t="s">
        <v>58</v>
      </c>
      <c r="I419" s="3" t="s">
        <v>58</v>
      </c>
      <c r="J419" s="3" t="s">
        <v>60</v>
      </c>
      <c r="L419" s="2" t="s">
        <v>5167</v>
      </c>
      <c r="M419" s="3" t="s">
        <v>63</v>
      </c>
      <c r="O419" s="3" t="s">
        <v>64</v>
      </c>
      <c r="P419" s="3" t="s">
        <v>366</v>
      </c>
      <c r="R419" s="3" t="s">
        <v>66</v>
      </c>
      <c r="S419" s="4">
        <v>5</v>
      </c>
      <c r="T419" s="4">
        <v>5</v>
      </c>
      <c r="U419" s="5" t="s">
        <v>5168</v>
      </c>
      <c r="V419" s="5" t="s">
        <v>5168</v>
      </c>
      <c r="W419" s="5" t="s">
        <v>5169</v>
      </c>
      <c r="X419" s="5" t="s">
        <v>5169</v>
      </c>
      <c r="Y419" s="4">
        <v>123</v>
      </c>
      <c r="Z419" s="4">
        <v>112</v>
      </c>
      <c r="AA419" s="4">
        <v>167</v>
      </c>
      <c r="AB419" s="4">
        <v>1</v>
      </c>
      <c r="AC419" s="4">
        <v>3</v>
      </c>
      <c r="AD419" s="4">
        <v>1</v>
      </c>
      <c r="AE419" s="4">
        <v>4</v>
      </c>
      <c r="AF419" s="4">
        <v>0</v>
      </c>
      <c r="AG419" s="4">
        <v>1</v>
      </c>
      <c r="AH419" s="4">
        <v>1</v>
      </c>
      <c r="AI419" s="4">
        <v>1</v>
      </c>
      <c r="AJ419" s="4">
        <v>0</v>
      </c>
      <c r="AK419" s="4">
        <v>1</v>
      </c>
      <c r="AL419" s="4">
        <v>0</v>
      </c>
      <c r="AM419" s="4">
        <v>2</v>
      </c>
      <c r="AN419" s="4">
        <v>0</v>
      </c>
      <c r="AO419" s="4">
        <v>0</v>
      </c>
      <c r="AP419" s="3" t="s">
        <v>58</v>
      </c>
      <c r="AQ419" s="3" t="s">
        <v>58</v>
      </c>
      <c r="AS419" s="6" t="str">
        <f>HYPERLINK("https://creighton-primo.hosted.exlibrisgroup.com/primo-explore/search?tab=default_tab&amp;search_scope=EVERYTHING&amp;vid=01CRU&amp;lang=en_US&amp;offset=0&amp;query=any,contains,991001487089702656","Catalog Record")</f>
        <v>Catalog Record</v>
      </c>
      <c r="AT419" s="6" t="str">
        <f>HYPERLINK("http://www.worldcat.org/oclc/8291727","WorldCat Record")</f>
        <v>WorldCat Record</v>
      </c>
      <c r="AU419" s="3" t="s">
        <v>5170</v>
      </c>
      <c r="AV419" s="3" t="s">
        <v>5171</v>
      </c>
      <c r="AW419" s="3" t="s">
        <v>5172</v>
      </c>
      <c r="AX419" s="3" t="s">
        <v>5172</v>
      </c>
      <c r="AY419" s="3" t="s">
        <v>5173</v>
      </c>
      <c r="AZ419" s="3" t="s">
        <v>73</v>
      </c>
      <c r="BB419" s="3" t="s">
        <v>5174</v>
      </c>
      <c r="BC419" s="3" t="s">
        <v>5175</v>
      </c>
      <c r="BD419" s="3" t="s">
        <v>5176</v>
      </c>
    </row>
    <row r="420" spans="1:56" ht="40.5" customHeight="1" x14ac:dyDescent="0.25">
      <c r="A420" s="7" t="s">
        <v>58</v>
      </c>
      <c r="B420" s="2" t="s">
        <v>5177</v>
      </c>
      <c r="C420" s="2" t="s">
        <v>5178</v>
      </c>
      <c r="D420" s="2" t="s">
        <v>5179</v>
      </c>
      <c r="F420" s="3" t="s">
        <v>58</v>
      </c>
      <c r="G420" s="3" t="s">
        <v>59</v>
      </c>
      <c r="H420" s="3" t="s">
        <v>58</v>
      </c>
      <c r="I420" s="3" t="s">
        <v>58</v>
      </c>
      <c r="J420" s="3" t="s">
        <v>60</v>
      </c>
      <c r="K420" s="2" t="s">
        <v>5180</v>
      </c>
      <c r="L420" s="2" t="s">
        <v>5181</v>
      </c>
      <c r="M420" s="3" t="s">
        <v>1067</v>
      </c>
      <c r="O420" s="3" t="s">
        <v>64</v>
      </c>
      <c r="P420" s="3" t="s">
        <v>1785</v>
      </c>
      <c r="R420" s="3" t="s">
        <v>66</v>
      </c>
      <c r="S420" s="4">
        <v>5</v>
      </c>
      <c r="T420" s="4">
        <v>5</v>
      </c>
      <c r="U420" s="5" t="s">
        <v>5182</v>
      </c>
      <c r="V420" s="5" t="s">
        <v>5182</v>
      </c>
      <c r="W420" s="5" t="s">
        <v>5183</v>
      </c>
      <c r="X420" s="5" t="s">
        <v>5183</v>
      </c>
      <c r="Y420" s="4">
        <v>37</v>
      </c>
      <c r="Z420" s="4">
        <v>31</v>
      </c>
      <c r="AA420" s="4">
        <v>162</v>
      </c>
      <c r="AB420" s="4">
        <v>1</v>
      </c>
      <c r="AC420" s="4">
        <v>1</v>
      </c>
      <c r="AD420" s="4">
        <v>0</v>
      </c>
      <c r="AE420" s="4">
        <v>2</v>
      </c>
      <c r="AF420" s="4">
        <v>0</v>
      </c>
      <c r="AG420" s="4">
        <v>1</v>
      </c>
      <c r="AH420" s="4">
        <v>0</v>
      </c>
      <c r="AI420" s="4">
        <v>1</v>
      </c>
      <c r="AJ420" s="4">
        <v>0</v>
      </c>
      <c r="AK420" s="4">
        <v>1</v>
      </c>
      <c r="AL420" s="4">
        <v>0</v>
      </c>
      <c r="AM420" s="4">
        <v>0</v>
      </c>
      <c r="AN420" s="4">
        <v>0</v>
      </c>
      <c r="AO420" s="4">
        <v>0</v>
      </c>
      <c r="AP420" s="3" t="s">
        <v>58</v>
      </c>
      <c r="AQ420" s="3" t="s">
        <v>58</v>
      </c>
      <c r="AS420" s="6" t="str">
        <f>HYPERLINK("https://creighton-primo.hosted.exlibrisgroup.com/primo-explore/search?tab=default_tab&amp;search_scope=EVERYTHING&amp;vid=01CRU&amp;lang=en_US&amp;offset=0&amp;query=any,contains,991001228729702656","Catalog Record")</f>
        <v>Catalog Record</v>
      </c>
      <c r="AT420" s="6" t="str">
        <f>HYPERLINK("http://www.worldcat.org/oclc/28425986","WorldCat Record")</f>
        <v>WorldCat Record</v>
      </c>
      <c r="AU420" s="3" t="s">
        <v>5184</v>
      </c>
      <c r="AV420" s="3" t="s">
        <v>5185</v>
      </c>
      <c r="AW420" s="3" t="s">
        <v>5186</v>
      </c>
      <c r="AX420" s="3" t="s">
        <v>5186</v>
      </c>
      <c r="AY420" s="3" t="s">
        <v>5187</v>
      </c>
      <c r="AZ420" s="3" t="s">
        <v>73</v>
      </c>
      <c r="BB420" s="3" t="s">
        <v>5188</v>
      </c>
      <c r="BC420" s="3" t="s">
        <v>5189</v>
      </c>
      <c r="BD420" s="3" t="s">
        <v>5190</v>
      </c>
    </row>
    <row r="421" spans="1:56" ht="40.5" customHeight="1" x14ac:dyDescent="0.25">
      <c r="A421" s="7" t="s">
        <v>58</v>
      </c>
      <c r="B421" s="2" t="s">
        <v>5191</v>
      </c>
      <c r="C421" s="2" t="s">
        <v>5192</v>
      </c>
      <c r="D421" s="2" t="s">
        <v>5193</v>
      </c>
      <c r="F421" s="3" t="s">
        <v>58</v>
      </c>
      <c r="G421" s="3" t="s">
        <v>59</v>
      </c>
      <c r="H421" s="3" t="s">
        <v>58</v>
      </c>
      <c r="I421" s="3" t="s">
        <v>58</v>
      </c>
      <c r="J421" s="3" t="s">
        <v>60</v>
      </c>
      <c r="K421" s="2" t="s">
        <v>5194</v>
      </c>
      <c r="L421" s="2" t="s">
        <v>5195</v>
      </c>
      <c r="M421" s="3" t="s">
        <v>4577</v>
      </c>
      <c r="N421" s="2" t="s">
        <v>5196</v>
      </c>
      <c r="O421" s="3" t="s">
        <v>64</v>
      </c>
      <c r="P421" s="3" t="s">
        <v>117</v>
      </c>
      <c r="R421" s="3" t="s">
        <v>66</v>
      </c>
      <c r="S421" s="4">
        <v>5</v>
      </c>
      <c r="T421" s="4">
        <v>5</v>
      </c>
      <c r="U421" s="5" t="s">
        <v>5197</v>
      </c>
      <c r="V421" s="5" t="s">
        <v>5197</v>
      </c>
      <c r="W421" s="5" t="s">
        <v>1451</v>
      </c>
      <c r="X421" s="5" t="s">
        <v>1451</v>
      </c>
      <c r="Y421" s="4">
        <v>195</v>
      </c>
      <c r="Z421" s="4">
        <v>186</v>
      </c>
      <c r="AA421" s="4">
        <v>194</v>
      </c>
      <c r="AB421" s="4">
        <v>4</v>
      </c>
      <c r="AC421" s="4">
        <v>4</v>
      </c>
      <c r="AD421" s="4">
        <v>1</v>
      </c>
      <c r="AE421" s="4">
        <v>1</v>
      </c>
      <c r="AF421" s="4">
        <v>0</v>
      </c>
      <c r="AG421" s="4">
        <v>0</v>
      </c>
      <c r="AH421" s="4">
        <v>1</v>
      </c>
      <c r="AI421" s="4">
        <v>1</v>
      </c>
      <c r="AJ421" s="4">
        <v>0</v>
      </c>
      <c r="AK421" s="4">
        <v>0</v>
      </c>
      <c r="AL421" s="4">
        <v>0</v>
      </c>
      <c r="AM421" s="4">
        <v>0</v>
      </c>
      <c r="AN421" s="4">
        <v>0</v>
      </c>
      <c r="AO421" s="4">
        <v>0</v>
      </c>
      <c r="AP421" s="3" t="s">
        <v>58</v>
      </c>
      <c r="AQ421" s="3" t="s">
        <v>85</v>
      </c>
      <c r="AR421" s="6" t="str">
        <f>HYPERLINK("http://catalog.hathitrust.org/Record/000928907","HathiTrust Record")</f>
        <v>HathiTrust Record</v>
      </c>
      <c r="AS421" s="6" t="str">
        <f>HYPERLINK("https://creighton-primo.hosted.exlibrisgroup.com/primo-explore/search?tab=default_tab&amp;search_scope=EVERYTHING&amp;vid=01CRU&amp;lang=en_US&amp;offset=0&amp;query=any,contains,991001531619702656","Catalog Record")</f>
        <v>Catalog Record</v>
      </c>
      <c r="AT421" s="6" t="str">
        <f>HYPERLINK("http://www.worldcat.org/oclc/3923584","WorldCat Record")</f>
        <v>WorldCat Record</v>
      </c>
      <c r="AU421" s="3" t="s">
        <v>5198</v>
      </c>
      <c r="AV421" s="3" t="s">
        <v>5199</v>
      </c>
      <c r="AW421" s="3" t="s">
        <v>5200</v>
      </c>
      <c r="AX421" s="3" t="s">
        <v>5200</v>
      </c>
      <c r="AY421" s="3" t="s">
        <v>5201</v>
      </c>
      <c r="AZ421" s="3" t="s">
        <v>73</v>
      </c>
      <c r="BC421" s="3" t="s">
        <v>5202</v>
      </c>
      <c r="BD421" s="3" t="s">
        <v>5203</v>
      </c>
    </row>
    <row r="422" spans="1:56" ht="40.5" customHeight="1" x14ac:dyDescent="0.25">
      <c r="A422" s="7" t="s">
        <v>58</v>
      </c>
      <c r="B422" s="2" t="s">
        <v>5204</v>
      </c>
      <c r="C422" s="2" t="s">
        <v>5205</v>
      </c>
      <c r="D422" s="2" t="s">
        <v>5206</v>
      </c>
      <c r="F422" s="3" t="s">
        <v>58</v>
      </c>
      <c r="G422" s="3" t="s">
        <v>59</v>
      </c>
      <c r="H422" s="3" t="s">
        <v>58</v>
      </c>
      <c r="I422" s="3" t="s">
        <v>58</v>
      </c>
      <c r="J422" s="3" t="s">
        <v>60</v>
      </c>
      <c r="K422" s="2" t="s">
        <v>5207</v>
      </c>
      <c r="L422" s="2" t="s">
        <v>5208</v>
      </c>
      <c r="M422" s="3" t="s">
        <v>726</v>
      </c>
      <c r="O422" s="3" t="s">
        <v>64</v>
      </c>
      <c r="P422" s="3" t="s">
        <v>117</v>
      </c>
      <c r="R422" s="3" t="s">
        <v>66</v>
      </c>
      <c r="S422" s="4">
        <v>6</v>
      </c>
      <c r="T422" s="4">
        <v>6</v>
      </c>
      <c r="U422" s="5" t="s">
        <v>5209</v>
      </c>
      <c r="V422" s="5" t="s">
        <v>5209</v>
      </c>
      <c r="W422" s="5" t="s">
        <v>5210</v>
      </c>
      <c r="X422" s="5" t="s">
        <v>5210</v>
      </c>
      <c r="Y422" s="4">
        <v>5</v>
      </c>
      <c r="Z422" s="4">
        <v>4</v>
      </c>
      <c r="AA422" s="4">
        <v>4</v>
      </c>
      <c r="AB422" s="4">
        <v>1</v>
      </c>
      <c r="AC422" s="4">
        <v>1</v>
      </c>
      <c r="AD422" s="4">
        <v>0</v>
      </c>
      <c r="AE422" s="4">
        <v>0</v>
      </c>
      <c r="AF422" s="4">
        <v>0</v>
      </c>
      <c r="AG422" s="4">
        <v>0</v>
      </c>
      <c r="AH422" s="4">
        <v>0</v>
      </c>
      <c r="AI422" s="4">
        <v>0</v>
      </c>
      <c r="AJ422" s="4">
        <v>0</v>
      </c>
      <c r="AK422" s="4">
        <v>0</v>
      </c>
      <c r="AL422" s="4">
        <v>0</v>
      </c>
      <c r="AM422" s="4">
        <v>0</v>
      </c>
      <c r="AN422" s="4">
        <v>0</v>
      </c>
      <c r="AO422" s="4">
        <v>0</v>
      </c>
      <c r="AP422" s="3" t="s">
        <v>58</v>
      </c>
      <c r="AQ422" s="3" t="s">
        <v>58</v>
      </c>
      <c r="AS422" s="6" t="str">
        <f>HYPERLINK("https://creighton-primo.hosted.exlibrisgroup.com/primo-explore/search?tab=default_tab&amp;search_scope=EVERYTHING&amp;vid=01CRU&amp;lang=en_US&amp;offset=0&amp;query=any,contains,991000763739702656","Catalog Record")</f>
        <v>Catalog Record</v>
      </c>
      <c r="AT422" s="6" t="str">
        <f>HYPERLINK("http://www.worldcat.org/oclc/23659880","WorldCat Record")</f>
        <v>WorldCat Record</v>
      </c>
      <c r="AU422" s="3" t="s">
        <v>5211</v>
      </c>
      <c r="AV422" s="3" t="s">
        <v>5212</v>
      </c>
      <c r="AW422" s="3" t="s">
        <v>5213</v>
      </c>
      <c r="AX422" s="3" t="s">
        <v>5213</v>
      </c>
      <c r="AY422" s="3" t="s">
        <v>5214</v>
      </c>
      <c r="AZ422" s="3" t="s">
        <v>73</v>
      </c>
      <c r="BB422" s="3" t="s">
        <v>5215</v>
      </c>
      <c r="BC422" s="3" t="s">
        <v>5216</v>
      </c>
      <c r="BD422" s="3" t="s">
        <v>5217</v>
      </c>
    </row>
    <row r="423" spans="1:56" ht="40.5" customHeight="1" x14ac:dyDescent="0.25">
      <c r="A423" s="7" t="s">
        <v>58</v>
      </c>
      <c r="B423" s="2" t="s">
        <v>5218</v>
      </c>
      <c r="C423" s="2" t="s">
        <v>5219</v>
      </c>
      <c r="D423" s="2" t="s">
        <v>5220</v>
      </c>
      <c r="F423" s="3" t="s">
        <v>58</v>
      </c>
      <c r="G423" s="3" t="s">
        <v>59</v>
      </c>
      <c r="H423" s="3" t="s">
        <v>58</v>
      </c>
      <c r="I423" s="3" t="s">
        <v>58</v>
      </c>
      <c r="J423" s="3" t="s">
        <v>60</v>
      </c>
      <c r="K423" s="2" t="s">
        <v>5221</v>
      </c>
      <c r="L423" s="2" t="s">
        <v>5222</v>
      </c>
      <c r="M423" s="3" t="s">
        <v>726</v>
      </c>
      <c r="O423" s="3" t="s">
        <v>64</v>
      </c>
      <c r="P423" s="3" t="s">
        <v>65</v>
      </c>
      <c r="R423" s="3" t="s">
        <v>66</v>
      </c>
      <c r="S423" s="4">
        <v>13</v>
      </c>
      <c r="T423" s="4">
        <v>13</v>
      </c>
      <c r="U423" s="5" t="s">
        <v>5223</v>
      </c>
      <c r="V423" s="5" t="s">
        <v>5223</v>
      </c>
      <c r="W423" s="5" t="s">
        <v>5224</v>
      </c>
      <c r="X423" s="5" t="s">
        <v>5224</v>
      </c>
      <c r="Y423" s="4">
        <v>137</v>
      </c>
      <c r="Z423" s="4">
        <v>101</v>
      </c>
      <c r="AA423" s="4">
        <v>101</v>
      </c>
      <c r="AB423" s="4">
        <v>1</v>
      </c>
      <c r="AC423" s="4">
        <v>1</v>
      </c>
      <c r="AD423" s="4">
        <v>2</v>
      </c>
      <c r="AE423" s="4">
        <v>2</v>
      </c>
      <c r="AF423" s="4">
        <v>1</v>
      </c>
      <c r="AG423" s="4">
        <v>1</v>
      </c>
      <c r="AH423" s="4">
        <v>1</v>
      </c>
      <c r="AI423" s="4">
        <v>1</v>
      </c>
      <c r="AJ423" s="4">
        <v>0</v>
      </c>
      <c r="AK423" s="4">
        <v>0</v>
      </c>
      <c r="AL423" s="4">
        <v>0</v>
      </c>
      <c r="AM423" s="4">
        <v>0</v>
      </c>
      <c r="AN423" s="4">
        <v>0</v>
      </c>
      <c r="AO423" s="4">
        <v>0</v>
      </c>
      <c r="AP423" s="3" t="s">
        <v>58</v>
      </c>
      <c r="AQ423" s="3" t="s">
        <v>58</v>
      </c>
      <c r="AS423" s="6" t="str">
        <f>HYPERLINK("https://creighton-primo.hosted.exlibrisgroup.com/primo-explore/search?tab=default_tab&amp;search_scope=EVERYTHING&amp;vid=01CRU&amp;lang=en_US&amp;offset=0&amp;query=any,contains,991001451439702656","Catalog Record")</f>
        <v>Catalog Record</v>
      </c>
      <c r="AT423" s="6" t="str">
        <f>HYPERLINK("http://www.worldcat.org/oclc/20357167","WorldCat Record")</f>
        <v>WorldCat Record</v>
      </c>
      <c r="AU423" s="3" t="s">
        <v>5225</v>
      </c>
      <c r="AV423" s="3" t="s">
        <v>5226</v>
      </c>
      <c r="AW423" s="3" t="s">
        <v>5227</v>
      </c>
      <c r="AX423" s="3" t="s">
        <v>5227</v>
      </c>
      <c r="AY423" s="3" t="s">
        <v>5228</v>
      </c>
      <c r="AZ423" s="3" t="s">
        <v>73</v>
      </c>
      <c r="BB423" s="3" t="s">
        <v>5229</v>
      </c>
      <c r="BC423" s="3" t="s">
        <v>5230</v>
      </c>
      <c r="BD423" s="3" t="s">
        <v>5231</v>
      </c>
    </row>
    <row r="424" spans="1:56" ht="40.5" customHeight="1" x14ac:dyDescent="0.25">
      <c r="A424" s="7" t="s">
        <v>58</v>
      </c>
      <c r="B424" s="2" t="s">
        <v>5232</v>
      </c>
      <c r="C424" s="2" t="s">
        <v>5233</v>
      </c>
      <c r="D424" s="2" t="s">
        <v>5234</v>
      </c>
      <c r="F424" s="3" t="s">
        <v>58</v>
      </c>
      <c r="G424" s="3" t="s">
        <v>59</v>
      </c>
      <c r="H424" s="3" t="s">
        <v>58</v>
      </c>
      <c r="I424" s="3" t="s">
        <v>58</v>
      </c>
      <c r="J424" s="3" t="s">
        <v>60</v>
      </c>
      <c r="K424" s="2" t="s">
        <v>5235</v>
      </c>
      <c r="L424" s="2" t="s">
        <v>5236</v>
      </c>
      <c r="M424" s="3" t="s">
        <v>2552</v>
      </c>
      <c r="O424" s="3" t="s">
        <v>64</v>
      </c>
      <c r="P424" s="3" t="s">
        <v>82</v>
      </c>
      <c r="R424" s="3" t="s">
        <v>66</v>
      </c>
      <c r="S424" s="4">
        <v>4</v>
      </c>
      <c r="T424" s="4">
        <v>4</v>
      </c>
      <c r="U424" s="5" t="s">
        <v>5237</v>
      </c>
      <c r="V424" s="5" t="s">
        <v>5237</v>
      </c>
      <c r="W424" s="5" t="s">
        <v>4343</v>
      </c>
      <c r="X424" s="5" t="s">
        <v>4343</v>
      </c>
      <c r="Y424" s="4">
        <v>116</v>
      </c>
      <c r="Z424" s="4">
        <v>107</v>
      </c>
      <c r="AA424" s="4">
        <v>109</v>
      </c>
      <c r="AB424" s="4">
        <v>2</v>
      </c>
      <c r="AC424" s="4">
        <v>2</v>
      </c>
      <c r="AD424" s="4">
        <v>3</v>
      </c>
      <c r="AE424" s="4">
        <v>3</v>
      </c>
      <c r="AF424" s="4">
        <v>1</v>
      </c>
      <c r="AG424" s="4">
        <v>1</v>
      </c>
      <c r="AH424" s="4">
        <v>1</v>
      </c>
      <c r="AI424" s="4">
        <v>1</v>
      </c>
      <c r="AJ424" s="4">
        <v>1</v>
      </c>
      <c r="AK424" s="4">
        <v>1</v>
      </c>
      <c r="AL424" s="4">
        <v>1</v>
      </c>
      <c r="AM424" s="4">
        <v>1</v>
      </c>
      <c r="AN424" s="4">
        <v>0</v>
      </c>
      <c r="AO424" s="4">
        <v>0</v>
      </c>
      <c r="AP424" s="3" t="s">
        <v>58</v>
      </c>
      <c r="AQ424" s="3" t="s">
        <v>85</v>
      </c>
      <c r="AR424" s="6" t="str">
        <f>HYPERLINK("http://catalog.hathitrust.org/Record/000478587","HathiTrust Record")</f>
        <v>HathiTrust Record</v>
      </c>
      <c r="AS424" s="6" t="str">
        <f>HYPERLINK("https://creighton-primo.hosted.exlibrisgroup.com/primo-explore/search?tab=default_tab&amp;search_scope=EVERYTHING&amp;vid=01CRU&amp;lang=en_US&amp;offset=0&amp;query=any,contains,991000906739702656","Catalog Record")</f>
        <v>Catalog Record</v>
      </c>
      <c r="AT424" s="6" t="str">
        <f>HYPERLINK("http://www.worldcat.org/oclc/13524380","WorldCat Record")</f>
        <v>WorldCat Record</v>
      </c>
      <c r="AU424" s="3" t="s">
        <v>5238</v>
      </c>
      <c r="AV424" s="3" t="s">
        <v>5239</v>
      </c>
      <c r="AW424" s="3" t="s">
        <v>5240</v>
      </c>
      <c r="AX424" s="3" t="s">
        <v>5240</v>
      </c>
      <c r="AY424" s="3" t="s">
        <v>5241</v>
      </c>
      <c r="AZ424" s="3" t="s">
        <v>73</v>
      </c>
      <c r="BB424" s="3" t="s">
        <v>5242</v>
      </c>
      <c r="BC424" s="3" t="s">
        <v>5243</v>
      </c>
      <c r="BD424" s="3" t="s">
        <v>5244</v>
      </c>
    </row>
    <row r="425" spans="1:56" ht="40.5" customHeight="1" x14ac:dyDescent="0.25">
      <c r="A425" s="7" t="s">
        <v>58</v>
      </c>
      <c r="B425" s="2" t="s">
        <v>5245</v>
      </c>
      <c r="C425" s="2" t="s">
        <v>5246</v>
      </c>
      <c r="D425" s="2" t="s">
        <v>5247</v>
      </c>
      <c r="F425" s="3" t="s">
        <v>58</v>
      </c>
      <c r="G425" s="3" t="s">
        <v>59</v>
      </c>
      <c r="H425" s="3" t="s">
        <v>58</v>
      </c>
      <c r="I425" s="3" t="s">
        <v>58</v>
      </c>
      <c r="J425" s="3" t="s">
        <v>60</v>
      </c>
      <c r="K425" s="2" t="s">
        <v>5248</v>
      </c>
      <c r="L425" s="2" t="s">
        <v>5249</v>
      </c>
      <c r="M425" s="3" t="s">
        <v>4577</v>
      </c>
      <c r="O425" s="3" t="s">
        <v>64</v>
      </c>
      <c r="P425" s="3" t="s">
        <v>117</v>
      </c>
      <c r="R425" s="3" t="s">
        <v>66</v>
      </c>
      <c r="S425" s="4">
        <v>6</v>
      </c>
      <c r="T425" s="4">
        <v>6</v>
      </c>
      <c r="U425" s="5" t="s">
        <v>5250</v>
      </c>
      <c r="V425" s="5" t="s">
        <v>5250</v>
      </c>
      <c r="W425" s="5" t="s">
        <v>4343</v>
      </c>
      <c r="X425" s="5" t="s">
        <v>4343</v>
      </c>
      <c r="Y425" s="4">
        <v>217</v>
      </c>
      <c r="Z425" s="4">
        <v>203</v>
      </c>
      <c r="AA425" s="4">
        <v>261</v>
      </c>
      <c r="AB425" s="4">
        <v>4</v>
      </c>
      <c r="AC425" s="4">
        <v>4</v>
      </c>
      <c r="AD425" s="4">
        <v>2</v>
      </c>
      <c r="AE425" s="4">
        <v>3</v>
      </c>
      <c r="AF425" s="4">
        <v>0</v>
      </c>
      <c r="AG425" s="4">
        <v>1</v>
      </c>
      <c r="AH425" s="4">
        <v>0</v>
      </c>
      <c r="AI425" s="4">
        <v>0</v>
      </c>
      <c r="AJ425" s="4">
        <v>0</v>
      </c>
      <c r="AK425" s="4">
        <v>0</v>
      </c>
      <c r="AL425" s="4">
        <v>2</v>
      </c>
      <c r="AM425" s="4">
        <v>2</v>
      </c>
      <c r="AN425" s="4">
        <v>0</v>
      </c>
      <c r="AO425" s="4">
        <v>0</v>
      </c>
      <c r="AP425" s="3" t="s">
        <v>58</v>
      </c>
      <c r="AQ425" s="3" t="s">
        <v>85</v>
      </c>
      <c r="AR425" s="6" t="str">
        <f>HYPERLINK("http://catalog.hathitrust.org/Record/000176853","HathiTrust Record")</f>
        <v>HathiTrust Record</v>
      </c>
      <c r="AS425" s="6" t="str">
        <f>HYPERLINK("https://creighton-primo.hosted.exlibrisgroup.com/primo-explore/search?tab=default_tab&amp;search_scope=EVERYTHING&amp;vid=01CRU&amp;lang=en_US&amp;offset=0&amp;query=any,contains,991000911609702656","Catalog Record")</f>
        <v>Catalog Record</v>
      </c>
      <c r="AT425" s="6" t="str">
        <f>HYPERLINK("http://www.worldcat.org/oclc/4005113","WorldCat Record")</f>
        <v>WorldCat Record</v>
      </c>
      <c r="AU425" s="3" t="s">
        <v>5251</v>
      </c>
      <c r="AV425" s="3" t="s">
        <v>5252</v>
      </c>
      <c r="AW425" s="3" t="s">
        <v>5253</v>
      </c>
      <c r="AX425" s="3" t="s">
        <v>5253</v>
      </c>
      <c r="AY425" s="3" t="s">
        <v>5254</v>
      </c>
      <c r="AZ425" s="3" t="s">
        <v>73</v>
      </c>
      <c r="BB425" s="3" t="s">
        <v>5255</v>
      </c>
      <c r="BC425" s="3" t="s">
        <v>5256</v>
      </c>
      <c r="BD425" s="3" t="s">
        <v>5257</v>
      </c>
    </row>
    <row r="426" spans="1:56" ht="40.5" customHeight="1" x14ac:dyDescent="0.25">
      <c r="A426" s="7" t="s">
        <v>58</v>
      </c>
      <c r="B426" s="2" t="s">
        <v>5258</v>
      </c>
      <c r="C426" s="2" t="s">
        <v>5259</v>
      </c>
      <c r="D426" s="2" t="s">
        <v>5260</v>
      </c>
      <c r="F426" s="3" t="s">
        <v>58</v>
      </c>
      <c r="G426" s="3" t="s">
        <v>59</v>
      </c>
      <c r="H426" s="3" t="s">
        <v>58</v>
      </c>
      <c r="I426" s="3" t="s">
        <v>58</v>
      </c>
      <c r="J426" s="3" t="s">
        <v>60</v>
      </c>
      <c r="K426" s="2" t="s">
        <v>5261</v>
      </c>
      <c r="L426" s="2" t="s">
        <v>5262</v>
      </c>
      <c r="M426" s="3" t="s">
        <v>1365</v>
      </c>
      <c r="N426" s="2" t="s">
        <v>198</v>
      </c>
      <c r="O426" s="3" t="s">
        <v>64</v>
      </c>
      <c r="P426" s="3" t="s">
        <v>82</v>
      </c>
      <c r="R426" s="3" t="s">
        <v>66</v>
      </c>
      <c r="S426" s="4">
        <v>1</v>
      </c>
      <c r="T426" s="4">
        <v>1</v>
      </c>
      <c r="U426" s="5" t="s">
        <v>5263</v>
      </c>
      <c r="V426" s="5" t="s">
        <v>5263</v>
      </c>
      <c r="W426" s="5" t="s">
        <v>5264</v>
      </c>
      <c r="X426" s="5" t="s">
        <v>5264</v>
      </c>
      <c r="Y426" s="4">
        <v>366</v>
      </c>
      <c r="Z426" s="4">
        <v>278</v>
      </c>
      <c r="AA426" s="4">
        <v>417</v>
      </c>
      <c r="AB426" s="4">
        <v>3</v>
      </c>
      <c r="AC426" s="4">
        <v>3</v>
      </c>
      <c r="AD426" s="4">
        <v>7</v>
      </c>
      <c r="AE426" s="4">
        <v>15</v>
      </c>
      <c r="AF426" s="4">
        <v>1</v>
      </c>
      <c r="AG426" s="4">
        <v>6</v>
      </c>
      <c r="AH426" s="4">
        <v>2</v>
      </c>
      <c r="AI426" s="4">
        <v>4</v>
      </c>
      <c r="AJ426" s="4">
        <v>5</v>
      </c>
      <c r="AK426" s="4">
        <v>9</v>
      </c>
      <c r="AL426" s="4">
        <v>1</v>
      </c>
      <c r="AM426" s="4">
        <v>1</v>
      </c>
      <c r="AN426" s="4">
        <v>0</v>
      </c>
      <c r="AO426" s="4">
        <v>0</v>
      </c>
      <c r="AP426" s="3" t="s">
        <v>58</v>
      </c>
      <c r="AQ426" s="3" t="s">
        <v>85</v>
      </c>
      <c r="AR426" s="6" t="str">
        <f>HYPERLINK("http://catalog.hathitrust.org/Record/004296232","HathiTrust Record")</f>
        <v>HathiTrust Record</v>
      </c>
      <c r="AS426" s="6" t="str">
        <f>HYPERLINK("https://creighton-primo.hosted.exlibrisgroup.com/primo-explore/search?tab=default_tab&amp;search_scope=EVERYTHING&amp;vid=01CRU&amp;lang=en_US&amp;offset=0&amp;query=any,contains,991000338749702656","Catalog Record")</f>
        <v>Catalog Record</v>
      </c>
      <c r="AT426" s="6" t="str">
        <f>HYPERLINK("http://www.worldcat.org/oclc/49326920","WorldCat Record")</f>
        <v>WorldCat Record</v>
      </c>
      <c r="AU426" s="3" t="s">
        <v>5265</v>
      </c>
      <c r="AV426" s="3" t="s">
        <v>5266</v>
      </c>
      <c r="AW426" s="3" t="s">
        <v>5267</v>
      </c>
      <c r="AX426" s="3" t="s">
        <v>5267</v>
      </c>
      <c r="AY426" s="3" t="s">
        <v>5268</v>
      </c>
      <c r="AZ426" s="3" t="s">
        <v>73</v>
      </c>
      <c r="BB426" s="3" t="s">
        <v>5269</v>
      </c>
      <c r="BC426" s="3" t="s">
        <v>5270</v>
      </c>
      <c r="BD426" s="3" t="s">
        <v>5271</v>
      </c>
    </row>
    <row r="427" spans="1:56" ht="40.5" customHeight="1" x14ac:dyDescent="0.25">
      <c r="A427" s="7" t="s">
        <v>58</v>
      </c>
      <c r="B427" s="2" t="s">
        <v>5272</v>
      </c>
      <c r="C427" s="2" t="s">
        <v>5273</v>
      </c>
      <c r="D427" s="2" t="s">
        <v>5274</v>
      </c>
      <c r="F427" s="3" t="s">
        <v>58</v>
      </c>
      <c r="G427" s="3" t="s">
        <v>59</v>
      </c>
      <c r="H427" s="3" t="s">
        <v>58</v>
      </c>
      <c r="I427" s="3" t="s">
        <v>58</v>
      </c>
      <c r="J427" s="3" t="s">
        <v>60</v>
      </c>
      <c r="L427" s="2" t="s">
        <v>5275</v>
      </c>
      <c r="M427" s="3" t="s">
        <v>1067</v>
      </c>
      <c r="O427" s="3" t="s">
        <v>64</v>
      </c>
      <c r="P427" s="3" t="s">
        <v>135</v>
      </c>
      <c r="Q427" s="2" t="s">
        <v>5276</v>
      </c>
      <c r="R427" s="3" t="s">
        <v>66</v>
      </c>
      <c r="S427" s="4">
        <v>1</v>
      </c>
      <c r="T427" s="4">
        <v>1</v>
      </c>
      <c r="U427" s="5" t="s">
        <v>5277</v>
      </c>
      <c r="V427" s="5" t="s">
        <v>5277</v>
      </c>
      <c r="W427" s="5" t="s">
        <v>5278</v>
      </c>
      <c r="X427" s="5" t="s">
        <v>5278</v>
      </c>
      <c r="Y427" s="4">
        <v>110</v>
      </c>
      <c r="Z427" s="4">
        <v>64</v>
      </c>
      <c r="AA427" s="4">
        <v>89</v>
      </c>
      <c r="AB427" s="4">
        <v>1</v>
      </c>
      <c r="AC427" s="4">
        <v>1</v>
      </c>
      <c r="AD427" s="4">
        <v>1</v>
      </c>
      <c r="AE427" s="4">
        <v>2</v>
      </c>
      <c r="AF427" s="4">
        <v>0</v>
      </c>
      <c r="AG427" s="4">
        <v>1</v>
      </c>
      <c r="AH427" s="4">
        <v>0</v>
      </c>
      <c r="AI427" s="4">
        <v>0</v>
      </c>
      <c r="AJ427" s="4">
        <v>1</v>
      </c>
      <c r="AK427" s="4">
        <v>2</v>
      </c>
      <c r="AL427" s="4">
        <v>0</v>
      </c>
      <c r="AM427" s="4">
        <v>0</v>
      </c>
      <c r="AN427" s="4">
        <v>0</v>
      </c>
      <c r="AO427" s="4">
        <v>0</v>
      </c>
      <c r="AP427" s="3" t="s">
        <v>58</v>
      </c>
      <c r="AQ427" s="3" t="s">
        <v>85</v>
      </c>
      <c r="AR427" s="6" t="str">
        <f>HYPERLINK("http://catalog.hathitrust.org/Record/002479877","HathiTrust Record")</f>
        <v>HathiTrust Record</v>
      </c>
      <c r="AS427" s="6" t="str">
        <f>HYPERLINK("https://creighton-primo.hosted.exlibrisgroup.com/primo-explore/search?tab=default_tab&amp;search_scope=EVERYTHING&amp;vid=01CRU&amp;lang=en_US&amp;offset=0&amp;query=any,contains,991001494839702656","Catalog Record")</f>
        <v>Catalog Record</v>
      </c>
      <c r="AT427" s="6" t="str">
        <f>HYPERLINK("http://www.worldcat.org/oclc/22109207","WorldCat Record")</f>
        <v>WorldCat Record</v>
      </c>
      <c r="AU427" s="3" t="s">
        <v>5279</v>
      </c>
      <c r="AV427" s="3" t="s">
        <v>5280</v>
      </c>
      <c r="AW427" s="3" t="s">
        <v>5281</v>
      </c>
      <c r="AX427" s="3" t="s">
        <v>5281</v>
      </c>
      <c r="AY427" s="3" t="s">
        <v>5282</v>
      </c>
      <c r="AZ427" s="3" t="s">
        <v>73</v>
      </c>
      <c r="BB427" s="3" t="s">
        <v>5283</v>
      </c>
      <c r="BC427" s="3" t="s">
        <v>5284</v>
      </c>
      <c r="BD427" s="3" t="s">
        <v>5285</v>
      </c>
    </row>
    <row r="428" spans="1:56" ht="40.5" customHeight="1" x14ac:dyDescent="0.25">
      <c r="A428" s="7" t="s">
        <v>58</v>
      </c>
      <c r="B428" s="2" t="s">
        <v>5286</v>
      </c>
      <c r="C428" s="2" t="s">
        <v>5287</v>
      </c>
      <c r="D428" s="2" t="s">
        <v>5288</v>
      </c>
      <c r="F428" s="3" t="s">
        <v>58</v>
      </c>
      <c r="G428" s="3" t="s">
        <v>59</v>
      </c>
      <c r="H428" s="3" t="s">
        <v>58</v>
      </c>
      <c r="I428" s="3" t="s">
        <v>58</v>
      </c>
      <c r="J428" s="3" t="s">
        <v>60</v>
      </c>
      <c r="L428" s="2" t="s">
        <v>5289</v>
      </c>
      <c r="M428" s="3" t="s">
        <v>726</v>
      </c>
      <c r="N428" s="2" t="s">
        <v>2273</v>
      </c>
      <c r="O428" s="3" t="s">
        <v>64</v>
      </c>
      <c r="P428" s="3" t="s">
        <v>117</v>
      </c>
      <c r="R428" s="3" t="s">
        <v>66</v>
      </c>
      <c r="S428" s="4">
        <v>18</v>
      </c>
      <c r="T428" s="4">
        <v>18</v>
      </c>
      <c r="U428" s="5" t="s">
        <v>5036</v>
      </c>
      <c r="V428" s="5" t="s">
        <v>5036</v>
      </c>
      <c r="W428" s="5" t="s">
        <v>5290</v>
      </c>
      <c r="X428" s="5" t="s">
        <v>5290</v>
      </c>
      <c r="Y428" s="4">
        <v>658</v>
      </c>
      <c r="Z428" s="4">
        <v>616</v>
      </c>
      <c r="AA428" s="4">
        <v>621</v>
      </c>
      <c r="AB428" s="4">
        <v>4</v>
      </c>
      <c r="AC428" s="4">
        <v>4</v>
      </c>
      <c r="AD428" s="4">
        <v>7</v>
      </c>
      <c r="AE428" s="4">
        <v>7</v>
      </c>
      <c r="AF428" s="4">
        <v>2</v>
      </c>
      <c r="AG428" s="4">
        <v>2</v>
      </c>
      <c r="AH428" s="4">
        <v>1</v>
      </c>
      <c r="AI428" s="4">
        <v>1</v>
      </c>
      <c r="AJ428" s="4">
        <v>4</v>
      </c>
      <c r="AK428" s="4">
        <v>4</v>
      </c>
      <c r="AL428" s="4">
        <v>1</v>
      </c>
      <c r="AM428" s="4">
        <v>1</v>
      </c>
      <c r="AN428" s="4">
        <v>0</v>
      </c>
      <c r="AO428" s="4">
        <v>0</v>
      </c>
      <c r="AP428" s="3" t="s">
        <v>58</v>
      </c>
      <c r="AQ428" s="3" t="s">
        <v>58</v>
      </c>
      <c r="AS428" s="6" t="str">
        <f>HYPERLINK("https://creighton-primo.hosted.exlibrisgroup.com/primo-explore/search?tab=default_tab&amp;search_scope=EVERYTHING&amp;vid=01CRU&amp;lang=en_US&amp;offset=0&amp;query=any,contains,991001027949702656","Catalog Record")</f>
        <v>Catalog Record</v>
      </c>
      <c r="AT428" s="6" t="str">
        <f>HYPERLINK("http://www.worldcat.org/oclc/21600625","WorldCat Record")</f>
        <v>WorldCat Record</v>
      </c>
      <c r="AU428" s="3" t="s">
        <v>5291</v>
      </c>
      <c r="AV428" s="3" t="s">
        <v>5292</v>
      </c>
      <c r="AW428" s="3" t="s">
        <v>5293</v>
      </c>
      <c r="AX428" s="3" t="s">
        <v>5293</v>
      </c>
      <c r="AY428" s="3" t="s">
        <v>5294</v>
      </c>
      <c r="AZ428" s="3" t="s">
        <v>73</v>
      </c>
      <c r="BB428" s="3" t="s">
        <v>5295</v>
      </c>
      <c r="BC428" s="3" t="s">
        <v>5296</v>
      </c>
      <c r="BD428" s="3" t="s">
        <v>5297</v>
      </c>
    </row>
    <row r="429" spans="1:56" ht="40.5" customHeight="1" x14ac:dyDescent="0.25">
      <c r="A429" s="7" t="s">
        <v>58</v>
      </c>
      <c r="B429" s="2" t="s">
        <v>5298</v>
      </c>
      <c r="C429" s="2" t="s">
        <v>5299</v>
      </c>
      <c r="D429" s="2" t="s">
        <v>5300</v>
      </c>
      <c r="F429" s="3" t="s">
        <v>58</v>
      </c>
      <c r="G429" s="3" t="s">
        <v>59</v>
      </c>
      <c r="H429" s="3" t="s">
        <v>58</v>
      </c>
      <c r="I429" s="3" t="s">
        <v>58</v>
      </c>
      <c r="J429" s="3" t="s">
        <v>60</v>
      </c>
      <c r="K429" s="2" t="s">
        <v>5301</v>
      </c>
      <c r="L429" s="2" t="s">
        <v>5302</v>
      </c>
      <c r="M429" s="3" t="s">
        <v>2552</v>
      </c>
      <c r="O429" s="3" t="s">
        <v>64</v>
      </c>
      <c r="P429" s="3" t="s">
        <v>117</v>
      </c>
      <c r="R429" s="3" t="s">
        <v>66</v>
      </c>
      <c r="S429" s="4">
        <v>7</v>
      </c>
      <c r="T429" s="4">
        <v>7</v>
      </c>
      <c r="U429" s="5" t="s">
        <v>1787</v>
      </c>
      <c r="V429" s="5" t="s">
        <v>1787</v>
      </c>
      <c r="W429" s="5" t="s">
        <v>5303</v>
      </c>
      <c r="X429" s="5" t="s">
        <v>5303</v>
      </c>
      <c r="Y429" s="4">
        <v>250</v>
      </c>
      <c r="Z429" s="4">
        <v>216</v>
      </c>
      <c r="AA429" s="4">
        <v>218</v>
      </c>
      <c r="AB429" s="4">
        <v>1</v>
      </c>
      <c r="AC429" s="4">
        <v>1</v>
      </c>
      <c r="AD429" s="4">
        <v>7</v>
      </c>
      <c r="AE429" s="4">
        <v>7</v>
      </c>
      <c r="AF429" s="4">
        <v>1</v>
      </c>
      <c r="AG429" s="4">
        <v>1</v>
      </c>
      <c r="AH429" s="4">
        <v>3</v>
      </c>
      <c r="AI429" s="4">
        <v>3</v>
      </c>
      <c r="AJ429" s="4">
        <v>4</v>
      </c>
      <c r="AK429" s="4">
        <v>4</v>
      </c>
      <c r="AL429" s="4">
        <v>0</v>
      </c>
      <c r="AM429" s="4">
        <v>0</v>
      </c>
      <c r="AN429" s="4">
        <v>0</v>
      </c>
      <c r="AO429" s="4">
        <v>0</v>
      </c>
      <c r="AP429" s="3" t="s">
        <v>58</v>
      </c>
      <c r="AQ429" s="3" t="s">
        <v>85</v>
      </c>
      <c r="AR429" s="6" t="str">
        <f>HYPERLINK("http://catalog.hathitrust.org/Record/000583936","HathiTrust Record")</f>
        <v>HathiTrust Record</v>
      </c>
      <c r="AS429" s="6" t="str">
        <f>HYPERLINK("https://creighton-primo.hosted.exlibrisgroup.com/primo-explore/search?tab=default_tab&amp;search_scope=EVERYTHING&amp;vid=01CRU&amp;lang=en_US&amp;offset=0&amp;query=any,contains,991001345259702656","Catalog Record")</f>
        <v>Catalog Record</v>
      </c>
      <c r="AT429" s="6" t="str">
        <f>HYPERLINK("http://www.worldcat.org/oclc/12808033","WorldCat Record")</f>
        <v>WorldCat Record</v>
      </c>
      <c r="AU429" s="3" t="s">
        <v>5304</v>
      </c>
      <c r="AV429" s="3" t="s">
        <v>5305</v>
      </c>
      <c r="AW429" s="3" t="s">
        <v>5306</v>
      </c>
      <c r="AX429" s="3" t="s">
        <v>5306</v>
      </c>
      <c r="AY429" s="3" t="s">
        <v>5307</v>
      </c>
      <c r="AZ429" s="3" t="s">
        <v>73</v>
      </c>
      <c r="BB429" s="3" t="s">
        <v>5308</v>
      </c>
      <c r="BC429" s="3" t="s">
        <v>5309</v>
      </c>
      <c r="BD429" s="3" t="s">
        <v>5310</v>
      </c>
    </row>
    <row r="430" spans="1:56" ht="40.5" customHeight="1" x14ac:dyDescent="0.25">
      <c r="A430" s="7" t="s">
        <v>58</v>
      </c>
      <c r="B430" s="2" t="s">
        <v>5311</v>
      </c>
      <c r="C430" s="2" t="s">
        <v>5312</v>
      </c>
      <c r="D430" s="2" t="s">
        <v>5313</v>
      </c>
      <c r="F430" s="3" t="s">
        <v>58</v>
      </c>
      <c r="G430" s="3" t="s">
        <v>59</v>
      </c>
      <c r="H430" s="3" t="s">
        <v>58</v>
      </c>
      <c r="I430" s="3" t="s">
        <v>58</v>
      </c>
      <c r="J430" s="3" t="s">
        <v>60</v>
      </c>
      <c r="K430" s="2" t="s">
        <v>5314</v>
      </c>
      <c r="L430" s="2" t="s">
        <v>5315</v>
      </c>
      <c r="M430" s="3" t="s">
        <v>1067</v>
      </c>
      <c r="N430" s="2" t="s">
        <v>5316</v>
      </c>
      <c r="O430" s="3" t="s">
        <v>64</v>
      </c>
      <c r="P430" s="3" t="s">
        <v>304</v>
      </c>
      <c r="R430" s="3" t="s">
        <v>66</v>
      </c>
      <c r="S430" s="4">
        <v>21</v>
      </c>
      <c r="T430" s="4">
        <v>21</v>
      </c>
      <c r="U430" s="5" t="s">
        <v>5317</v>
      </c>
      <c r="V430" s="5" t="s">
        <v>5317</v>
      </c>
      <c r="W430" s="5" t="s">
        <v>5318</v>
      </c>
      <c r="X430" s="5" t="s">
        <v>5318</v>
      </c>
      <c r="Y430" s="4">
        <v>96</v>
      </c>
      <c r="Z430" s="4">
        <v>73</v>
      </c>
      <c r="AA430" s="4">
        <v>150</v>
      </c>
      <c r="AB430" s="4">
        <v>1</v>
      </c>
      <c r="AC430" s="4">
        <v>2</v>
      </c>
      <c r="AD430" s="4">
        <v>1</v>
      </c>
      <c r="AE430" s="4">
        <v>3</v>
      </c>
      <c r="AF430" s="4">
        <v>1</v>
      </c>
      <c r="AG430" s="4">
        <v>2</v>
      </c>
      <c r="AH430" s="4">
        <v>0</v>
      </c>
      <c r="AI430" s="4">
        <v>0</v>
      </c>
      <c r="AJ430" s="4">
        <v>0</v>
      </c>
      <c r="AK430" s="4">
        <v>0</v>
      </c>
      <c r="AL430" s="4">
        <v>0</v>
      </c>
      <c r="AM430" s="4">
        <v>1</v>
      </c>
      <c r="AN430" s="4">
        <v>0</v>
      </c>
      <c r="AO430" s="4">
        <v>0</v>
      </c>
      <c r="AP430" s="3" t="s">
        <v>58</v>
      </c>
      <c r="AQ430" s="3" t="s">
        <v>85</v>
      </c>
      <c r="AR430" s="6" t="str">
        <f>HYPERLINK("http://catalog.hathitrust.org/Record/009179133","HathiTrust Record")</f>
        <v>HathiTrust Record</v>
      </c>
      <c r="AS430" s="6" t="str">
        <f>HYPERLINK("https://creighton-primo.hosted.exlibrisgroup.com/primo-explore/search?tab=default_tab&amp;search_scope=EVERYTHING&amp;vid=01CRU&amp;lang=en_US&amp;offset=0&amp;query=any,contains,991000950519702656","Catalog Record")</f>
        <v>Catalog Record</v>
      </c>
      <c r="AT430" s="6" t="str">
        <f>HYPERLINK("http://www.worldcat.org/oclc/26768544","WorldCat Record")</f>
        <v>WorldCat Record</v>
      </c>
      <c r="AU430" s="3" t="s">
        <v>5319</v>
      </c>
      <c r="AV430" s="3" t="s">
        <v>5320</v>
      </c>
      <c r="AW430" s="3" t="s">
        <v>5321</v>
      </c>
      <c r="AX430" s="3" t="s">
        <v>5321</v>
      </c>
      <c r="AY430" s="3" t="s">
        <v>5322</v>
      </c>
      <c r="AZ430" s="3" t="s">
        <v>73</v>
      </c>
      <c r="BB430" s="3" t="s">
        <v>5323</v>
      </c>
      <c r="BC430" s="3" t="s">
        <v>5324</v>
      </c>
      <c r="BD430" s="3" t="s">
        <v>5325</v>
      </c>
    </row>
    <row r="431" spans="1:56" ht="40.5" customHeight="1" x14ac:dyDescent="0.25">
      <c r="A431" s="7" t="s">
        <v>58</v>
      </c>
      <c r="B431" s="2" t="s">
        <v>5326</v>
      </c>
      <c r="C431" s="2" t="s">
        <v>5327</v>
      </c>
      <c r="D431" s="2" t="s">
        <v>5328</v>
      </c>
      <c r="F431" s="3" t="s">
        <v>58</v>
      </c>
      <c r="G431" s="3" t="s">
        <v>59</v>
      </c>
      <c r="H431" s="3" t="s">
        <v>58</v>
      </c>
      <c r="I431" s="3" t="s">
        <v>58</v>
      </c>
      <c r="J431" s="3" t="s">
        <v>60</v>
      </c>
      <c r="L431" s="2" t="s">
        <v>3547</v>
      </c>
      <c r="M431" s="3" t="s">
        <v>2552</v>
      </c>
      <c r="O431" s="3" t="s">
        <v>64</v>
      </c>
      <c r="P431" s="3" t="s">
        <v>65</v>
      </c>
      <c r="Q431" s="2" t="s">
        <v>5329</v>
      </c>
      <c r="R431" s="3" t="s">
        <v>66</v>
      </c>
      <c r="S431" s="4">
        <v>6</v>
      </c>
      <c r="T431" s="4">
        <v>6</v>
      </c>
      <c r="U431" s="5" t="s">
        <v>3408</v>
      </c>
      <c r="V431" s="5" t="s">
        <v>3408</v>
      </c>
      <c r="W431" s="5" t="s">
        <v>4343</v>
      </c>
      <c r="X431" s="5" t="s">
        <v>4343</v>
      </c>
      <c r="Y431" s="4">
        <v>309</v>
      </c>
      <c r="Z431" s="4">
        <v>236</v>
      </c>
      <c r="AA431" s="4">
        <v>267</v>
      </c>
      <c r="AB431" s="4">
        <v>4</v>
      </c>
      <c r="AC431" s="4">
        <v>4</v>
      </c>
      <c r="AD431" s="4">
        <v>10</v>
      </c>
      <c r="AE431" s="4">
        <v>12</v>
      </c>
      <c r="AF431" s="4">
        <v>2</v>
      </c>
      <c r="AG431" s="4">
        <v>3</v>
      </c>
      <c r="AH431" s="4">
        <v>4</v>
      </c>
      <c r="AI431" s="4">
        <v>5</v>
      </c>
      <c r="AJ431" s="4">
        <v>5</v>
      </c>
      <c r="AK431" s="4">
        <v>5</v>
      </c>
      <c r="AL431" s="4">
        <v>3</v>
      </c>
      <c r="AM431" s="4">
        <v>3</v>
      </c>
      <c r="AN431" s="4">
        <v>0</v>
      </c>
      <c r="AO431" s="4">
        <v>0</v>
      </c>
      <c r="AP431" s="3" t="s">
        <v>58</v>
      </c>
      <c r="AQ431" s="3" t="s">
        <v>85</v>
      </c>
      <c r="AR431" s="6" t="str">
        <f>HYPERLINK("http://catalog.hathitrust.org/Record/000819469","HathiTrust Record")</f>
        <v>HathiTrust Record</v>
      </c>
      <c r="AS431" s="6" t="str">
        <f>HYPERLINK("https://creighton-primo.hosted.exlibrisgroup.com/primo-explore/search?tab=default_tab&amp;search_scope=EVERYTHING&amp;vid=01CRU&amp;lang=en_US&amp;offset=0&amp;query=any,contains,991000909249702656","Catalog Record")</f>
        <v>Catalog Record</v>
      </c>
      <c r="AT431" s="6" t="str">
        <f>HYPERLINK("http://www.worldcat.org/oclc/13760882","WorldCat Record")</f>
        <v>WorldCat Record</v>
      </c>
      <c r="AU431" s="3" t="s">
        <v>5330</v>
      </c>
      <c r="AV431" s="3" t="s">
        <v>5331</v>
      </c>
      <c r="AW431" s="3" t="s">
        <v>5332</v>
      </c>
      <c r="AX431" s="3" t="s">
        <v>5332</v>
      </c>
      <c r="AY431" s="3" t="s">
        <v>5333</v>
      </c>
      <c r="AZ431" s="3" t="s">
        <v>73</v>
      </c>
      <c r="BB431" s="3" t="s">
        <v>5334</v>
      </c>
      <c r="BC431" s="3" t="s">
        <v>5335</v>
      </c>
      <c r="BD431" s="3" t="s">
        <v>5336</v>
      </c>
    </row>
    <row r="432" spans="1:56" ht="40.5" customHeight="1" x14ac:dyDescent="0.25">
      <c r="A432" s="7" t="s">
        <v>58</v>
      </c>
      <c r="B432" s="2" t="s">
        <v>5337</v>
      </c>
      <c r="C432" s="2" t="s">
        <v>5338</v>
      </c>
      <c r="D432" s="2" t="s">
        <v>5339</v>
      </c>
      <c r="F432" s="3" t="s">
        <v>58</v>
      </c>
      <c r="G432" s="3" t="s">
        <v>59</v>
      </c>
      <c r="H432" s="3" t="s">
        <v>58</v>
      </c>
      <c r="I432" s="3" t="s">
        <v>58</v>
      </c>
      <c r="J432" s="3" t="s">
        <v>60</v>
      </c>
      <c r="L432" s="2" t="s">
        <v>5340</v>
      </c>
      <c r="M432" s="3" t="s">
        <v>116</v>
      </c>
      <c r="O432" s="3" t="s">
        <v>64</v>
      </c>
      <c r="P432" s="3" t="s">
        <v>1394</v>
      </c>
      <c r="Q432" s="2" t="s">
        <v>5341</v>
      </c>
      <c r="R432" s="3" t="s">
        <v>66</v>
      </c>
      <c r="S432" s="4">
        <v>9</v>
      </c>
      <c r="T432" s="4">
        <v>9</v>
      </c>
      <c r="U432" s="5" t="s">
        <v>5342</v>
      </c>
      <c r="V432" s="5" t="s">
        <v>5342</v>
      </c>
      <c r="W432" s="5" t="s">
        <v>5343</v>
      </c>
      <c r="X432" s="5" t="s">
        <v>5343</v>
      </c>
      <c r="Y432" s="4">
        <v>206</v>
      </c>
      <c r="Z432" s="4">
        <v>155</v>
      </c>
      <c r="AA432" s="4">
        <v>164</v>
      </c>
      <c r="AB432" s="4">
        <v>2</v>
      </c>
      <c r="AC432" s="4">
        <v>2</v>
      </c>
      <c r="AD432" s="4">
        <v>6</v>
      </c>
      <c r="AE432" s="4">
        <v>6</v>
      </c>
      <c r="AF432" s="4">
        <v>0</v>
      </c>
      <c r="AG432" s="4">
        <v>0</v>
      </c>
      <c r="AH432" s="4">
        <v>4</v>
      </c>
      <c r="AI432" s="4">
        <v>4</v>
      </c>
      <c r="AJ432" s="4">
        <v>2</v>
      </c>
      <c r="AK432" s="4">
        <v>2</v>
      </c>
      <c r="AL432" s="4">
        <v>1</v>
      </c>
      <c r="AM432" s="4">
        <v>1</v>
      </c>
      <c r="AN432" s="4">
        <v>0</v>
      </c>
      <c r="AO432" s="4">
        <v>0</v>
      </c>
      <c r="AP432" s="3" t="s">
        <v>58</v>
      </c>
      <c r="AQ432" s="3" t="s">
        <v>85</v>
      </c>
      <c r="AR432" s="6" t="str">
        <f>HYPERLINK("http://catalog.hathitrust.org/Record/002545302","HathiTrust Record")</f>
        <v>HathiTrust Record</v>
      </c>
      <c r="AS432" s="6" t="str">
        <f>HYPERLINK("https://creighton-primo.hosted.exlibrisgroup.com/primo-explore/search?tab=default_tab&amp;search_scope=EVERYTHING&amp;vid=01CRU&amp;lang=en_US&amp;offset=0&amp;query=any,contains,991001303399702656","Catalog Record")</f>
        <v>Catalog Record</v>
      </c>
      <c r="AT432" s="6" t="str">
        <f>HYPERLINK("http://www.worldcat.org/oclc/24668590","WorldCat Record")</f>
        <v>WorldCat Record</v>
      </c>
      <c r="AU432" s="3" t="s">
        <v>5344</v>
      </c>
      <c r="AV432" s="3" t="s">
        <v>5345</v>
      </c>
      <c r="AW432" s="3" t="s">
        <v>5346</v>
      </c>
      <c r="AX432" s="3" t="s">
        <v>5346</v>
      </c>
      <c r="AY432" s="3" t="s">
        <v>5347</v>
      </c>
      <c r="AZ432" s="3" t="s">
        <v>73</v>
      </c>
      <c r="BB432" s="3" t="s">
        <v>5348</v>
      </c>
      <c r="BC432" s="3" t="s">
        <v>5349</v>
      </c>
      <c r="BD432" s="3" t="s">
        <v>5350</v>
      </c>
    </row>
    <row r="433" spans="1:56" ht="40.5" customHeight="1" x14ac:dyDescent="0.25">
      <c r="A433" s="7" t="s">
        <v>58</v>
      </c>
      <c r="B433" s="2" t="s">
        <v>5351</v>
      </c>
      <c r="C433" s="2" t="s">
        <v>5352</v>
      </c>
      <c r="D433" s="2" t="s">
        <v>5353</v>
      </c>
      <c r="F433" s="3" t="s">
        <v>58</v>
      </c>
      <c r="G433" s="3" t="s">
        <v>59</v>
      </c>
      <c r="H433" s="3" t="s">
        <v>58</v>
      </c>
      <c r="I433" s="3" t="s">
        <v>58</v>
      </c>
      <c r="J433" s="3" t="s">
        <v>60</v>
      </c>
      <c r="L433" s="2" t="s">
        <v>1448</v>
      </c>
      <c r="M433" s="3" t="s">
        <v>182</v>
      </c>
      <c r="O433" s="3" t="s">
        <v>64</v>
      </c>
      <c r="P433" s="3" t="s">
        <v>117</v>
      </c>
      <c r="R433" s="3" t="s">
        <v>66</v>
      </c>
      <c r="S433" s="4">
        <v>4</v>
      </c>
      <c r="T433" s="4">
        <v>4</v>
      </c>
      <c r="U433" s="5" t="s">
        <v>5354</v>
      </c>
      <c r="V433" s="5" t="s">
        <v>5354</v>
      </c>
      <c r="W433" s="5" t="s">
        <v>1451</v>
      </c>
      <c r="X433" s="5" t="s">
        <v>1451</v>
      </c>
      <c r="Y433" s="4">
        <v>320</v>
      </c>
      <c r="Z433" s="4">
        <v>254</v>
      </c>
      <c r="AA433" s="4">
        <v>261</v>
      </c>
      <c r="AB433" s="4">
        <v>3</v>
      </c>
      <c r="AC433" s="4">
        <v>3</v>
      </c>
      <c r="AD433" s="4">
        <v>8</v>
      </c>
      <c r="AE433" s="4">
        <v>8</v>
      </c>
      <c r="AF433" s="4">
        <v>0</v>
      </c>
      <c r="AG433" s="4">
        <v>0</v>
      </c>
      <c r="AH433" s="4">
        <v>3</v>
      </c>
      <c r="AI433" s="4">
        <v>3</v>
      </c>
      <c r="AJ433" s="4">
        <v>4</v>
      </c>
      <c r="AK433" s="4">
        <v>4</v>
      </c>
      <c r="AL433" s="4">
        <v>2</v>
      </c>
      <c r="AM433" s="4">
        <v>2</v>
      </c>
      <c r="AN433" s="4">
        <v>0</v>
      </c>
      <c r="AO433" s="4">
        <v>0</v>
      </c>
      <c r="AP433" s="3" t="s">
        <v>58</v>
      </c>
      <c r="AQ433" s="3" t="s">
        <v>85</v>
      </c>
      <c r="AR433" s="6" t="str">
        <f>HYPERLINK("http://catalog.hathitrust.org/Record/000829036","HathiTrust Record")</f>
        <v>HathiTrust Record</v>
      </c>
      <c r="AS433" s="6" t="str">
        <f>HYPERLINK("https://creighton-primo.hosted.exlibrisgroup.com/primo-explore/search?tab=default_tab&amp;search_scope=EVERYTHING&amp;vid=01CRU&amp;lang=en_US&amp;offset=0&amp;query=any,contains,991001530779702656","Catalog Record")</f>
        <v>Catalog Record</v>
      </c>
      <c r="AT433" s="6" t="str">
        <f>HYPERLINK("http://www.worldcat.org/oclc/15252580","WorldCat Record")</f>
        <v>WorldCat Record</v>
      </c>
      <c r="AU433" s="3" t="s">
        <v>5355</v>
      </c>
      <c r="AV433" s="3" t="s">
        <v>5356</v>
      </c>
      <c r="AW433" s="3" t="s">
        <v>5357</v>
      </c>
      <c r="AX433" s="3" t="s">
        <v>5357</v>
      </c>
      <c r="AY433" s="3" t="s">
        <v>5358</v>
      </c>
      <c r="AZ433" s="3" t="s">
        <v>73</v>
      </c>
      <c r="BB433" s="3" t="s">
        <v>5359</v>
      </c>
      <c r="BC433" s="3" t="s">
        <v>5360</v>
      </c>
      <c r="BD433" s="3" t="s">
        <v>5361</v>
      </c>
    </row>
    <row r="434" spans="1:56" ht="40.5" customHeight="1" x14ac:dyDescent="0.25">
      <c r="A434" s="7" t="s">
        <v>58</v>
      </c>
      <c r="B434" s="2" t="s">
        <v>5362</v>
      </c>
      <c r="C434" s="2" t="s">
        <v>5363</v>
      </c>
      <c r="D434" s="2" t="s">
        <v>5364</v>
      </c>
      <c r="F434" s="3" t="s">
        <v>58</v>
      </c>
      <c r="G434" s="3" t="s">
        <v>59</v>
      </c>
      <c r="H434" s="3" t="s">
        <v>58</v>
      </c>
      <c r="I434" s="3" t="s">
        <v>58</v>
      </c>
      <c r="J434" s="3" t="s">
        <v>60</v>
      </c>
      <c r="L434" s="2" t="s">
        <v>5365</v>
      </c>
      <c r="M434" s="3" t="s">
        <v>197</v>
      </c>
      <c r="N434" s="2" t="s">
        <v>5366</v>
      </c>
      <c r="O434" s="3" t="s">
        <v>64</v>
      </c>
      <c r="P434" s="3" t="s">
        <v>152</v>
      </c>
      <c r="R434" s="3" t="s">
        <v>66</v>
      </c>
      <c r="S434" s="4">
        <v>9</v>
      </c>
      <c r="T434" s="4">
        <v>9</v>
      </c>
      <c r="U434" s="5" t="s">
        <v>5367</v>
      </c>
      <c r="V434" s="5" t="s">
        <v>5367</v>
      </c>
      <c r="W434" s="5" t="s">
        <v>5368</v>
      </c>
      <c r="X434" s="5" t="s">
        <v>5368</v>
      </c>
      <c r="Y434" s="4">
        <v>41</v>
      </c>
      <c r="Z434" s="4">
        <v>38</v>
      </c>
      <c r="AA434" s="4">
        <v>46</v>
      </c>
      <c r="AB434" s="4">
        <v>1</v>
      </c>
      <c r="AC434" s="4">
        <v>1</v>
      </c>
      <c r="AD434" s="4">
        <v>0</v>
      </c>
      <c r="AE434" s="4">
        <v>0</v>
      </c>
      <c r="AF434" s="4">
        <v>0</v>
      </c>
      <c r="AG434" s="4">
        <v>0</v>
      </c>
      <c r="AH434" s="4">
        <v>0</v>
      </c>
      <c r="AI434" s="4">
        <v>0</v>
      </c>
      <c r="AJ434" s="4">
        <v>0</v>
      </c>
      <c r="AK434" s="4">
        <v>0</v>
      </c>
      <c r="AL434" s="4">
        <v>0</v>
      </c>
      <c r="AM434" s="4">
        <v>0</v>
      </c>
      <c r="AN434" s="4">
        <v>0</v>
      </c>
      <c r="AO434" s="4">
        <v>0</v>
      </c>
      <c r="AP434" s="3" t="s">
        <v>85</v>
      </c>
      <c r="AQ434" s="3" t="s">
        <v>58</v>
      </c>
      <c r="AR434" s="6" t="str">
        <f>HYPERLINK("http://catalog.hathitrust.org/Record/009147614","HathiTrust Record")</f>
        <v>HathiTrust Record</v>
      </c>
      <c r="AS434" s="6" t="str">
        <f>HYPERLINK("https://creighton-primo.hosted.exlibrisgroup.com/primo-explore/search?tab=default_tab&amp;search_scope=EVERYTHING&amp;vid=01CRU&amp;lang=en_US&amp;offset=0&amp;query=any,contains,991001110389702656","Catalog Record")</f>
        <v>Catalog Record</v>
      </c>
      <c r="AT434" s="6" t="str">
        <f>HYPERLINK("http://www.worldcat.org/oclc/19565958","WorldCat Record")</f>
        <v>WorldCat Record</v>
      </c>
      <c r="AU434" s="3" t="s">
        <v>5369</v>
      </c>
      <c r="AV434" s="3" t="s">
        <v>5370</v>
      </c>
      <c r="AW434" s="3" t="s">
        <v>5371</v>
      </c>
      <c r="AX434" s="3" t="s">
        <v>5371</v>
      </c>
      <c r="AY434" s="3" t="s">
        <v>5372</v>
      </c>
      <c r="AZ434" s="3" t="s">
        <v>73</v>
      </c>
      <c r="BC434" s="3" t="s">
        <v>5373</v>
      </c>
      <c r="BD434" s="3" t="s">
        <v>5374</v>
      </c>
    </row>
    <row r="435" spans="1:56" ht="40.5" customHeight="1" x14ac:dyDescent="0.25">
      <c r="A435" s="7" t="s">
        <v>58</v>
      </c>
      <c r="B435" s="2" t="s">
        <v>5375</v>
      </c>
      <c r="C435" s="2" t="s">
        <v>5376</v>
      </c>
      <c r="D435" s="2" t="s">
        <v>5377</v>
      </c>
      <c r="F435" s="3" t="s">
        <v>58</v>
      </c>
      <c r="G435" s="3" t="s">
        <v>59</v>
      </c>
      <c r="H435" s="3" t="s">
        <v>58</v>
      </c>
      <c r="I435" s="3" t="s">
        <v>58</v>
      </c>
      <c r="J435" s="3" t="s">
        <v>60</v>
      </c>
      <c r="L435" s="2" t="s">
        <v>5378</v>
      </c>
      <c r="M435" s="3" t="s">
        <v>1067</v>
      </c>
      <c r="O435" s="3" t="s">
        <v>64</v>
      </c>
      <c r="P435" s="3" t="s">
        <v>117</v>
      </c>
      <c r="R435" s="3" t="s">
        <v>66</v>
      </c>
      <c r="S435" s="4">
        <v>13</v>
      </c>
      <c r="T435" s="4">
        <v>13</v>
      </c>
      <c r="U435" s="5" t="s">
        <v>5379</v>
      </c>
      <c r="V435" s="5" t="s">
        <v>5379</v>
      </c>
      <c r="W435" s="5" t="s">
        <v>5380</v>
      </c>
      <c r="X435" s="5" t="s">
        <v>5380</v>
      </c>
      <c r="Y435" s="4">
        <v>268</v>
      </c>
      <c r="Z435" s="4">
        <v>216</v>
      </c>
      <c r="AA435" s="4">
        <v>286</v>
      </c>
      <c r="AB435" s="4">
        <v>1</v>
      </c>
      <c r="AC435" s="4">
        <v>1</v>
      </c>
      <c r="AD435" s="4">
        <v>4</v>
      </c>
      <c r="AE435" s="4">
        <v>7</v>
      </c>
      <c r="AF435" s="4">
        <v>1</v>
      </c>
      <c r="AG435" s="4">
        <v>3</v>
      </c>
      <c r="AH435" s="4">
        <v>1</v>
      </c>
      <c r="AI435" s="4">
        <v>2</v>
      </c>
      <c r="AJ435" s="4">
        <v>2</v>
      </c>
      <c r="AK435" s="4">
        <v>4</v>
      </c>
      <c r="AL435" s="4">
        <v>0</v>
      </c>
      <c r="AM435" s="4">
        <v>0</v>
      </c>
      <c r="AN435" s="4">
        <v>0</v>
      </c>
      <c r="AO435" s="4">
        <v>0</v>
      </c>
      <c r="AP435" s="3" t="s">
        <v>58</v>
      </c>
      <c r="AQ435" s="3" t="s">
        <v>58</v>
      </c>
      <c r="AS435" s="6" t="str">
        <f>HYPERLINK("https://creighton-primo.hosted.exlibrisgroup.com/primo-explore/search?tab=default_tab&amp;search_scope=EVERYTHING&amp;vid=01CRU&amp;lang=en_US&amp;offset=0&amp;query=any,contains,991000938259702656","Catalog Record")</f>
        <v>Catalog Record</v>
      </c>
      <c r="AT435" s="6" t="str">
        <f>HYPERLINK("http://www.worldcat.org/oclc/22892595","WorldCat Record")</f>
        <v>WorldCat Record</v>
      </c>
      <c r="AU435" s="3" t="s">
        <v>5381</v>
      </c>
      <c r="AV435" s="3" t="s">
        <v>5382</v>
      </c>
      <c r="AW435" s="3" t="s">
        <v>5383</v>
      </c>
      <c r="AX435" s="3" t="s">
        <v>5383</v>
      </c>
      <c r="AY435" s="3" t="s">
        <v>5384</v>
      </c>
      <c r="AZ435" s="3" t="s">
        <v>73</v>
      </c>
      <c r="BB435" s="3" t="s">
        <v>5385</v>
      </c>
      <c r="BC435" s="3" t="s">
        <v>5386</v>
      </c>
      <c r="BD435" s="3" t="s">
        <v>5387</v>
      </c>
    </row>
    <row r="436" spans="1:56" ht="40.5" customHeight="1" x14ac:dyDescent="0.25">
      <c r="A436" s="7" t="s">
        <v>58</v>
      </c>
      <c r="B436" s="2" t="s">
        <v>5388</v>
      </c>
      <c r="C436" s="2" t="s">
        <v>5389</v>
      </c>
      <c r="D436" s="2" t="s">
        <v>5390</v>
      </c>
      <c r="F436" s="3" t="s">
        <v>58</v>
      </c>
      <c r="G436" s="3" t="s">
        <v>59</v>
      </c>
      <c r="H436" s="3" t="s">
        <v>58</v>
      </c>
      <c r="I436" s="3" t="s">
        <v>58</v>
      </c>
      <c r="J436" s="3" t="s">
        <v>60</v>
      </c>
      <c r="L436" s="2" t="s">
        <v>5391</v>
      </c>
      <c r="M436" s="3" t="s">
        <v>424</v>
      </c>
      <c r="O436" s="3" t="s">
        <v>64</v>
      </c>
      <c r="P436" s="3" t="s">
        <v>117</v>
      </c>
      <c r="R436" s="3" t="s">
        <v>66</v>
      </c>
      <c r="S436" s="4">
        <v>24</v>
      </c>
      <c r="T436" s="4">
        <v>24</v>
      </c>
      <c r="U436" s="5" t="s">
        <v>729</v>
      </c>
      <c r="V436" s="5" t="s">
        <v>729</v>
      </c>
      <c r="W436" s="5" t="s">
        <v>4343</v>
      </c>
      <c r="X436" s="5" t="s">
        <v>4343</v>
      </c>
      <c r="Y436" s="4">
        <v>298</v>
      </c>
      <c r="Z436" s="4">
        <v>229</v>
      </c>
      <c r="AA436" s="4">
        <v>335</v>
      </c>
      <c r="AB436" s="4">
        <v>2</v>
      </c>
      <c r="AC436" s="4">
        <v>3</v>
      </c>
      <c r="AD436" s="4">
        <v>12</v>
      </c>
      <c r="AE436" s="4">
        <v>21</v>
      </c>
      <c r="AF436" s="4">
        <v>3</v>
      </c>
      <c r="AG436" s="4">
        <v>7</v>
      </c>
      <c r="AH436" s="4">
        <v>4</v>
      </c>
      <c r="AI436" s="4">
        <v>5</v>
      </c>
      <c r="AJ436" s="4">
        <v>8</v>
      </c>
      <c r="AK436" s="4">
        <v>13</v>
      </c>
      <c r="AL436" s="4">
        <v>1</v>
      </c>
      <c r="AM436" s="4">
        <v>2</v>
      </c>
      <c r="AN436" s="4">
        <v>0</v>
      </c>
      <c r="AO436" s="4">
        <v>0</v>
      </c>
      <c r="AP436" s="3" t="s">
        <v>58</v>
      </c>
      <c r="AQ436" s="3" t="s">
        <v>58</v>
      </c>
      <c r="AS436" s="6" t="str">
        <f>HYPERLINK("https://creighton-primo.hosted.exlibrisgroup.com/primo-explore/search?tab=default_tab&amp;search_scope=EVERYTHING&amp;vid=01CRU&amp;lang=en_US&amp;offset=0&amp;query=any,contains,991000908819702656","Catalog Record")</f>
        <v>Catalog Record</v>
      </c>
      <c r="AT436" s="6" t="str">
        <f>HYPERLINK("http://www.worldcat.org/oclc/10753000","WorldCat Record")</f>
        <v>WorldCat Record</v>
      </c>
      <c r="AU436" s="3" t="s">
        <v>5392</v>
      </c>
      <c r="AV436" s="3" t="s">
        <v>5393</v>
      </c>
      <c r="AW436" s="3" t="s">
        <v>5394</v>
      </c>
      <c r="AX436" s="3" t="s">
        <v>5394</v>
      </c>
      <c r="AY436" s="3" t="s">
        <v>5395</v>
      </c>
      <c r="AZ436" s="3" t="s">
        <v>73</v>
      </c>
      <c r="BB436" s="3" t="s">
        <v>5396</v>
      </c>
      <c r="BC436" s="3" t="s">
        <v>5397</v>
      </c>
      <c r="BD436" s="3" t="s">
        <v>5398</v>
      </c>
    </row>
    <row r="437" spans="1:56" ht="40.5" customHeight="1" x14ac:dyDescent="0.25">
      <c r="A437" s="7" t="s">
        <v>58</v>
      </c>
      <c r="B437" s="2" t="s">
        <v>5399</v>
      </c>
      <c r="C437" s="2" t="s">
        <v>5400</v>
      </c>
      <c r="D437" s="2" t="s">
        <v>5401</v>
      </c>
      <c r="F437" s="3" t="s">
        <v>58</v>
      </c>
      <c r="G437" s="3" t="s">
        <v>59</v>
      </c>
      <c r="H437" s="3" t="s">
        <v>58</v>
      </c>
      <c r="I437" s="3" t="s">
        <v>58</v>
      </c>
      <c r="J437" s="3" t="s">
        <v>60</v>
      </c>
      <c r="L437" s="2" t="s">
        <v>5402</v>
      </c>
      <c r="M437" s="3" t="s">
        <v>726</v>
      </c>
      <c r="N437" s="2" t="s">
        <v>288</v>
      </c>
      <c r="O437" s="3" t="s">
        <v>64</v>
      </c>
      <c r="P437" s="3" t="s">
        <v>117</v>
      </c>
      <c r="R437" s="3" t="s">
        <v>66</v>
      </c>
      <c r="S437" s="4">
        <v>10</v>
      </c>
      <c r="T437" s="4">
        <v>10</v>
      </c>
      <c r="U437" s="5" t="s">
        <v>5277</v>
      </c>
      <c r="V437" s="5" t="s">
        <v>5277</v>
      </c>
      <c r="W437" s="5" t="s">
        <v>617</v>
      </c>
      <c r="X437" s="5" t="s">
        <v>617</v>
      </c>
      <c r="Y437" s="4">
        <v>564</v>
      </c>
      <c r="Z437" s="4">
        <v>484</v>
      </c>
      <c r="AA437" s="4">
        <v>2642</v>
      </c>
      <c r="AB437" s="4">
        <v>3</v>
      </c>
      <c r="AC437" s="4">
        <v>12</v>
      </c>
      <c r="AD437" s="4">
        <v>8</v>
      </c>
      <c r="AE437" s="4">
        <v>39</v>
      </c>
      <c r="AF437" s="4">
        <v>4</v>
      </c>
      <c r="AG437" s="4">
        <v>15</v>
      </c>
      <c r="AH437" s="4">
        <v>1</v>
      </c>
      <c r="AI437" s="4">
        <v>7</v>
      </c>
      <c r="AJ437" s="4">
        <v>4</v>
      </c>
      <c r="AK437" s="4">
        <v>19</v>
      </c>
      <c r="AL437" s="4">
        <v>1</v>
      </c>
      <c r="AM437" s="4">
        <v>7</v>
      </c>
      <c r="AN437" s="4">
        <v>0</v>
      </c>
      <c r="AO437" s="4">
        <v>0</v>
      </c>
      <c r="AP437" s="3" t="s">
        <v>58</v>
      </c>
      <c r="AQ437" s="3" t="s">
        <v>58</v>
      </c>
      <c r="AS437" s="6" t="str">
        <f>HYPERLINK("https://creighton-primo.hosted.exlibrisgroup.com/primo-explore/search?tab=default_tab&amp;search_scope=EVERYTHING&amp;vid=01CRU&amp;lang=en_US&amp;offset=0&amp;query=any,contains,991000155619702656","Catalog Record")</f>
        <v>Catalog Record</v>
      </c>
      <c r="AT437" s="6" t="str">
        <f>HYPERLINK("http://www.worldcat.org/oclc/19887512","WorldCat Record")</f>
        <v>WorldCat Record</v>
      </c>
      <c r="AU437" s="3" t="s">
        <v>5403</v>
      </c>
      <c r="AV437" s="3" t="s">
        <v>5404</v>
      </c>
      <c r="AW437" s="3" t="s">
        <v>5405</v>
      </c>
      <c r="AX437" s="3" t="s">
        <v>5405</v>
      </c>
      <c r="AY437" s="3" t="s">
        <v>5406</v>
      </c>
      <c r="AZ437" s="3" t="s">
        <v>73</v>
      </c>
      <c r="BB437" s="3" t="s">
        <v>5407</v>
      </c>
      <c r="BC437" s="3" t="s">
        <v>5408</v>
      </c>
      <c r="BD437" s="3" t="s">
        <v>5409</v>
      </c>
    </row>
    <row r="438" spans="1:56" ht="40.5" customHeight="1" x14ac:dyDescent="0.25">
      <c r="A438" s="7" t="s">
        <v>58</v>
      </c>
      <c r="B438" s="2" t="s">
        <v>5410</v>
      </c>
      <c r="C438" s="2" t="s">
        <v>5411</v>
      </c>
      <c r="D438" s="2" t="s">
        <v>5412</v>
      </c>
      <c r="F438" s="3" t="s">
        <v>58</v>
      </c>
      <c r="G438" s="3" t="s">
        <v>59</v>
      </c>
      <c r="H438" s="3" t="s">
        <v>58</v>
      </c>
      <c r="I438" s="3" t="s">
        <v>58</v>
      </c>
      <c r="J438" s="3" t="s">
        <v>60</v>
      </c>
      <c r="K438" s="2" t="s">
        <v>5413</v>
      </c>
      <c r="L438" s="2" t="s">
        <v>5414</v>
      </c>
      <c r="M438" s="3" t="s">
        <v>1267</v>
      </c>
      <c r="N438" s="2" t="s">
        <v>134</v>
      </c>
      <c r="O438" s="3" t="s">
        <v>64</v>
      </c>
      <c r="P438" s="3" t="s">
        <v>2358</v>
      </c>
      <c r="R438" s="3" t="s">
        <v>66</v>
      </c>
      <c r="S438" s="4">
        <v>2</v>
      </c>
      <c r="T438" s="4">
        <v>2</v>
      </c>
      <c r="U438" s="5" t="s">
        <v>3050</v>
      </c>
      <c r="V438" s="5" t="s">
        <v>3050</v>
      </c>
      <c r="W438" s="5" t="s">
        <v>3050</v>
      </c>
      <c r="X438" s="5" t="s">
        <v>3050</v>
      </c>
      <c r="Y438" s="4">
        <v>231</v>
      </c>
      <c r="Z438" s="4">
        <v>178</v>
      </c>
      <c r="AA438" s="4">
        <v>478</v>
      </c>
      <c r="AB438" s="4">
        <v>1</v>
      </c>
      <c r="AC438" s="4">
        <v>6</v>
      </c>
      <c r="AD438" s="4">
        <v>8</v>
      </c>
      <c r="AE438" s="4">
        <v>20</v>
      </c>
      <c r="AF438" s="4">
        <v>3</v>
      </c>
      <c r="AG438" s="4">
        <v>7</v>
      </c>
      <c r="AH438" s="4">
        <v>3</v>
      </c>
      <c r="AI438" s="4">
        <v>4</v>
      </c>
      <c r="AJ438" s="4">
        <v>3</v>
      </c>
      <c r="AK438" s="4">
        <v>5</v>
      </c>
      <c r="AL438" s="4">
        <v>0</v>
      </c>
      <c r="AM438" s="4">
        <v>5</v>
      </c>
      <c r="AN438" s="4">
        <v>0</v>
      </c>
      <c r="AO438" s="4">
        <v>0</v>
      </c>
      <c r="AP438" s="3" t="s">
        <v>58</v>
      </c>
      <c r="AQ438" s="3" t="s">
        <v>58</v>
      </c>
      <c r="AS438" s="6" t="str">
        <f>HYPERLINK("https://creighton-primo.hosted.exlibrisgroup.com/primo-explore/search?tab=default_tab&amp;search_scope=EVERYTHING&amp;vid=01CRU&amp;lang=en_US&amp;offset=0&amp;query=any,contains,991000691539702656","Catalog Record")</f>
        <v>Catalog Record</v>
      </c>
      <c r="AT438" s="6" t="str">
        <f>HYPERLINK("http://www.worldcat.org/oclc/38504338","WorldCat Record")</f>
        <v>WorldCat Record</v>
      </c>
      <c r="AU438" s="3" t="s">
        <v>5415</v>
      </c>
      <c r="AV438" s="3" t="s">
        <v>5416</v>
      </c>
      <c r="AW438" s="3" t="s">
        <v>5417</v>
      </c>
      <c r="AX438" s="3" t="s">
        <v>5417</v>
      </c>
      <c r="AY438" s="3" t="s">
        <v>5418</v>
      </c>
      <c r="AZ438" s="3" t="s">
        <v>73</v>
      </c>
      <c r="BB438" s="3" t="s">
        <v>5419</v>
      </c>
      <c r="BC438" s="3" t="s">
        <v>5420</v>
      </c>
      <c r="BD438" s="3" t="s">
        <v>5421</v>
      </c>
    </row>
    <row r="439" spans="1:56" ht="40.5" customHeight="1" x14ac:dyDescent="0.25">
      <c r="A439" s="7" t="s">
        <v>58</v>
      </c>
      <c r="B439" s="2" t="s">
        <v>5422</v>
      </c>
      <c r="C439" s="2" t="s">
        <v>5423</v>
      </c>
      <c r="D439" s="2" t="s">
        <v>5424</v>
      </c>
      <c r="F439" s="3" t="s">
        <v>58</v>
      </c>
      <c r="G439" s="3" t="s">
        <v>59</v>
      </c>
      <c r="H439" s="3" t="s">
        <v>58</v>
      </c>
      <c r="I439" s="3" t="s">
        <v>58</v>
      </c>
      <c r="J439" s="3" t="s">
        <v>60</v>
      </c>
      <c r="K439" s="2" t="s">
        <v>5425</v>
      </c>
      <c r="L439" s="2" t="s">
        <v>5426</v>
      </c>
      <c r="M439" s="3" t="s">
        <v>167</v>
      </c>
      <c r="O439" s="3" t="s">
        <v>64</v>
      </c>
      <c r="P439" s="3" t="s">
        <v>3139</v>
      </c>
      <c r="R439" s="3" t="s">
        <v>66</v>
      </c>
      <c r="S439" s="4">
        <v>2</v>
      </c>
      <c r="T439" s="4">
        <v>2</v>
      </c>
      <c r="U439" s="5" t="s">
        <v>5427</v>
      </c>
      <c r="V439" s="5" t="s">
        <v>5427</v>
      </c>
      <c r="W439" s="5" t="s">
        <v>5428</v>
      </c>
      <c r="X439" s="5" t="s">
        <v>5428</v>
      </c>
      <c r="Y439" s="4">
        <v>311</v>
      </c>
      <c r="Z439" s="4">
        <v>277</v>
      </c>
      <c r="AA439" s="4">
        <v>284</v>
      </c>
      <c r="AB439" s="4">
        <v>1</v>
      </c>
      <c r="AC439" s="4">
        <v>1</v>
      </c>
      <c r="AD439" s="4">
        <v>1</v>
      </c>
      <c r="AE439" s="4">
        <v>1</v>
      </c>
      <c r="AF439" s="4">
        <v>1</v>
      </c>
      <c r="AG439" s="4">
        <v>1</v>
      </c>
      <c r="AH439" s="4">
        <v>0</v>
      </c>
      <c r="AI439" s="4">
        <v>0</v>
      </c>
      <c r="AJ439" s="4">
        <v>1</v>
      </c>
      <c r="AK439" s="4">
        <v>1</v>
      </c>
      <c r="AL439" s="4">
        <v>0</v>
      </c>
      <c r="AM439" s="4">
        <v>0</v>
      </c>
      <c r="AN439" s="4">
        <v>0</v>
      </c>
      <c r="AO439" s="4">
        <v>0</v>
      </c>
      <c r="AP439" s="3" t="s">
        <v>58</v>
      </c>
      <c r="AQ439" s="3" t="s">
        <v>85</v>
      </c>
      <c r="AR439" s="6" t="str">
        <f>HYPERLINK("http://catalog.hathitrust.org/Record/000716580","HathiTrust Record")</f>
        <v>HathiTrust Record</v>
      </c>
      <c r="AS439" s="6" t="str">
        <f>HYPERLINK("https://creighton-primo.hosted.exlibrisgroup.com/primo-explore/search?tab=default_tab&amp;search_scope=EVERYTHING&amp;vid=01CRU&amp;lang=en_US&amp;offset=0&amp;query=any,contains,991000878149702656","Catalog Record")</f>
        <v>Catalog Record</v>
      </c>
      <c r="AT439" s="6" t="str">
        <f>HYPERLINK("http://www.worldcat.org/oclc/2123144","WorldCat Record")</f>
        <v>WorldCat Record</v>
      </c>
      <c r="AU439" s="3" t="s">
        <v>5429</v>
      </c>
      <c r="AV439" s="3" t="s">
        <v>5430</v>
      </c>
      <c r="AW439" s="3" t="s">
        <v>5431</v>
      </c>
      <c r="AX439" s="3" t="s">
        <v>5431</v>
      </c>
      <c r="AY439" s="3" t="s">
        <v>5432</v>
      </c>
      <c r="AZ439" s="3" t="s">
        <v>73</v>
      </c>
      <c r="BB439" s="3" t="s">
        <v>5433</v>
      </c>
      <c r="BC439" s="3" t="s">
        <v>5434</v>
      </c>
      <c r="BD439" s="3" t="s">
        <v>5435</v>
      </c>
    </row>
    <row r="440" spans="1:56" ht="40.5" customHeight="1" x14ac:dyDescent="0.25">
      <c r="A440" s="7" t="s">
        <v>58</v>
      </c>
      <c r="B440" s="2" t="s">
        <v>5436</v>
      </c>
      <c r="C440" s="2" t="s">
        <v>5437</v>
      </c>
      <c r="D440" s="2" t="s">
        <v>5438</v>
      </c>
      <c r="F440" s="3" t="s">
        <v>58</v>
      </c>
      <c r="G440" s="3" t="s">
        <v>59</v>
      </c>
      <c r="H440" s="3" t="s">
        <v>58</v>
      </c>
      <c r="I440" s="3" t="s">
        <v>85</v>
      </c>
      <c r="J440" s="3" t="s">
        <v>60</v>
      </c>
      <c r="K440" s="2" t="s">
        <v>5439</v>
      </c>
      <c r="L440" s="2" t="s">
        <v>5440</v>
      </c>
      <c r="M440" s="3" t="s">
        <v>1067</v>
      </c>
      <c r="N440" s="2" t="s">
        <v>5441</v>
      </c>
      <c r="O440" s="3" t="s">
        <v>64</v>
      </c>
      <c r="P440" s="3" t="s">
        <v>65</v>
      </c>
      <c r="R440" s="3" t="s">
        <v>66</v>
      </c>
      <c r="S440" s="4">
        <v>13</v>
      </c>
      <c r="T440" s="4">
        <v>13</v>
      </c>
      <c r="U440" s="5" t="s">
        <v>4993</v>
      </c>
      <c r="V440" s="5" t="s">
        <v>4993</v>
      </c>
      <c r="W440" s="5" t="s">
        <v>5442</v>
      </c>
      <c r="X440" s="5" t="s">
        <v>5442</v>
      </c>
      <c r="Y440" s="4">
        <v>236</v>
      </c>
      <c r="Z440" s="4">
        <v>181</v>
      </c>
      <c r="AA440" s="4">
        <v>922</v>
      </c>
      <c r="AB440" s="4">
        <v>1</v>
      </c>
      <c r="AC440" s="4">
        <v>5</v>
      </c>
      <c r="AD440" s="4">
        <v>5</v>
      </c>
      <c r="AE440" s="4">
        <v>32</v>
      </c>
      <c r="AF440" s="4">
        <v>1</v>
      </c>
      <c r="AG440" s="4">
        <v>14</v>
      </c>
      <c r="AH440" s="4">
        <v>1</v>
      </c>
      <c r="AI440" s="4">
        <v>7</v>
      </c>
      <c r="AJ440" s="4">
        <v>3</v>
      </c>
      <c r="AK440" s="4">
        <v>14</v>
      </c>
      <c r="AL440" s="4">
        <v>0</v>
      </c>
      <c r="AM440" s="4">
        <v>4</v>
      </c>
      <c r="AN440" s="4">
        <v>0</v>
      </c>
      <c r="AO440" s="4">
        <v>0</v>
      </c>
      <c r="AP440" s="3" t="s">
        <v>58</v>
      </c>
      <c r="AQ440" s="3" t="s">
        <v>85</v>
      </c>
      <c r="AR440" s="6" t="str">
        <f>HYPERLINK("http://catalog.hathitrust.org/Record/002451928","HathiTrust Record")</f>
        <v>HathiTrust Record</v>
      </c>
      <c r="AS440" s="6" t="str">
        <f>HYPERLINK("https://creighton-primo.hosted.exlibrisgroup.com/primo-explore/search?tab=default_tab&amp;search_scope=EVERYTHING&amp;vid=01CRU&amp;lang=en_US&amp;offset=0&amp;query=any,contains,991001025549702656","Catalog Record")</f>
        <v>Catalog Record</v>
      </c>
      <c r="AT440" s="6" t="str">
        <f>HYPERLINK("http://www.worldcat.org/oclc/22279813","WorldCat Record")</f>
        <v>WorldCat Record</v>
      </c>
      <c r="AU440" s="3" t="s">
        <v>5443</v>
      </c>
      <c r="AV440" s="3" t="s">
        <v>5444</v>
      </c>
      <c r="AW440" s="3" t="s">
        <v>5445</v>
      </c>
      <c r="AX440" s="3" t="s">
        <v>5445</v>
      </c>
      <c r="AY440" s="3" t="s">
        <v>5446</v>
      </c>
      <c r="AZ440" s="3" t="s">
        <v>73</v>
      </c>
      <c r="BB440" s="3" t="s">
        <v>5447</v>
      </c>
      <c r="BC440" s="3" t="s">
        <v>5448</v>
      </c>
      <c r="BD440" s="3" t="s">
        <v>5449</v>
      </c>
    </row>
    <row r="441" spans="1:56" ht="40.5" customHeight="1" x14ac:dyDescent="0.25">
      <c r="A441" s="7" t="s">
        <v>58</v>
      </c>
      <c r="B441" s="2" t="s">
        <v>5450</v>
      </c>
      <c r="C441" s="2" t="s">
        <v>5451</v>
      </c>
      <c r="D441" s="2" t="s">
        <v>5452</v>
      </c>
      <c r="F441" s="3" t="s">
        <v>58</v>
      </c>
      <c r="G441" s="3" t="s">
        <v>59</v>
      </c>
      <c r="H441" s="3" t="s">
        <v>58</v>
      </c>
      <c r="I441" s="3" t="s">
        <v>58</v>
      </c>
      <c r="J441" s="3" t="s">
        <v>60</v>
      </c>
      <c r="L441" s="2" t="s">
        <v>5453</v>
      </c>
      <c r="M441" s="3" t="s">
        <v>614</v>
      </c>
      <c r="O441" s="3" t="s">
        <v>64</v>
      </c>
      <c r="P441" s="3" t="s">
        <v>65</v>
      </c>
      <c r="R441" s="3" t="s">
        <v>66</v>
      </c>
      <c r="S441" s="4">
        <v>18</v>
      </c>
      <c r="T441" s="4">
        <v>18</v>
      </c>
      <c r="U441" s="5" t="s">
        <v>5250</v>
      </c>
      <c r="V441" s="5" t="s">
        <v>5250</v>
      </c>
      <c r="W441" s="5" t="s">
        <v>5454</v>
      </c>
      <c r="X441" s="5" t="s">
        <v>5454</v>
      </c>
      <c r="Y441" s="4">
        <v>209</v>
      </c>
      <c r="Z441" s="4">
        <v>190</v>
      </c>
      <c r="AA441" s="4">
        <v>197</v>
      </c>
      <c r="AB441" s="4">
        <v>1</v>
      </c>
      <c r="AC441" s="4">
        <v>1</v>
      </c>
      <c r="AD441" s="4">
        <v>6</v>
      </c>
      <c r="AE441" s="4">
        <v>6</v>
      </c>
      <c r="AF441" s="4">
        <v>3</v>
      </c>
      <c r="AG441" s="4">
        <v>3</v>
      </c>
      <c r="AH441" s="4">
        <v>2</v>
      </c>
      <c r="AI441" s="4">
        <v>2</v>
      </c>
      <c r="AJ441" s="4">
        <v>3</v>
      </c>
      <c r="AK441" s="4">
        <v>3</v>
      </c>
      <c r="AL441" s="4">
        <v>0</v>
      </c>
      <c r="AM441" s="4">
        <v>0</v>
      </c>
      <c r="AN441" s="4">
        <v>0</v>
      </c>
      <c r="AO441" s="4">
        <v>0</v>
      </c>
      <c r="AP441" s="3" t="s">
        <v>58</v>
      </c>
      <c r="AQ441" s="3" t="s">
        <v>85</v>
      </c>
      <c r="AR441" s="6" t="str">
        <f>HYPERLINK("http://catalog.hathitrust.org/Record/001843738","HathiTrust Record")</f>
        <v>HathiTrust Record</v>
      </c>
      <c r="AS441" s="6" t="str">
        <f>HYPERLINK("https://creighton-primo.hosted.exlibrisgroup.com/primo-explore/search?tab=default_tab&amp;search_scope=EVERYTHING&amp;vid=01CRU&amp;lang=en_US&amp;offset=0&amp;query=any,contains,991001249249702656","Catalog Record")</f>
        <v>Catalog Record</v>
      </c>
      <c r="AT441" s="6" t="str">
        <f>HYPERLINK("http://www.worldcat.org/oclc/18984163","WorldCat Record")</f>
        <v>WorldCat Record</v>
      </c>
      <c r="AU441" s="3" t="s">
        <v>5455</v>
      </c>
      <c r="AV441" s="3" t="s">
        <v>5456</v>
      </c>
      <c r="AW441" s="3" t="s">
        <v>5457</v>
      </c>
      <c r="AX441" s="3" t="s">
        <v>5457</v>
      </c>
      <c r="AY441" s="3" t="s">
        <v>5458</v>
      </c>
      <c r="AZ441" s="3" t="s">
        <v>73</v>
      </c>
      <c r="BB441" s="3" t="s">
        <v>5459</v>
      </c>
      <c r="BC441" s="3" t="s">
        <v>5460</v>
      </c>
      <c r="BD441" s="3" t="s">
        <v>5461</v>
      </c>
    </row>
    <row r="442" spans="1:56" ht="40.5" customHeight="1" x14ac:dyDescent="0.25">
      <c r="A442" s="7" t="s">
        <v>58</v>
      </c>
      <c r="B442" s="2" t="s">
        <v>5462</v>
      </c>
      <c r="C442" s="2" t="s">
        <v>5463</v>
      </c>
      <c r="D442" s="2" t="s">
        <v>5464</v>
      </c>
      <c r="E442" s="3" t="s">
        <v>4453</v>
      </c>
      <c r="F442" s="3" t="s">
        <v>58</v>
      </c>
      <c r="G442" s="3" t="s">
        <v>59</v>
      </c>
      <c r="H442" s="3" t="s">
        <v>58</v>
      </c>
      <c r="I442" s="3" t="s">
        <v>58</v>
      </c>
      <c r="J442" s="3" t="s">
        <v>60</v>
      </c>
      <c r="L442" s="2" t="s">
        <v>5465</v>
      </c>
      <c r="M442" s="3" t="s">
        <v>659</v>
      </c>
      <c r="O442" s="3" t="s">
        <v>64</v>
      </c>
      <c r="P442" s="3" t="s">
        <v>117</v>
      </c>
      <c r="Q442" s="2" t="s">
        <v>5466</v>
      </c>
      <c r="R442" s="3" t="s">
        <v>66</v>
      </c>
      <c r="S442" s="4">
        <v>3</v>
      </c>
      <c r="T442" s="4">
        <v>3</v>
      </c>
      <c r="U442" s="5" t="s">
        <v>5467</v>
      </c>
      <c r="V442" s="5" t="s">
        <v>5467</v>
      </c>
      <c r="W442" s="5" t="s">
        <v>5468</v>
      </c>
      <c r="X442" s="5" t="s">
        <v>5468</v>
      </c>
      <c r="Y442" s="4">
        <v>95</v>
      </c>
      <c r="Z442" s="4">
        <v>70</v>
      </c>
      <c r="AA442" s="4">
        <v>71</v>
      </c>
      <c r="AB442" s="4">
        <v>2</v>
      </c>
      <c r="AC442" s="4">
        <v>2</v>
      </c>
      <c r="AD442" s="4">
        <v>2</v>
      </c>
      <c r="AE442" s="4">
        <v>2</v>
      </c>
      <c r="AF442" s="4">
        <v>0</v>
      </c>
      <c r="AG442" s="4">
        <v>0</v>
      </c>
      <c r="AH442" s="4">
        <v>0</v>
      </c>
      <c r="AI442" s="4">
        <v>0</v>
      </c>
      <c r="AJ442" s="4">
        <v>1</v>
      </c>
      <c r="AK442" s="4">
        <v>1</v>
      </c>
      <c r="AL442" s="4">
        <v>1</v>
      </c>
      <c r="AM442" s="4">
        <v>1</v>
      </c>
      <c r="AN442" s="4">
        <v>0</v>
      </c>
      <c r="AO442" s="4">
        <v>0</v>
      </c>
      <c r="AP442" s="3" t="s">
        <v>58</v>
      </c>
      <c r="AQ442" s="3" t="s">
        <v>85</v>
      </c>
      <c r="AR442" s="6" t="str">
        <f>HYPERLINK("http://catalog.hathitrust.org/Record/009158529","HathiTrust Record")</f>
        <v>HathiTrust Record</v>
      </c>
      <c r="AS442" s="6" t="str">
        <f>HYPERLINK("https://creighton-primo.hosted.exlibrisgroup.com/primo-explore/search?tab=default_tab&amp;search_scope=EVERYTHING&amp;vid=01CRU&amp;lang=en_US&amp;offset=0&amp;query=any,contains,991000986139702656","Catalog Record")</f>
        <v>Catalog Record</v>
      </c>
      <c r="AT442" s="6" t="str">
        <f>HYPERLINK("http://www.worldcat.org/oclc/965996","WorldCat Record")</f>
        <v>WorldCat Record</v>
      </c>
      <c r="AU442" s="3" t="s">
        <v>5469</v>
      </c>
      <c r="AV442" s="3" t="s">
        <v>5470</v>
      </c>
      <c r="AW442" s="3" t="s">
        <v>5471</v>
      </c>
      <c r="AX442" s="3" t="s">
        <v>5471</v>
      </c>
      <c r="AY442" s="3" t="s">
        <v>5472</v>
      </c>
      <c r="AZ442" s="3" t="s">
        <v>73</v>
      </c>
      <c r="BB442" s="3" t="s">
        <v>5473</v>
      </c>
      <c r="BC442" s="3" t="s">
        <v>5474</v>
      </c>
      <c r="BD442" s="3" t="s">
        <v>5475</v>
      </c>
    </row>
    <row r="443" spans="1:56" ht="40.5" customHeight="1" x14ac:dyDescent="0.25">
      <c r="A443" s="7" t="s">
        <v>58</v>
      </c>
      <c r="B443" s="2" t="s">
        <v>5476</v>
      </c>
      <c r="C443" s="2" t="s">
        <v>5477</v>
      </c>
      <c r="D443" s="2" t="s">
        <v>5478</v>
      </c>
      <c r="F443" s="3" t="s">
        <v>58</v>
      </c>
      <c r="G443" s="3" t="s">
        <v>59</v>
      </c>
      <c r="H443" s="3" t="s">
        <v>58</v>
      </c>
      <c r="I443" s="3" t="s">
        <v>58</v>
      </c>
      <c r="J443" s="3" t="s">
        <v>60</v>
      </c>
      <c r="K443" s="2" t="s">
        <v>5479</v>
      </c>
      <c r="L443" s="2" t="s">
        <v>5480</v>
      </c>
      <c r="M443" s="3" t="s">
        <v>496</v>
      </c>
      <c r="N443" s="2" t="s">
        <v>198</v>
      </c>
      <c r="O443" s="3" t="s">
        <v>64</v>
      </c>
      <c r="P443" s="3" t="s">
        <v>5481</v>
      </c>
      <c r="R443" s="3" t="s">
        <v>66</v>
      </c>
      <c r="S443" s="4">
        <v>16</v>
      </c>
      <c r="T443" s="4">
        <v>16</v>
      </c>
      <c r="U443" s="5" t="s">
        <v>5482</v>
      </c>
      <c r="V443" s="5" t="s">
        <v>5482</v>
      </c>
      <c r="W443" s="5" t="s">
        <v>4343</v>
      </c>
      <c r="X443" s="5" t="s">
        <v>4343</v>
      </c>
      <c r="Y443" s="4">
        <v>274</v>
      </c>
      <c r="Z443" s="4">
        <v>225</v>
      </c>
      <c r="AA443" s="4">
        <v>403</v>
      </c>
      <c r="AB443" s="4">
        <v>1</v>
      </c>
      <c r="AC443" s="4">
        <v>3</v>
      </c>
      <c r="AD443" s="4">
        <v>8</v>
      </c>
      <c r="AE443" s="4">
        <v>14</v>
      </c>
      <c r="AF443" s="4">
        <v>3</v>
      </c>
      <c r="AG443" s="4">
        <v>4</v>
      </c>
      <c r="AH443" s="4">
        <v>2</v>
      </c>
      <c r="AI443" s="4">
        <v>3</v>
      </c>
      <c r="AJ443" s="4">
        <v>6</v>
      </c>
      <c r="AK443" s="4">
        <v>9</v>
      </c>
      <c r="AL443" s="4">
        <v>0</v>
      </c>
      <c r="AM443" s="4">
        <v>2</v>
      </c>
      <c r="AN443" s="4">
        <v>0</v>
      </c>
      <c r="AO443" s="4">
        <v>0</v>
      </c>
      <c r="AP443" s="3" t="s">
        <v>58</v>
      </c>
      <c r="AQ443" s="3" t="s">
        <v>58</v>
      </c>
      <c r="AS443" s="6" t="str">
        <f>HYPERLINK("https://creighton-primo.hosted.exlibrisgroup.com/primo-explore/search?tab=default_tab&amp;search_scope=EVERYTHING&amp;vid=01CRU&amp;lang=en_US&amp;offset=0&amp;query=any,contains,991000911209702656","Catalog Record")</f>
        <v>Catalog Record</v>
      </c>
      <c r="AT443" s="6" t="str">
        <f>HYPERLINK("http://www.worldcat.org/oclc/9620091","WorldCat Record")</f>
        <v>WorldCat Record</v>
      </c>
      <c r="AU443" s="3" t="s">
        <v>5483</v>
      </c>
      <c r="AV443" s="3" t="s">
        <v>5484</v>
      </c>
      <c r="AW443" s="3" t="s">
        <v>5485</v>
      </c>
      <c r="AX443" s="3" t="s">
        <v>5485</v>
      </c>
      <c r="AY443" s="3" t="s">
        <v>5486</v>
      </c>
      <c r="AZ443" s="3" t="s">
        <v>73</v>
      </c>
      <c r="BB443" s="3" t="s">
        <v>5487</v>
      </c>
      <c r="BC443" s="3" t="s">
        <v>5488</v>
      </c>
      <c r="BD443" s="3" t="s">
        <v>5489</v>
      </c>
    </row>
    <row r="444" spans="1:56" ht="40.5" customHeight="1" x14ac:dyDescent="0.25">
      <c r="A444" s="7" t="s">
        <v>58</v>
      </c>
      <c r="B444" s="2" t="s">
        <v>5490</v>
      </c>
      <c r="C444" s="2" t="s">
        <v>5491</v>
      </c>
      <c r="D444" s="2" t="s">
        <v>5492</v>
      </c>
      <c r="F444" s="3" t="s">
        <v>58</v>
      </c>
      <c r="G444" s="3" t="s">
        <v>59</v>
      </c>
      <c r="H444" s="3" t="s">
        <v>58</v>
      </c>
      <c r="I444" s="3" t="s">
        <v>58</v>
      </c>
      <c r="J444" s="3" t="s">
        <v>60</v>
      </c>
      <c r="K444" s="2" t="s">
        <v>5493</v>
      </c>
      <c r="L444" s="2" t="s">
        <v>5494</v>
      </c>
      <c r="M444" s="3" t="s">
        <v>98</v>
      </c>
      <c r="O444" s="3" t="s">
        <v>64</v>
      </c>
      <c r="P444" s="3" t="s">
        <v>82</v>
      </c>
      <c r="R444" s="3" t="s">
        <v>66</v>
      </c>
      <c r="S444" s="4">
        <v>2</v>
      </c>
      <c r="T444" s="4">
        <v>2</v>
      </c>
      <c r="U444" s="5" t="s">
        <v>5495</v>
      </c>
      <c r="V444" s="5" t="s">
        <v>5495</v>
      </c>
      <c r="W444" s="5" t="s">
        <v>5496</v>
      </c>
      <c r="X444" s="5" t="s">
        <v>5496</v>
      </c>
      <c r="Y444" s="4">
        <v>252</v>
      </c>
      <c r="Z444" s="4">
        <v>201</v>
      </c>
      <c r="AA444" s="4">
        <v>203</v>
      </c>
      <c r="AB444" s="4">
        <v>1</v>
      </c>
      <c r="AC444" s="4">
        <v>1</v>
      </c>
      <c r="AD444" s="4">
        <v>5</v>
      </c>
      <c r="AE444" s="4">
        <v>5</v>
      </c>
      <c r="AF444" s="4">
        <v>3</v>
      </c>
      <c r="AG444" s="4">
        <v>3</v>
      </c>
      <c r="AH444" s="4">
        <v>2</v>
      </c>
      <c r="AI444" s="4">
        <v>2</v>
      </c>
      <c r="AJ444" s="4">
        <v>1</v>
      </c>
      <c r="AK444" s="4">
        <v>1</v>
      </c>
      <c r="AL444" s="4">
        <v>0</v>
      </c>
      <c r="AM444" s="4">
        <v>0</v>
      </c>
      <c r="AN444" s="4">
        <v>0</v>
      </c>
      <c r="AO444" s="4">
        <v>0</v>
      </c>
      <c r="AP444" s="3" t="s">
        <v>58</v>
      </c>
      <c r="AQ444" s="3" t="s">
        <v>85</v>
      </c>
      <c r="AR444" s="6" t="str">
        <f>HYPERLINK("http://catalog.hathitrust.org/Record/000199725","HathiTrust Record")</f>
        <v>HathiTrust Record</v>
      </c>
      <c r="AS444" s="6" t="str">
        <f>HYPERLINK("https://creighton-primo.hosted.exlibrisgroup.com/primo-explore/search?tab=default_tab&amp;search_scope=EVERYTHING&amp;vid=01CRU&amp;lang=en_US&amp;offset=0&amp;query=any,contains,991000747019702656","Catalog Record")</f>
        <v>Catalog Record</v>
      </c>
      <c r="AT444" s="6" t="str">
        <f>HYPERLINK("http://www.worldcat.org/oclc/8629602","WorldCat Record")</f>
        <v>WorldCat Record</v>
      </c>
      <c r="AU444" s="3" t="s">
        <v>5497</v>
      </c>
      <c r="AV444" s="3" t="s">
        <v>5498</v>
      </c>
      <c r="AW444" s="3" t="s">
        <v>5499</v>
      </c>
      <c r="AX444" s="3" t="s">
        <v>5499</v>
      </c>
      <c r="AY444" s="3" t="s">
        <v>5500</v>
      </c>
      <c r="AZ444" s="3" t="s">
        <v>73</v>
      </c>
      <c r="BB444" s="3" t="s">
        <v>5501</v>
      </c>
      <c r="BC444" s="3" t="s">
        <v>5502</v>
      </c>
      <c r="BD444" s="3" t="s">
        <v>5503</v>
      </c>
    </row>
    <row r="445" spans="1:56" ht="40.5" customHeight="1" x14ac:dyDescent="0.25">
      <c r="A445" s="7" t="s">
        <v>58</v>
      </c>
      <c r="B445" s="2" t="s">
        <v>5504</v>
      </c>
      <c r="C445" s="2" t="s">
        <v>5505</v>
      </c>
      <c r="D445" s="2" t="s">
        <v>5506</v>
      </c>
      <c r="F445" s="3" t="s">
        <v>58</v>
      </c>
      <c r="G445" s="3" t="s">
        <v>59</v>
      </c>
      <c r="H445" s="3" t="s">
        <v>58</v>
      </c>
      <c r="I445" s="3" t="s">
        <v>58</v>
      </c>
      <c r="J445" s="3" t="s">
        <v>60</v>
      </c>
      <c r="K445" s="2" t="s">
        <v>5507</v>
      </c>
      <c r="L445" s="2" t="s">
        <v>5508</v>
      </c>
      <c r="M445" s="3" t="s">
        <v>197</v>
      </c>
      <c r="O445" s="3" t="s">
        <v>64</v>
      </c>
      <c r="P445" s="3" t="s">
        <v>2961</v>
      </c>
      <c r="Q445" s="2" t="s">
        <v>5509</v>
      </c>
      <c r="R445" s="3" t="s">
        <v>66</v>
      </c>
      <c r="S445" s="4">
        <v>4</v>
      </c>
      <c r="T445" s="4">
        <v>4</v>
      </c>
      <c r="U445" s="5" t="s">
        <v>5510</v>
      </c>
      <c r="V445" s="5" t="s">
        <v>5510</v>
      </c>
      <c r="W445" s="5" t="s">
        <v>5511</v>
      </c>
      <c r="X445" s="5" t="s">
        <v>5511</v>
      </c>
      <c r="Y445" s="4">
        <v>460</v>
      </c>
      <c r="Z445" s="4">
        <v>446</v>
      </c>
      <c r="AA445" s="4">
        <v>467</v>
      </c>
      <c r="AB445" s="4">
        <v>7</v>
      </c>
      <c r="AC445" s="4">
        <v>7</v>
      </c>
      <c r="AD445" s="4">
        <v>14</v>
      </c>
      <c r="AE445" s="4">
        <v>14</v>
      </c>
      <c r="AF445" s="4">
        <v>5</v>
      </c>
      <c r="AG445" s="4">
        <v>5</v>
      </c>
      <c r="AH445" s="4">
        <v>4</v>
      </c>
      <c r="AI445" s="4">
        <v>4</v>
      </c>
      <c r="AJ445" s="4">
        <v>4</v>
      </c>
      <c r="AK445" s="4">
        <v>4</v>
      </c>
      <c r="AL445" s="4">
        <v>5</v>
      </c>
      <c r="AM445" s="4">
        <v>5</v>
      </c>
      <c r="AN445" s="4">
        <v>0</v>
      </c>
      <c r="AO445" s="4">
        <v>0</v>
      </c>
      <c r="AP445" s="3" t="s">
        <v>85</v>
      </c>
      <c r="AQ445" s="3" t="s">
        <v>58</v>
      </c>
      <c r="AR445" s="6" t="str">
        <f>HYPERLINK("http://catalog.hathitrust.org/Record/007409595","HathiTrust Record")</f>
        <v>HathiTrust Record</v>
      </c>
      <c r="AS445" s="6" t="str">
        <f>HYPERLINK("https://creighton-primo.hosted.exlibrisgroup.com/primo-explore/search?tab=default_tab&amp;search_scope=EVERYTHING&amp;vid=01CRU&amp;lang=en_US&amp;offset=0&amp;query=any,contains,991001103329702656","Catalog Record")</f>
        <v>Catalog Record</v>
      </c>
      <c r="AT445" s="6" t="str">
        <f>HYPERLINK("http://www.worldcat.org/oclc/21197246","WorldCat Record")</f>
        <v>WorldCat Record</v>
      </c>
      <c r="AU445" s="3" t="s">
        <v>5512</v>
      </c>
      <c r="AV445" s="3" t="s">
        <v>5513</v>
      </c>
      <c r="AW445" s="3" t="s">
        <v>5514</v>
      </c>
      <c r="AX445" s="3" t="s">
        <v>5514</v>
      </c>
      <c r="AY445" s="3" t="s">
        <v>5515</v>
      </c>
      <c r="AZ445" s="3" t="s">
        <v>73</v>
      </c>
      <c r="BC445" s="3" t="s">
        <v>5516</v>
      </c>
      <c r="BD445" s="3" t="s">
        <v>5517</v>
      </c>
    </row>
    <row r="446" spans="1:56" ht="40.5" customHeight="1" x14ac:dyDescent="0.25">
      <c r="A446" s="7" t="s">
        <v>58</v>
      </c>
      <c r="B446" s="2" t="s">
        <v>5518</v>
      </c>
      <c r="C446" s="2" t="s">
        <v>5519</v>
      </c>
      <c r="D446" s="2" t="s">
        <v>5520</v>
      </c>
      <c r="F446" s="3" t="s">
        <v>58</v>
      </c>
      <c r="G446" s="3" t="s">
        <v>59</v>
      </c>
      <c r="H446" s="3" t="s">
        <v>58</v>
      </c>
      <c r="I446" s="3" t="s">
        <v>58</v>
      </c>
      <c r="J446" s="3" t="s">
        <v>60</v>
      </c>
      <c r="K446" s="2" t="s">
        <v>5521</v>
      </c>
      <c r="L446" s="2" t="s">
        <v>5522</v>
      </c>
      <c r="M446" s="3" t="s">
        <v>133</v>
      </c>
      <c r="N446" s="2" t="s">
        <v>777</v>
      </c>
      <c r="O446" s="3" t="s">
        <v>64</v>
      </c>
      <c r="P446" s="3" t="s">
        <v>2358</v>
      </c>
      <c r="R446" s="3" t="s">
        <v>66</v>
      </c>
      <c r="S446" s="4">
        <v>9</v>
      </c>
      <c r="T446" s="4">
        <v>9</v>
      </c>
      <c r="U446" s="5" t="s">
        <v>5523</v>
      </c>
      <c r="V446" s="5" t="s">
        <v>5523</v>
      </c>
      <c r="W446" s="5" t="s">
        <v>5524</v>
      </c>
      <c r="X446" s="5" t="s">
        <v>5524</v>
      </c>
      <c r="Y446" s="4">
        <v>120</v>
      </c>
      <c r="Z446" s="4">
        <v>89</v>
      </c>
      <c r="AA446" s="4">
        <v>592</v>
      </c>
      <c r="AB446" s="4">
        <v>1</v>
      </c>
      <c r="AC446" s="4">
        <v>4</v>
      </c>
      <c r="AD446" s="4">
        <v>0</v>
      </c>
      <c r="AE446" s="4">
        <v>18</v>
      </c>
      <c r="AF446" s="4">
        <v>0</v>
      </c>
      <c r="AG446" s="4">
        <v>9</v>
      </c>
      <c r="AH446" s="4">
        <v>0</v>
      </c>
      <c r="AI446" s="4">
        <v>2</v>
      </c>
      <c r="AJ446" s="4">
        <v>0</v>
      </c>
      <c r="AK446" s="4">
        <v>7</v>
      </c>
      <c r="AL446" s="4">
        <v>0</v>
      </c>
      <c r="AM446" s="4">
        <v>3</v>
      </c>
      <c r="AN446" s="4">
        <v>0</v>
      </c>
      <c r="AO446" s="4">
        <v>0</v>
      </c>
      <c r="AP446" s="3" t="s">
        <v>58</v>
      </c>
      <c r="AQ446" s="3" t="s">
        <v>58</v>
      </c>
      <c r="AS446" s="6" t="str">
        <f>HYPERLINK("https://creighton-primo.hosted.exlibrisgroup.com/primo-explore/search?tab=default_tab&amp;search_scope=EVERYTHING&amp;vid=01CRU&amp;lang=en_US&amp;offset=0&amp;query=any,contains,991000303659702656","Catalog Record")</f>
        <v>Catalog Record</v>
      </c>
      <c r="AT446" s="6" t="str">
        <f>HYPERLINK("http://www.worldcat.org/oclc/45962954","WorldCat Record")</f>
        <v>WorldCat Record</v>
      </c>
      <c r="AU446" s="3" t="s">
        <v>5525</v>
      </c>
      <c r="AV446" s="3" t="s">
        <v>5526</v>
      </c>
      <c r="AW446" s="3" t="s">
        <v>5527</v>
      </c>
      <c r="AX446" s="3" t="s">
        <v>5527</v>
      </c>
      <c r="AY446" s="3" t="s">
        <v>5528</v>
      </c>
      <c r="AZ446" s="3" t="s">
        <v>73</v>
      </c>
      <c r="BB446" s="3" t="s">
        <v>5529</v>
      </c>
      <c r="BC446" s="3" t="s">
        <v>5530</v>
      </c>
      <c r="BD446" s="3" t="s">
        <v>5531</v>
      </c>
    </row>
    <row r="447" spans="1:56" ht="40.5" customHeight="1" x14ac:dyDescent="0.25">
      <c r="A447" s="7" t="s">
        <v>58</v>
      </c>
      <c r="B447" s="2" t="s">
        <v>5532</v>
      </c>
      <c r="C447" s="2" t="s">
        <v>5533</v>
      </c>
      <c r="D447" s="2" t="s">
        <v>5534</v>
      </c>
      <c r="F447" s="3" t="s">
        <v>58</v>
      </c>
      <c r="G447" s="3" t="s">
        <v>59</v>
      </c>
      <c r="H447" s="3" t="s">
        <v>58</v>
      </c>
      <c r="I447" s="3" t="s">
        <v>58</v>
      </c>
      <c r="J447" s="3" t="s">
        <v>60</v>
      </c>
      <c r="K447" s="2" t="s">
        <v>5535</v>
      </c>
      <c r="L447" s="2" t="s">
        <v>5536</v>
      </c>
      <c r="M447" s="3" t="s">
        <v>973</v>
      </c>
      <c r="O447" s="3" t="s">
        <v>64</v>
      </c>
      <c r="P447" s="3" t="s">
        <v>1001</v>
      </c>
      <c r="R447" s="3" t="s">
        <v>66</v>
      </c>
      <c r="S447" s="4">
        <v>13</v>
      </c>
      <c r="T447" s="4">
        <v>13</v>
      </c>
      <c r="U447" s="5" t="s">
        <v>5537</v>
      </c>
      <c r="V447" s="5" t="s">
        <v>5537</v>
      </c>
      <c r="W447" s="5" t="s">
        <v>4343</v>
      </c>
      <c r="X447" s="5" t="s">
        <v>4343</v>
      </c>
      <c r="Y447" s="4">
        <v>156</v>
      </c>
      <c r="Z447" s="4">
        <v>122</v>
      </c>
      <c r="AA447" s="4">
        <v>278</v>
      </c>
      <c r="AB447" s="4">
        <v>2</v>
      </c>
      <c r="AC447" s="4">
        <v>3</v>
      </c>
      <c r="AD447" s="4">
        <v>4</v>
      </c>
      <c r="AE447" s="4">
        <v>7</v>
      </c>
      <c r="AF447" s="4">
        <v>1</v>
      </c>
      <c r="AG447" s="4">
        <v>2</v>
      </c>
      <c r="AH447" s="4">
        <v>0</v>
      </c>
      <c r="AI447" s="4">
        <v>1</v>
      </c>
      <c r="AJ447" s="4">
        <v>2</v>
      </c>
      <c r="AK447" s="4">
        <v>3</v>
      </c>
      <c r="AL447" s="4">
        <v>1</v>
      </c>
      <c r="AM447" s="4">
        <v>2</v>
      </c>
      <c r="AN447" s="4">
        <v>0</v>
      </c>
      <c r="AO447" s="4">
        <v>0</v>
      </c>
      <c r="AP447" s="3" t="s">
        <v>58</v>
      </c>
      <c r="AQ447" s="3" t="s">
        <v>85</v>
      </c>
      <c r="AR447" s="6" t="str">
        <f>HYPERLINK("http://catalog.hathitrust.org/Record/000689529","HathiTrust Record")</f>
        <v>HathiTrust Record</v>
      </c>
      <c r="AS447" s="6" t="str">
        <f>HYPERLINK("https://creighton-primo.hosted.exlibrisgroup.com/primo-explore/search?tab=default_tab&amp;search_scope=EVERYTHING&amp;vid=01CRU&amp;lang=en_US&amp;offset=0&amp;query=any,contains,991000911329702656","Catalog Record")</f>
        <v>Catalog Record</v>
      </c>
      <c r="AT447" s="6" t="str">
        <f>HYPERLINK("http://www.worldcat.org/oclc/5611743","WorldCat Record")</f>
        <v>WorldCat Record</v>
      </c>
      <c r="AU447" s="3" t="s">
        <v>5538</v>
      </c>
      <c r="AV447" s="3" t="s">
        <v>5539</v>
      </c>
      <c r="AW447" s="3" t="s">
        <v>5540</v>
      </c>
      <c r="AX447" s="3" t="s">
        <v>5540</v>
      </c>
      <c r="AY447" s="3" t="s">
        <v>5541</v>
      </c>
      <c r="AZ447" s="3" t="s">
        <v>73</v>
      </c>
      <c r="BB447" s="3" t="s">
        <v>5542</v>
      </c>
      <c r="BC447" s="3" t="s">
        <v>5543</v>
      </c>
      <c r="BD447" s="3" t="s">
        <v>5544</v>
      </c>
    </row>
    <row r="448" spans="1:56" ht="40.5" customHeight="1" x14ac:dyDescent="0.25">
      <c r="A448" s="7" t="s">
        <v>58</v>
      </c>
      <c r="B448" s="2" t="s">
        <v>5545</v>
      </c>
      <c r="C448" s="2" t="s">
        <v>5546</v>
      </c>
      <c r="D448" s="2" t="s">
        <v>5547</v>
      </c>
      <c r="F448" s="3" t="s">
        <v>58</v>
      </c>
      <c r="G448" s="3" t="s">
        <v>59</v>
      </c>
      <c r="H448" s="3" t="s">
        <v>58</v>
      </c>
      <c r="I448" s="3" t="s">
        <v>58</v>
      </c>
      <c r="J448" s="3" t="s">
        <v>60</v>
      </c>
      <c r="K448" s="2" t="s">
        <v>5548</v>
      </c>
      <c r="L448" s="2" t="s">
        <v>5549</v>
      </c>
      <c r="M448" s="3" t="s">
        <v>831</v>
      </c>
      <c r="N448" s="2" t="s">
        <v>777</v>
      </c>
      <c r="O448" s="3" t="s">
        <v>64</v>
      </c>
      <c r="P448" s="3" t="s">
        <v>152</v>
      </c>
      <c r="R448" s="3" t="s">
        <v>66</v>
      </c>
      <c r="S448" s="4">
        <v>15</v>
      </c>
      <c r="T448" s="4">
        <v>15</v>
      </c>
      <c r="U448" s="5" t="s">
        <v>5550</v>
      </c>
      <c r="V448" s="5" t="s">
        <v>5550</v>
      </c>
      <c r="W448" s="5" t="s">
        <v>5551</v>
      </c>
      <c r="X448" s="5" t="s">
        <v>5551</v>
      </c>
      <c r="Y448" s="4">
        <v>165</v>
      </c>
      <c r="Z448" s="4">
        <v>120</v>
      </c>
      <c r="AA448" s="4">
        <v>684</v>
      </c>
      <c r="AB448" s="4">
        <v>1</v>
      </c>
      <c r="AC448" s="4">
        <v>4</v>
      </c>
      <c r="AD448" s="4">
        <v>2</v>
      </c>
      <c r="AE448" s="4">
        <v>22</v>
      </c>
      <c r="AF448" s="4">
        <v>2</v>
      </c>
      <c r="AG448" s="4">
        <v>11</v>
      </c>
      <c r="AH448" s="4">
        <v>0</v>
      </c>
      <c r="AI448" s="4">
        <v>4</v>
      </c>
      <c r="AJ448" s="4">
        <v>0</v>
      </c>
      <c r="AK448" s="4">
        <v>9</v>
      </c>
      <c r="AL448" s="4">
        <v>0</v>
      </c>
      <c r="AM448" s="4">
        <v>3</v>
      </c>
      <c r="AN448" s="4">
        <v>0</v>
      </c>
      <c r="AO448" s="4">
        <v>0</v>
      </c>
      <c r="AP448" s="3" t="s">
        <v>58</v>
      </c>
      <c r="AQ448" s="3" t="s">
        <v>85</v>
      </c>
      <c r="AR448" s="6" t="str">
        <f>HYPERLINK("http://catalog.hathitrust.org/Record/008990410","HathiTrust Record")</f>
        <v>HathiTrust Record</v>
      </c>
      <c r="AS448" s="6" t="str">
        <f>HYPERLINK("https://creighton-primo.hosted.exlibrisgroup.com/primo-explore/search?tab=default_tab&amp;search_scope=EVERYTHING&amp;vid=01CRU&amp;lang=en_US&amp;offset=0&amp;query=any,contains,991001530889702656","Catalog Record")</f>
        <v>Catalog Record</v>
      </c>
      <c r="AT448" s="6" t="str">
        <f>HYPERLINK("http://www.worldcat.org/oclc/37640621","WorldCat Record")</f>
        <v>WorldCat Record</v>
      </c>
      <c r="AU448" s="3" t="s">
        <v>5552</v>
      </c>
      <c r="AV448" s="3" t="s">
        <v>5553</v>
      </c>
      <c r="AW448" s="3" t="s">
        <v>5554</v>
      </c>
      <c r="AX448" s="3" t="s">
        <v>5554</v>
      </c>
      <c r="AY448" s="3" t="s">
        <v>5555</v>
      </c>
      <c r="AZ448" s="3" t="s">
        <v>73</v>
      </c>
      <c r="BB448" s="3" t="s">
        <v>5556</v>
      </c>
      <c r="BC448" s="3" t="s">
        <v>5557</v>
      </c>
      <c r="BD448" s="3" t="s">
        <v>5558</v>
      </c>
    </row>
    <row r="449" spans="1:56" ht="40.5" customHeight="1" x14ac:dyDescent="0.25">
      <c r="A449" s="7" t="s">
        <v>58</v>
      </c>
      <c r="B449" s="2" t="s">
        <v>5559</v>
      </c>
      <c r="C449" s="2" t="s">
        <v>5560</v>
      </c>
      <c r="D449" s="2" t="s">
        <v>5561</v>
      </c>
      <c r="F449" s="3" t="s">
        <v>58</v>
      </c>
      <c r="G449" s="3" t="s">
        <v>59</v>
      </c>
      <c r="H449" s="3" t="s">
        <v>58</v>
      </c>
      <c r="I449" s="3" t="s">
        <v>58</v>
      </c>
      <c r="J449" s="3" t="s">
        <v>60</v>
      </c>
      <c r="K449" s="2" t="s">
        <v>5562</v>
      </c>
      <c r="L449" s="2" t="s">
        <v>5563</v>
      </c>
      <c r="M449" s="3" t="s">
        <v>63</v>
      </c>
      <c r="O449" s="3" t="s">
        <v>64</v>
      </c>
      <c r="P449" s="3" t="s">
        <v>65</v>
      </c>
      <c r="Q449" s="2" t="s">
        <v>5564</v>
      </c>
      <c r="R449" s="3" t="s">
        <v>66</v>
      </c>
      <c r="S449" s="4">
        <v>4</v>
      </c>
      <c r="T449" s="4">
        <v>4</v>
      </c>
      <c r="U449" s="5" t="s">
        <v>5495</v>
      </c>
      <c r="V449" s="5" t="s">
        <v>5495</v>
      </c>
      <c r="W449" s="5" t="s">
        <v>4343</v>
      </c>
      <c r="X449" s="5" t="s">
        <v>4343</v>
      </c>
      <c r="Y449" s="4">
        <v>142</v>
      </c>
      <c r="Z449" s="4">
        <v>122</v>
      </c>
      <c r="AA449" s="4">
        <v>124</v>
      </c>
      <c r="AB449" s="4">
        <v>1</v>
      </c>
      <c r="AC449" s="4">
        <v>1</v>
      </c>
      <c r="AD449" s="4">
        <v>1</v>
      </c>
      <c r="AE449" s="4">
        <v>1</v>
      </c>
      <c r="AF449" s="4">
        <v>0</v>
      </c>
      <c r="AG449" s="4">
        <v>0</v>
      </c>
      <c r="AH449" s="4">
        <v>1</v>
      </c>
      <c r="AI449" s="4">
        <v>1</v>
      </c>
      <c r="AJ449" s="4">
        <v>0</v>
      </c>
      <c r="AK449" s="4">
        <v>0</v>
      </c>
      <c r="AL449" s="4">
        <v>0</v>
      </c>
      <c r="AM449" s="4">
        <v>0</v>
      </c>
      <c r="AN449" s="4">
        <v>0</v>
      </c>
      <c r="AO449" s="4">
        <v>0</v>
      </c>
      <c r="AP449" s="3" t="s">
        <v>58</v>
      </c>
      <c r="AQ449" s="3" t="s">
        <v>85</v>
      </c>
      <c r="AR449" s="6" t="str">
        <f>HYPERLINK("http://catalog.hathitrust.org/Record/000198594","HathiTrust Record")</f>
        <v>HathiTrust Record</v>
      </c>
      <c r="AS449" s="6" t="str">
        <f>HYPERLINK("https://creighton-primo.hosted.exlibrisgroup.com/primo-explore/search?tab=default_tab&amp;search_scope=EVERYTHING&amp;vid=01CRU&amp;lang=en_US&amp;offset=0&amp;query=any,contains,991000911359702656","Catalog Record")</f>
        <v>Catalog Record</v>
      </c>
      <c r="AT449" s="6" t="str">
        <f>HYPERLINK("http://www.worldcat.org/oclc/8688445","WorldCat Record")</f>
        <v>WorldCat Record</v>
      </c>
      <c r="AU449" s="3" t="s">
        <v>5565</v>
      </c>
      <c r="AV449" s="3" t="s">
        <v>5566</v>
      </c>
      <c r="AW449" s="3" t="s">
        <v>5567</v>
      </c>
      <c r="AX449" s="3" t="s">
        <v>5567</v>
      </c>
      <c r="AY449" s="3" t="s">
        <v>5568</v>
      </c>
      <c r="AZ449" s="3" t="s">
        <v>73</v>
      </c>
      <c r="BB449" s="3" t="s">
        <v>5569</v>
      </c>
      <c r="BC449" s="3" t="s">
        <v>5570</v>
      </c>
      <c r="BD449" s="3" t="s">
        <v>5571</v>
      </c>
    </row>
    <row r="450" spans="1:56" ht="40.5" customHeight="1" x14ac:dyDescent="0.25">
      <c r="A450" s="7" t="s">
        <v>58</v>
      </c>
      <c r="B450" s="2" t="s">
        <v>5572</v>
      </c>
      <c r="C450" s="2" t="s">
        <v>5573</v>
      </c>
      <c r="D450" s="2" t="s">
        <v>5574</v>
      </c>
      <c r="F450" s="3" t="s">
        <v>58</v>
      </c>
      <c r="G450" s="3" t="s">
        <v>59</v>
      </c>
      <c r="H450" s="3" t="s">
        <v>58</v>
      </c>
      <c r="I450" s="3" t="s">
        <v>58</v>
      </c>
      <c r="J450" s="3" t="s">
        <v>60</v>
      </c>
      <c r="K450" s="2" t="s">
        <v>5575</v>
      </c>
      <c r="L450" s="2" t="s">
        <v>5576</v>
      </c>
      <c r="M450" s="3" t="s">
        <v>5577</v>
      </c>
      <c r="N450" s="2" t="s">
        <v>2738</v>
      </c>
      <c r="O450" s="3" t="s">
        <v>64</v>
      </c>
      <c r="P450" s="3" t="s">
        <v>117</v>
      </c>
      <c r="Q450" s="2" t="s">
        <v>5578</v>
      </c>
      <c r="R450" s="3" t="s">
        <v>66</v>
      </c>
      <c r="S450" s="4">
        <v>3</v>
      </c>
      <c r="T450" s="4">
        <v>3</v>
      </c>
      <c r="U450" s="5" t="s">
        <v>5579</v>
      </c>
      <c r="V450" s="5" t="s">
        <v>5579</v>
      </c>
      <c r="W450" s="5" t="s">
        <v>4343</v>
      </c>
      <c r="X450" s="5" t="s">
        <v>4343</v>
      </c>
      <c r="Y450" s="4">
        <v>183</v>
      </c>
      <c r="Z450" s="4">
        <v>161</v>
      </c>
      <c r="AA450" s="4">
        <v>207</v>
      </c>
      <c r="AB450" s="4">
        <v>1</v>
      </c>
      <c r="AC450" s="4">
        <v>1</v>
      </c>
      <c r="AD450" s="4">
        <v>0</v>
      </c>
      <c r="AE450" s="4">
        <v>0</v>
      </c>
      <c r="AF450" s="4">
        <v>0</v>
      </c>
      <c r="AG450" s="4">
        <v>0</v>
      </c>
      <c r="AH450" s="4">
        <v>0</v>
      </c>
      <c r="AI450" s="4">
        <v>0</v>
      </c>
      <c r="AJ450" s="4">
        <v>0</v>
      </c>
      <c r="AK450" s="4">
        <v>0</v>
      </c>
      <c r="AL450" s="4">
        <v>0</v>
      </c>
      <c r="AM450" s="4">
        <v>0</v>
      </c>
      <c r="AN450" s="4">
        <v>0</v>
      </c>
      <c r="AO450" s="4">
        <v>0</v>
      </c>
      <c r="AP450" s="3" t="s">
        <v>58</v>
      </c>
      <c r="AQ450" s="3" t="s">
        <v>58</v>
      </c>
      <c r="AS450" s="6" t="str">
        <f>HYPERLINK("https://creighton-primo.hosted.exlibrisgroup.com/primo-explore/search?tab=default_tab&amp;search_scope=EVERYTHING&amp;vid=01CRU&amp;lang=en_US&amp;offset=0&amp;query=any,contains,991000911389702656","Catalog Record")</f>
        <v>Catalog Record</v>
      </c>
      <c r="AT450" s="6" t="str">
        <f>HYPERLINK("http://www.worldcat.org/oclc/1978085","WorldCat Record")</f>
        <v>WorldCat Record</v>
      </c>
      <c r="AU450" s="3" t="s">
        <v>5580</v>
      </c>
      <c r="AV450" s="3" t="s">
        <v>5581</v>
      </c>
      <c r="AW450" s="3" t="s">
        <v>5582</v>
      </c>
      <c r="AX450" s="3" t="s">
        <v>5582</v>
      </c>
      <c r="AY450" s="3" t="s">
        <v>5583</v>
      </c>
      <c r="AZ450" s="3" t="s">
        <v>73</v>
      </c>
      <c r="BC450" s="3" t="s">
        <v>5584</v>
      </c>
      <c r="BD450" s="3" t="s">
        <v>5585</v>
      </c>
    </row>
    <row r="451" spans="1:56" ht="40.5" customHeight="1" x14ac:dyDescent="0.25">
      <c r="A451" s="7" t="s">
        <v>58</v>
      </c>
      <c r="B451" s="2" t="s">
        <v>5586</v>
      </c>
      <c r="C451" s="2" t="s">
        <v>5587</v>
      </c>
      <c r="D451" s="2" t="s">
        <v>5588</v>
      </c>
      <c r="F451" s="3" t="s">
        <v>58</v>
      </c>
      <c r="G451" s="3" t="s">
        <v>59</v>
      </c>
      <c r="H451" s="3" t="s">
        <v>58</v>
      </c>
      <c r="I451" s="3" t="s">
        <v>85</v>
      </c>
      <c r="J451" s="3" t="s">
        <v>60</v>
      </c>
      <c r="K451" s="2" t="s">
        <v>5589</v>
      </c>
      <c r="L451" s="2" t="s">
        <v>452</v>
      </c>
      <c r="M451" s="3" t="s">
        <v>63</v>
      </c>
      <c r="N451" s="2" t="s">
        <v>288</v>
      </c>
      <c r="O451" s="3" t="s">
        <v>64</v>
      </c>
      <c r="P451" s="3" t="s">
        <v>65</v>
      </c>
      <c r="R451" s="3" t="s">
        <v>66</v>
      </c>
      <c r="S451" s="4">
        <v>5</v>
      </c>
      <c r="T451" s="4">
        <v>5</v>
      </c>
      <c r="U451" s="5" t="s">
        <v>5237</v>
      </c>
      <c r="V451" s="5" t="s">
        <v>5237</v>
      </c>
      <c r="W451" s="5" t="s">
        <v>4343</v>
      </c>
      <c r="X451" s="5" t="s">
        <v>4343</v>
      </c>
      <c r="Y451" s="4">
        <v>249</v>
      </c>
      <c r="Z451" s="4">
        <v>202</v>
      </c>
      <c r="AA451" s="4">
        <v>851</v>
      </c>
      <c r="AB451" s="4">
        <v>1</v>
      </c>
      <c r="AC451" s="4">
        <v>5</v>
      </c>
      <c r="AD451" s="4">
        <v>2</v>
      </c>
      <c r="AE451" s="4">
        <v>13</v>
      </c>
      <c r="AF451" s="4">
        <v>1</v>
      </c>
      <c r="AG451" s="4">
        <v>5</v>
      </c>
      <c r="AH451" s="4">
        <v>1</v>
      </c>
      <c r="AI451" s="4">
        <v>2</v>
      </c>
      <c r="AJ451" s="4">
        <v>0</v>
      </c>
      <c r="AK451" s="4">
        <v>3</v>
      </c>
      <c r="AL451" s="4">
        <v>0</v>
      </c>
      <c r="AM451" s="4">
        <v>3</v>
      </c>
      <c r="AN451" s="4">
        <v>0</v>
      </c>
      <c r="AO451" s="4">
        <v>0</v>
      </c>
      <c r="AP451" s="3" t="s">
        <v>58</v>
      </c>
      <c r="AQ451" s="3" t="s">
        <v>85</v>
      </c>
      <c r="AR451" s="6" t="str">
        <f>HYPERLINK("http://catalog.hathitrust.org/Record/000269768","HathiTrust Record")</f>
        <v>HathiTrust Record</v>
      </c>
      <c r="AS451" s="6" t="str">
        <f>HYPERLINK("https://creighton-primo.hosted.exlibrisgroup.com/primo-explore/search?tab=default_tab&amp;search_scope=EVERYTHING&amp;vid=01CRU&amp;lang=en_US&amp;offset=0&amp;query=any,contains,991000911419702656","Catalog Record")</f>
        <v>Catalog Record</v>
      </c>
      <c r="AT451" s="6" t="str">
        <f>HYPERLINK("http://www.worldcat.org/oclc/7814344","WorldCat Record")</f>
        <v>WorldCat Record</v>
      </c>
      <c r="AU451" s="3" t="s">
        <v>5590</v>
      </c>
      <c r="AV451" s="3" t="s">
        <v>5591</v>
      </c>
      <c r="AW451" s="3" t="s">
        <v>5592</v>
      </c>
      <c r="AX451" s="3" t="s">
        <v>5592</v>
      </c>
      <c r="AY451" s="3" t="s">
        <v>5593</v>
      </c>
      <c r="AZ451" s="3" t="s">
        <v>73</v>
      </c>
      <c r="BB451" s="3" t="s">
        <v>5594</v>
      </c>
      <c r="BC451" s="3" t="s">
        <v>5595</v>
      </c>
      <c r="BD451" s="3" t="s">
        <v>5596</v>
      </c>
    </row>
    <row r="452" spans="1:56" ht="40.5" customHeight="1" x14ac:dyDescent="0.25">
      <c r="A452" s="7" t="s">
        <v>58</v>
      </c>
      <c r="B452" s="2" t="s">
        <v>5597</v>
      </c>
      <c r="C452" s="2" t="s">
        <v>5598</v>
      </c>
      <c r="D452" s="2" t="s">
        <v>5599</v>
      </c>
      <c r="F452" s="3" t="s">
        <v>58</v>
      </c>
      <c r="G452" s="3" t="s">
        <v>59</v>
      </c>
      <c r="H452" s="3" t="s">
        <v>58</v>
      </c>
      <c r="I452" s="3" t="s">
        <v>85</v>
      </c>
      <c r="J452" s="3" t="s">
        <v>60</v>
      </c>
      <c r="K452" s="2" t="s">
        <v>4949</v>
      </c>
      <c r="L452" s="2" t="s">
        <v>5600</v>
      </c>
      <c r="M452" s="3" t="s">
        <v>831</v>
      </c>
      <c r="N452" s="2" t="s">
        <v>5601</v>
      </c>
      <c r="O452" s="3" t="s">
        <v>64</v>
      </c>
      <c r="P452" s="3" t="s">
        <v>82</v>
      </c>
      <c r="R452" s="3" t="s">
        <v>66</v>
      </c>
      <c r="S452" s="4">
        <v>9</v>
      </c>
      <c r="T452" s="4">
        <v>9</v>
      </c>
      <c r="U452" s="5" t="s">
        <v>5602</v>
      </c>
      <c r="V452" s="5" t="s">
        <v>5602</v>
      </c>
      <c r="W452" s="5" t="s">
        <v>5603</v>
      </c>
      <c r="X452" s="5" t="s">
        <v>5603</v>
      </c>
      <c r="Y452" s="4">
        <v>704</v>
      </c>
      <c r="Z452" s="4">
        <v>633</v>
      </c>
      <c r="AA452" s="4">
        <v>2213</v>
      </c>
      <c r="AB452" s="4">
        <v>5</v>
      </c>
      <c r="AC452" s="4">
        <v>17</v>
      </c>
      <c r="AD452" s="4">
        <v>14</v>
      </c>
      <c r="AE452" s="4">
        <v>38</v>
      </c>
      <c r="AF452" s="4">
        <v>5</v>
      </c>
      <c r="AG452" s="4">
        <v>14</v>
      </c>
      <c r="AH452" s="4">
        <v>3</v>
      </c>
      <c r="AI452" s="4">
        <v>7</v>
      </c>
      <c r="AJ452" s="4">
        <v>5</v>
      </c>
      <c r="AK452" s="4">
        <v>16</v>
      </c>
      <c r="AL452" s="4">
        <v>3</v>
      </c>
      <c r="AM452" s="4">
        <v>7</v>
      </c>
      <c r="AN452" s="4">
        <v>0</v>
      </c>
      <c r="AO452" s="4">
        <v>0</v>
      </c>
      <c r="AP452" s="3" t="s">
        <v>58</v>
      </c>
      <c r="AQ452" s="3" t="s">
        <v>58</v>
      </c>
      <c r="AS452" s="6" t="str">
        <f>HYPERLINK("https://creighton-primo.hosted.exlibrisgroup.com/primo-explore/search?tab=default_tab&amp;search_scope=EVERYTHING&amp;vid=01CRU&amp;lang=en_US&amp;offset=0&amp;query=any,contains,991001277539702656","Catalog Record")</f>
        <v>Catalog Record</v>
      </c>
      <c r="AT452" s="6" t="str">
        <f>HYPERLINK("http://www.worldcat.org/oclc/37037405","WorldCat Record")</f>
        <v>WorldCat Record</v>
      </c>
      <c r="AU452" s="3" t="s">
        <v>4952</v>
      </c>
      <c r="AV452" s="3" t="s">
        <v>5604</v>
      </c>
      <c r="AW452" s="3" t="s">
        <v>5605</v>
      </c>
      <c r="AX452" s="3" t="s">
        <v>5605</v>
      </c>
      <c r="AY452" s="3" t="s">
        <v>5606</v>
      </c>
      <c r="AZ452" s="3" t="s">
        <v>73</v>
      </c>
      <c r="BB452" s="3" t="s">
        <v>5607</v>
      </c>
      <c r="BC452" s="3" t="s">
        <v>5608</v>
      </c>
      <c r="BD452" s="3" t="s">
        <v>5609</v>
      </c>
    </row>
    <row r="453" spans="1:56" ht="40.5" customHeight="1" x14ac:dyDescent="0.25">
      <c r="A453" s="7" t="s">
        <v>58</v>
      </c>
      <c r="B453" s="2" t="s">
        <v>5610</v>
      </c>
      <c r="C453" s="2" t="s">
        <v>5611</v>
      </c>
      <c r="D453" s="2" t="s">
        <v>5612</v>
      </c>
      <c r="F453" s="3" t="s">
        <v>58</v>
      </c>
      <c r="G453" s="3" t="s">
        <v>59</v>
      </c>
      <c r="H453" s="3" t="s">
        <v>58</v>
      </c>
      <c r="I453" s="3" t="s">
        <v>58</v>
      </c>
      <c r="J453" s="3" t="s">
        <v>60</v>
      </c>
      <c r="L453" s="2" t="s">
        <v>5613</v>
      </c>
      <c r="M453" s="3" t="s">
        <v>2126</v>
      </c>
      <c r="O453" s="3" t="s">
        <v>64</v>
      </c>
      <c r="P453" s="3" t="s">
        <v>319</v>
      </c>
      <c r="R453" s="3" t="s">
        <v>66</v>
      </c>
      <c r="S453" s="4">
        <v>3</v>
      </c>
      <c r="T453" s="4">
        <v>3</v>
      </c>
      <c r="U453" s="5" t="s">
        <v>5614</v>
      </c>
      <c r="V453" s="5" t="s">
        <v>5614</v>
      </c>
      <c r="W453" s="5" t="s">
        <v>5615</v>
      </c>
      <c r="X453" s="5" t="s">
        <v>5615</v>
      </c>
      <c r="Y453" s="4">
        <v>86</v>
      </c>
      <c r="Z453" s="4">
        <v>61</v>
      </c>
      <c r="AA453" s="4">
        <v>73</v>
      </c>
      <c r="AB453" s="4">
        <v>1</v>
      </c>
      <c r="AC453" s="4">
        <v>1</v>
      </c>
      <c r="AD453" s="4">
        <v>1</v>
      </c>
      <c r="AE453" s="4">
        <v>1</v>
      </c>
      <c r="AF453" s="4">
        <v>1</v>
      </c>
      <c r="AG453" s="4">
        <v>1</v>
      </c>
      <c r="AH453" s="4">
        <v>0</v>
      </c>
      <c r="AI453" s="4">
        <v>0</v>
      </c>
      <c r="AJ453" s="4">
        <v>0</v>
      </c>
      <c r="AK453" s="4">
        <v>0</v>
      </c>
      <c r="AL453" s="4">
        <v>0</v>
      </c>
      <c r="AM453" s="4">
        <v>0</v>
      </c>
      <c r="AN453" s="4">
        <v>0</v>
      </c>
      <c r="AO453" s="4">
        <v>0</v>
      </c>
      <c r="AP453" s="3" t="s">
        <v>58</v>
      </c>
      <c r="AQ453" s="3" t="s">
        <v>58</v>
      </c>
      <c r="AS453" s="6" t="str">
        <f>HYPERLINK("https://creighton-primo.hosted.exlibrisgroup.com/primo-explore/search?tab=default_tab&amp;search_scope=EVERYTHING&amp;vid=01CRU&amp;lang=en_US&amp;offset=0&amp;query=any,contains,991000663609702656","Catalog Record")</f>
        <v>Catalog Record</v>
      </c>
      <c r="AT453" s="6" t="str">
        <f>HYPERLINK("http://www.worldcat.org/oclc/75087957","WorldCat Record")</f>
        <v>WorldCat Record</v>
      </c>
      <c r="AU453" s="3" t="s">
        <v>5616</v>
      </c>
      <c r="AV453" s="3" t="s">
        <v>5617</v>
      </c>
      <c r="AW453" s="3" t="s">
        <v>5618</v>
      </c>
      <c r="AX453" s="3" t="s">
        <v>5618</v>
      </c>
      <c r="AY453" s="3" t="s">
        <v>5619</v>
      </c>
      <c r="AZ453" s="3" t="s">
        <v>73</v>
      </c>
      <c r="BB453" s="3" t="s">
        <v>5620</v>
      </c>
      <c r="BC453" s="3" t="s">
        <v>5621</v>
      </c>
      <c r="BD453" s="3" t="s">
        <v>5622</v>
      </c>
    </row>
    <row r="454" spans="1:56" ht="40.5" customHeight="1" x14ac:dyDescent="0.25">
      <c r="A454" s="7" t="s">
        <v>58</v>
      </c>
      <c r="B454" s="2" t="s">
        <v>5623</v>
      </c>
      <c r="C454" s="2" t="s">
        <v>5624</v>
      </c>
      <c r="D454" s="2" t="s">
        <v>5625</v>
      </c>
      <c r="F454" s="3" t="s">
        <v>58</v>
      </c>
      <c r="G454" s="3" t="s">
        <v>59</v>
      </c>
      <c r="H454" s="3" t="s">
        <v>58</v>
      </c>
      <c r="I454" s="3" t="s">
        <v>58</v>
      </c>
      <c r="J454" s="3" t="s">
        <v>60</v>
      </c>
      <c r="K454" s="2" t="s">
        <v>5626</v>
      </c>
      <c r="L454" s="2" t="s">
        <v>5627</v>
      </c>
      <c r="M454" s="3" t="s">
        <v>98</v>
      </c>
      <c r="O454" s="3" t="s">
        <v>64</v>
      </c>
      <c r="P454" s="3" t="s">
        <v>65</v>
      </c>
      <c r="R454" s="3" t="s">
        <v>66</v>
      </c>
      <c r="S454" s="4">
        <v>4</v>
      </c>
      <c r="T454" s="4">
        <v>4</v>
      </c>
      <c r="U454" s="5" t="s">
        <v>5628</v>
      </c>
      <c r="V454" s="5" t="s">
        <v>5628</v>
      </c>
      <c r="W454" s="5" t="s">
        <v>4343</v>
      </c>
      <c r="X454" s="5" t="s">
        <v>4343</v>
      </c>
      <c r="Y454" s="4">
        <v>149</v>
      </c>
      <c r="Z454" s="4">
        <v>116</v>
      </c>
      <c r="AA454" s="4">
        <v>117</v>
      </c>
      <c r="AB454" s="4">
        <v>2</v>
      </c>
      <c r="AC454" s="4">
        <v>2</v>
      </c>
      <c r="AD454" s="4">
        <v>5</v>
      </c>
      <c r="AE454" s="4">
        <v>5</v>
      </c>
      <c r="AF454" s="4">
        <v>3</v>
      </c>
      <c r="AG454" s="4">
        <v>3</v>
      </c>
      <c r="AH454" s="4">
        <v>1</v>
      </c>
      <c r="AI454" s="4">
        <v>1</v>
      </c>
      <c r="AJ454" s="4">
        <v>3</v>
      </c>
      <c r="AK454" s="4">
        <v>3</v>
      </c>
      <c r="AL454" s="4">
        <v>1</v>
      </c>
      <c r="AM454" s="4">
        <v>1</v>
      </c>
      <c r="AN454" s="4">
        <v>0</v>
      </c>
      <c r="AO454" s="4">
        <v>0</v>
      </c>
      <c r="AP454" s="3" t="s">
        <v>58</v>
      </c>
      <c r="AQ454" s="3" t="s">
        <v>85</v>
      </c>
      <c r="AR454" s="6" t="str">
        <f>HYPERLINK("http://catalog.hathitrust.org/Record/000326830","HathiTrust Record")</f>
        <v>HathiTrust Record</v>
      </c>
      <c r="AS454" s="6" t="str">
        <f>HYPERLINK("https://creighton-primo.hosted.exlibrisgroup.com/primo-explore/search?tab=default_tab&amp;search_scope=EVERYTHING&amp;vid=01CRU&amp;lang=en_US&amp;offset=0&amp;query=any,contains,991000911509702656","Catalog Record")</f>
        <v>Catalog Record</v>
      </c>
      <c r="AT454" s="6" t="str">
        <f>HYPERLINK("http://www.worldcat.org/oclc/9133037","WorldCat Record")</f>
        <v>WorldCat Record</v>
      </c>
      <c r="AU454" s="3" t="s">
        <v>5629</v>
      </c>
      <c r="AV454" s="3" t="s">
        <v>5630</v>
      </c>
      <c r="AW454" s="3" t="s">
        <v>5631</v>
      </c>
      <c r="AX454" s="3" t="s">
        <v>5631</v>
      </c>
      <c r="AY454" s="3" t="s">
        <v>5632</v>
      </c>
      <c r="AZ454" s="3" t="s">
        <v>73</v>
      </c>
      <c r="BB454" s="3" t="s">
        <v>5633</v>
      </c>
      <c r="BC454" s="3" t="s">
        <v>5634</v>
      </c>
      <c r="BD454" s="3" t="s">
        <v>5635</v>
      </c>
    </row>
    <row r="455" spans="1:56" ht="40.5" customHeight="1" x14ac:dyDescent="0.25">
      <c r="A455" s="7" t="s">
        <v>58</v>
      </c>
      <c r="B455" s="2" t="s">
        <v>5636</v>
      </c>
      <c r="C455" s="2" t="s">
        <v>5637</v>
      </c>
      <c r="D455" s="2" t="s">
        <v>5638</v>
      </c>
      <c r="F455" s="3" t="s">
        <v>58</v>
      </c>
      <c r="G455" s="3" t="s">
        <v>59</v>
      </c>
      <c r="H455" s="3" t="s">
        <v>58</v>
      </c>
      <c r="I455" s="3" t="s">
        <v>58</v>
      </c>
      <c r="J455" s="3" t="s">
        <v>60</v>
      </c>
      <c r="L455" s="2" t="s">
        <v>5639</v>
      </c>
      <c r="M455" s="3" t="s">
        <v>726</v>
      </c>
      <c r="O455" s="3" t="s">
        <v>64</v>
      </c>
      <c r="P455" s="3" t="s">
        <v>1394</v>
      </c>
      <c r="Q455" s="2" t="s">
        <v>5640</v>
      </c>
      <c r="R455" s="3" t="s">
        <v>66</v>
      </c>
      <c r="S455" s="4">
        <v>8</v>
      </c>
      <c r="T455" s="4">
        <v>8</v>
      </c>
      <c r="U455" s="5" t="s">
        <v>5641</v>
      </c>
      <c r="V455" s="5" t="s">
        <v>5641</v>
      </c>
      <c r="W455" s="5" t="s">
        <v>5642</v>
      </c>
      <c r="X455" s="5" t="s">
        <v>5642</v>
      </c>
      <c r="Y455" s="4">
        <v>141</v>
      </c>
      <c r="Z455" s="4">
        <v>85</v>
      </c>
      <c r="AA455" s="4">
        <v>96</v>
      </c>
      <c r="AB455" s="4">
        <v>2</v>
      </c>
      <c r="AC455" s="4">
        <v>2</v>
      </c>
      <c r="AD455" s="4">
        <v>3</v>
      </c>
      <c r="AE455" s="4">
        <v>3</v>
      </c>
      <c r="AF455" s="4">
        <v>0</v>
      </c>
      <c r="AG455" s="4">
        <v>0</v>
      </c>
      <c r="AH455" s="4">
        <v>2</v>
      </c>
      <c r="AI455" s="4">
        <v>2</v>
      </c>
      <c r="AJ455" s="4">
        <v>0</v>
      </c>
      <c r="AK455" s="4">
        <v>0</v>
      </c>
      <c r="AL455" s="4">
        <v>1</v>
      </c>
      <c r="AM455" s="4">
        <v>1</v>
      </c>
      <c r="AN455" s="4">
        <v>0</v>
      </c>
      <c r="AO455" s="4">
        <v>0</v>
      </c>
      <c r="AP455" s="3" t="s">
        <v>58</v>
      </c>
      <c r="AQ455" s="3" t="s">
        <v>58</v>
      </c>
      <c r="AS455" s="6" t="str">
        <f>HYPERLINK("https://creighton-primo.hosted.exlibrisgroup.com/primo-explore/search?tab=default_tab&amp;search_scope=EVERYTHING&amp;vid=01CRU&amp;lang=en_US&amp;offset=0&amp;query=any,contains,991000768159702656","Catalog Record")</f>
        <v>Catalog Record</v>
      </c>
      <c r="AT455" s="6" t="str">
        <f>HYPERLINK("http://www.worldcat.org/oclc/20492372","WorldCat Record")</f>
        <v>WorldCat Record</v>
      </c>
      <c r="AU455" s="3" t="s">
        <v>5643</v>
      </c>
      <c r="AV455" s="3" t="s">
        <v>5644</v>
      </c>
      <c r="AW455" s="3" t="s">
        <v>5645</v>
      </c>
      <c r="AX455" s="3" t="s">
        <v>5645</v>
      </c>
      <c r="AY455" s="3" t="s">
        <v>5646</v>
      </c>
      <c r="AZ455" s="3" t="s">
        <v>73</v>
      </c>
      <c r="BB455" s="3" t="s">
        <v>5647</v>
      </c>
      <c r="BC455" s="3" t="s">
        <v>5648</v>
      </c>
      <c r="BD455" s="3" t="s">
        <v>5649</v>
      </c>
    </row>
    <row r="456" spans="1:56" ht="40.5" customHeight="1" x14ac:dyDescent="0.25">
      <c r="A456" s="7" t="s">
        <v>58</v>
      </c>
      <c r="B456" s="2" t="s">
        <v>5650</v>
      </c>
      <c r="C456" s="2" t="s">
        <v>5651</v>
      </c>
      <c r="D456" s="2" t="s">
        <v>5652</v>
      </c>
      <c r="F456" s="3" t="s">
        <v>58</v>
      </c>
      <c r="G456" s="3" t="s">
        <v>59</v>
      </c>
      <c r="H456" s="3" t="s">
        <v>58</v>
      </c>
      <c r="I456" s="3" t="s">
        <v>58</v>
      </c>
      <c r="J456" s="3" t="s">
        <v>60</v>
      </c>
      <c r="K456" s="2" t="s">
        <v>5653</v>
      </c>
      <c r="L456" s="2" t="s">
        <v>5654</v>
      </c>
      <c r="M456" s="3" t="s">
        <v>167</v>
      </c>
      <c r="O456" s="3" t="s">
        <v>64</v>
      </c>
      <c r="P456" s="3" t="s">
        <v>135</v>
      </c>
      <c r="R456" s="3" t="s">
        <v>66</v>
      </c>
      <c r="S456" s="4">
        <v>7</v>
      </c>
      <c r="T456" s="4">
        <v>7</v>
      </c>
      <c r="U456" s="5" t="s">
        <v>5655</v>
      </c>
      <c r="V456" s="5" t="s">
        <v>5655</v>
      </c>
      <c r="W456" s="5" t="s">
        <v>4330</v>
      </c>
      <c r="X456" s="5" t="s">
        <v>4330</v>
      </c>
      <c r="Y456" s="4">
        <v>140</v>
      </c>
      <c r="Z456" s="4">
        <v>73</v>
      </c>
      <c r="AA456" s="4">
        <v>348</v>
      </c>
      <c r="AB456" s="4">
        <v>1</v>
      </c>
      <c r="AC456" s="4">
        <v>3</v>
      </c>
      <c r="AD456" s="4">
        <v>2</v>
      </c>
      <c r="AE456" s="4">
        <v>14</v>
      </c>
      <c r="AF456" s="4">
        <v>0</v>
      </c>
      <c r="AG456" s="4">
        <v>9</v>
      </c>
      <c r="AH456" s="4">
        <v>2</v>
      </c>
      <c r="AI456" s="4">
        <v>4</v>
      </c>
      <c r="AJ456" s="4">
        <v>1</v>
      </c>
      <c r="AK456" s="4">
        <v>5</v>
      </c>
      <c r="AL456" s="4">
        <v>0</v>
      </c>
      <c r="AM456" s="4">
        <v>2</v>
      </c>
      <c r="AN456" s="4">
        <v>0</v>
      </c>
      <c r="AO456" s="4">
        <v>0</v>
      </c>
      <c r="AP456" s="3" t="s">
        <v>58</v>
      </c>
      <c r="AQ456" s="3" t="s">
        <v>58</v>
      </c>
      <c r="AS456" s="6" t="str">
        <f>HYPERLINK("https://creighton-primo.hosted.exlibrisgroup.com/primo-explore/search?tab=default_tab&amp;search_scope=EVERYTHING&amp;vid=01CRU&amp;lang=en_US&amp;offset=0&amp;query=any,contains,991000911679702656","Catalog Record")</f>
        <v>Catalog Record</v>
      </c>
      <c r="AT456" s="6" t="str">
        <f>HYPERLINK("http://www.worldcat.org/oclc/2074097","WorldCat Record")</f>
        <v>WorldCat Record</v>
      </c>
      <c r="AU456" s="3" t="s">
        <v>5656</v>
      </c>
      <c r="AV456" s="3" t="s">
        <v>5657</v>
      </c>
      <c r="AW456" s="3" t="s">
        <v>5658</v>
      </c>
      <c r="AX456" s="3" t="s">
        <v>5658</v>
      </c>
      <c r="AY456" s="3" t="s">
        <v>5659</v>
      </c>
      <c r="AZ456" s="3" t="s">
        <v>73</v>
      </c>
      <c r="BC456" s="3" t="s">
        <v>5660</v>
      </c>
      <c r="BD456" s="3" t="s">
        <v>5661</v>
      </c>
    </row>
    <row r="457" spans="1:56" ht="40.5" customHeight="1" x14ac:dyDescent="0.25">
      <c r="A457" s="7" t="s">
        <v>58</v>
      </c>
      <c r="B457" s="2" t="s">
        <v>5662</v>
      </c>
      <c r="C457" s="2" t="s">
        <v>5663</v>
      </c>
      <c r="D457" s="2" t="s">
        <v>5664</v>
      </c>
      <c r="F457" s="3" t="s">
        <v>58</v>
      </c>
      <c r="G457" s="3" t="s">
        <v>59</v>
      </c>
      <c r="H457" s="3" t="s">
        <v>58</v>
      </c>
      <c r="I457" s="3" t="s">
        <v>58</v>
      </c>
      <c r="J457" s="3" t="s">
        <v>60</v>
      </c>
      <c r="K457" s="2" t="s">
        <v>5665</v>
      </c>
      <c r="L457" s="2" t="s">
        <v>5666</v>
      </c>
      <c r="M457" s="3" t="s">
        <v>81</v>
      </c>
      <c r="O457" s="3" t="s">
        <v>64</v>
      </c>
      <c r="P457" s="3" t="s">
        <v>117</v>
      </c>
      <c r="R457" s="3" t="s">
        <v>66</v>
      </c>
      <c r="S457" s="4">
        <v>7</v>
      </c>
      <c r="T457" s="4">
        <v>7</v>
      </c>
      <c r="U457" s="5" t="s">
        <v>5667</v>
      </c>
      <c r="V457" s="5" t="s">
        <v>5667</v>
      </c>
      <c r="W457" s="5" t="s">
        <v>4330</v>
      </c>
      <c r="X457" s="5" t="s">
        <v>4330</v>
      </c>
      <c r="Y457" s="4">
        <v>233</v>
      </c>
      <c r="Z457" s="4">
        <v>220</v>
      </c>
      <c r="AA457" s="4">
        <v>226</v>
      </c>
      <c r="AB457" s="4">
        <v>2</v>
      </c>
      <c r="AC457" s="4">
        <v>2</v>
      </c>
      <c r="AD457" s="4">
        <v>1</v>
      </c>
      <c r="AE457" s="4">
        <v>1</v>
      </c>
      <c r="AF457" s="4">
        <v>0</v>
      </c>
      <c r="AG457" s="4">
        <v>0</v>
      </c>
      <c r="AH457" s="4">
        <v>0</v>
      </c>
      <c r="AI457" s="4">
        <v>0</v>
      </c>
      <c r="AJ457" s="4">
        <v>0</v>
      </c>
      <c r="AK457" s="4">
        <v>0</v>
      </c>
      <c r="AL457" s="4">
        <v>1</v>
      </c>
      <c r="AM457" s="4">
        <v>1</v>
      </c>
      <c r="AN457" s="4">
        <v>0</v>
      </c>
      <c r="AO457" s="4">
        <v>0</v>
      </c>
      <c r="AP457" s="3" t="s">
        <v>58</v>
      </c>
      <c r="AQ457" s="3" t="s">
        <v>85</v>
      </c>
      <c r="AR457" s="6" t="str">
        <f>HYPERLINK("http://catalog.hathitrust.org/Record/001572838","HathiTrust Record")</f>
        <v>HathiTrust Record</v>
      </c>
      <c r="AS457" s="6" t="str">
        <f>HYPERLINK("https://creighton-primo.hosted.exlibrisgroup.com/primo-explore/search?tab=default_tab&amp;search_scope=EVERYTHING&amp;vid=01CRU&amp;lang=en_US&amp;offset=0&amp;query=any,contains,991000911569702656","Catalog Record")</f>
        <v>Catalog Record</v>
      </c>
      <c r="AT457" s="6" t="str">
        <f>HYPERLINK("http://www.worldcat.org/oclc/1119394","WorldCat Record")</f>
        <v>WorldCat Record</v>
      </c>
      <c r="AU457" s="3" t="s">
        <v>5668</v>
      </c>
      <c r="AV457" s="3" t="s">
        <v>5669</v>
      </c>
      <c r="AW457" s="3" t="s">
        <v>5670</v>
      </c>
      <c r="AX457" s="3" t="s">
        <v>5670</v>
      </c>
      <c r="AY457" s="3" t="s">
        <v>5671</v>
      </c>
      <c r="AZ457" s="3" t="s">
        <v>73</v>
      </c>
      <c r="BC457" s="3" t="s">
        <v>5672</v>
      </c>
      <c r="BD457" s="3" t="s">
        <v>5673</v>
      </c>
    </row>
    <row r="458" spans="1:56" ht="40.5" customHeight="1" x14ac:dyDescent="0.25">
      <c r="A458" s="7" t="s">
        <v>58</v>
      </c>
      <c r="B458" s="2" t="s">
        <v>5674</v>
      </c>
      <c r="C458" s="2" t="s">
        <v>5675</v>
      </c>
      <c r="D458" s="2" t="s">
        <v>5676</v>
      </c>
      <c r="F458" s="3" t="s">
        <v>58</v>
      </c>
      <c r="G458" s="3" t="s">
        <v>59</v>
      </c>
      <c r="H458" s="3" t="s">
        <v>58</v>
      </c>
      <c r="I458" s="3" t="s">
        <v>58</v>
      </c>
      <c r="J458" s="3" t="s">
        <v>60</v>
      </c>
      <c r="K458" s="2" t="s">
        <v>5677</v>
      </c>
      <c r="L458" s="2" t="s">
        <v>5678</v>
      </c>
      <c r="M458" s="3" t="s">
        <v>5679</v>
      </c>
      <c r="O458" s="3" t="s">
        <v>64</v>
      </c>
      <c r="P458" s="3" t="s">
        <v>743</v>
      </c>
      <c r="R458" s="3" t="s">
        <v>66</v>
      </c>
      <c r="S458" s="4">
        <v>4</v>
      </c>
      <c r="T458" s="4">
        <v>4</v>
      </c>
      <c r="U458" s="5" t="s">
        <v>5680</v>
      </c>
      <c r="V458" s="5" t="s">
        <v>5680</v>
      </c>
      <c r="W458" s="5" t="s">
        <v>3836</v>
      </c>
      <c r="X458" s="5" t="s">
        <v>3836</v>
      </c>
      <c r="Y458" s="4">
        <v>28</v>
      </c>
      <c r="Z458" s="4">
        <v>26</v>
      </c>
      <c r="AA458" s="4">
        <v>84</v>
      </c>
      <c r="AB458" s="4">
        <v>1</v>
      </c>
      <c r="AC458" s="4">
        <v>2</v>
      </c>
      <c r="AD458" s="4">
        <v>0</v>
      </c>
      <c r="AE458" s="4">
        <v>2</v>
      </c>
      <c r="AF458" s="4">
        <v>0</v>
      </c>
      <c r="AG458" s="4">
        <v>1</v>
      </c>
      <c r="AH458" s="4">
        <v>0</v>
      </c>
      <c r="AI458" s="4">
        <v>0</v>
      </c>
      <c r="AJ458" s="4">
        <v>0</v>
      </c>
      <c r="AK458" s="4">
        <v>1</v>
      </c>
      <c r="AL458" s="4">
        <v>0</v>
      </c>
      <c r="AM458" s="4">
        <v>1</v>
      </c>
      <c r="AN458" s="4">
        <v>0</v>
      </c>
      <c r="AO458" s="4">
        <v>0</v>
      </c>
      <c r="AP458" s="3" t="s">
        <v>58</v>
      </c>
      <c r="AQ458" s="3" t="s">
        <v>58</v>
      </c>
      <c r="AS458" s="6" t="str">
        <f>HYPERLINK("https://creighton-primo.hosted.exlibrisgroup.com/primo-explore/search?tab=default_tab&amp;search_scope=EVERYTHING&amp;vid=01CRU&amp;lang=en_US&amp;offset=0&amp;query=any,contains,991000911799702656","Catalog Record")</f>
        <v>Catalog Record</v>
      </c>
      <c r="AT458" s="6" t="str">
        <f>HYPERLINK("http://www.worldcat.org/oclc/8258602","WorldCat Record")</f>
        <v>WorldCat Record</v>
      </c>
      <c r="AU458" s="3" t="s">
        <v>5681</v>
      </c>
      <c r="AV458" s="3" t="s">
        <v>5682</v>
      </c>
      <c r="AW458" s="3" t="s">
        <v>5683</v>
      </c>
      <c r="AX458" s="3" t="s">
        <v>5683</v>
      </c>
      <c r="AY458" s="3" t="s">
        <v>5684</v>
      </c>
      <c r="AZ458" s="3" t="s">
        <v>73</v>
      </c>
      <c r="BC458" s="3" t="s">
        <v>5685</v>
      </c>
      <c r="BD458" s="3" t="s">
        <v>5686</v>
      </c>
    </row>
    <row r="459" spans="1:56" ht="40.5" customHeight="1" x14ac:dyDescent="0.25">
      <c r="A459" s="7" t="s">
        <v>58</v>
      </c>
      <c r="B459" s="2" t="s">
        <v>5687</v>
      </c>
      <c r="C459" s="2" t="s">
        <v>5688</v>
      </c>
      <c r="D459" s="2" t="s">
        <v>5689</v>
      </c>
      <c r="F459" s="3" t="s">
        <v>58</v>
      </c>
      <c r="G459" s="3" t="s">
        <v>59</v>
      </c>
      <c r="H459" s="3" t="s">
        <v>58</v>
      </c>
      <c r="I459" s="3" t="s">
        <v>58</v>
      </c>
      <c r="J459" s="3" t="s">
        <v>60</v>
      </c>
      <c r="L459" s="2" t="s">
        <v>5690</v>
      </c>
      <c r="M459" s="3" t="s">
        <v>365</v>
      </c>
      <c r="O459" s="3" t="s">
        <v>64</v>
      </c>
      <c r="P459" s="3" t="s">
        <v>135</v>
      </c>
      <c r="R459" s="3" t="s">
        <v>66</v>
      </c>
      <c r="S459" s="4">
        <v>10</v>
      </c>
      <c r="T459" s="4">
        <v>10</v>
      </c>
      <c r="U459" s="5" t="s">
        <v>5691</v>
      </c>
      <c r="V459" s="5" t="s">
        <v>5691</v>
      </c>
      <c r="W459" s="5" t="s">
        <v>2052</v>
      </c>
      <c r="X459" s="5" t="s">
        <v>2052</v>
      </c>
      <c r="Y459" s="4">
        <v>170</v>
      </c>
      <c r="Z459" s="4">
        <v>124</v>
      </c>
      <c r="AA459" s="4">
        <v>144</v>
      </c>
      <c r="AB459" s="4">
        <v>1</v>
      </c>
      <c r="AC459" s="4">
        <v>1</v>
      </c>
      <c r="AD459" s="4">
        <v>2</v>
      </c>
      <c r="AE459" s="4">
        <v>2</v>
      </c>
      <c r="AF459" s="4">
        <v>0</v>
      </c>
      <c r="AG459" s="4">
        <v>0</v>
      </c>
      <c r="AH459" s="4">
        <v>2</v>
      </c>
      <c r="AI459" s="4">
        <v>2</v>
      </c>
      <c r="AJ459" s="4">
        <v>1</v>
      </c>
      <c r="AK459" s="4">
        <v>1</v>
      </c>
      <c r="AL459" s="4">
        <v>0</v>
      </c>
      <c r="AM459" s="4">
        <v>0</v>
      </c>
      <c r="AN459" s="4">
        <v>0</v>
      </c>
      <c r="AO459" s="4">
        <v>0</v>
      </c>
      <c r="AP459" s="3" t="s">
        <v>58</v>
      </c>
      <c r="AQ459" s="3" t="s">
        <v>58</v>
      </c>
      <c r="AS459" s="6" t="str">
        <f>HYPERLINK("https://creighton-primo.hosted.exlibrisgroup.com/primo-explore/search?tab=default_tab&amp;search_scope=EVERYTHING&amp;vid=01CRU&amp;lang=en_US&amp;offset=0&amp;query=any,contains,991001395449702656","Catalog Record")</f>
        <v>Catalog Record</v>
      </c>
      <c r="AT459" s="6" t="str">
        <f>HYPERLINK("http://www.worldcat.org/oclc/28149663","WorldCat Record")</f>
        <v>WorldCat Record</v>
      </c>
      <c r="AU459" s="3" t="s">
        <v>5692</v>
      </c>
      <c r="AV459" s="3" t="s">
        <v>5693</v>
      </c>
      <c r="AW459" s="3" t="s">
        <v>5694</v>
      </c>
      <c r="AX459" s="3" t="s">
        <v>5694</v>
      </c>
      <c r="AY459" s="3" t="s">
        <v>5695</v>
      </c>
      <c r="AZ459" s="3" t="s">
        <v>73</v>
      </c>
      <c r="BB459" s="3" t="s">
        <v>5696</v>
      </c>
      <c r="BC459" s="3" t="s">
        <v>5697</v>
      </c>
      <c r="BD459" s="3" t="s">
        <v>5698</v>
      </c>
    </row>
    <row r="460" spans="1:56" ht="40.5" customHeight="1" x14ac:dyDescent="0.25">
      <c r="A460" s="7" t="s">
        <v>58</v>
      </c>
      <c r="B460" s="2" t="s">
        <v>5699</v>
      </c>
      <c r="C460" s="2" t="s">
        <v>5700</v>
      </c>
      <c r="D460" s="2" t="s">
        <v>5701</v>
      </c>
      <c r="F460" s="3" t="s">
        <v>58</v>
      </c>
      <c r="G460" s="3" t="s">
        <v>59</v>
      </c>
      <c r="H460" s="3" t="s">
        <v>58</v>
      </c>
      <c r="I460" s="3" t="s">
        <v>58</v>
      </c>
      <c r="J460" s="3" t="s">
        <v>60</v>
      </c>
      <c r="L460" s="2" t="s">
        <v>5702</v>
      </c>
      <c r="M460" s="3" t="s">
        <v>467</v>
      </c>
      <c r="O460" s="3" t="s">
        <v>64</v>
      </c>
      <c r="P460" s="3" t="s">
        <v>886</v>
      </c>
      <c r="R460" s="3" t="s">
        <v>66</v>
      </c>
      <c r="S460" s="4">
        <v>4</v>
      </c>
      <c r="T460" s="4">
        <v>4</v>
      </c>
      <c r="U460" s="5" t="s">
        <v>5703</v>
      </c>
      <c r="V460" s="5" t="s">
        <v>5703</v>
      </c>
      <c r="W460" s="5" t="s">
        <v>5117</v>
      </c>
      <c r="X460" s="5" t="s">
        <v>5117</v>
      </c>
      <c r="Y460" s="4">
        <v>243</v>
      </c>
      <c r="Z460" s="4">
        <v>176</v>
      </c>
      <c r="AA460" s="4">
        <v>194</v>
      </c>
      <c r="AB460" s="4">
        <v>2</v>
      </c>
      <c r="AC460" s="4">
        <v>2</v>
      </c>
      <c r="AD460" s="4">
        <v>4</v>
      </c>
      <c r="AE460" s="4">
        <v>4</v>
      </c>
      <c r="AF460" s="4">
        <v>2</v>
      </c>
      <c r="AG460" s="4">
        <v>2</v>
      </c>
      <c r="AH460" s="4">
        <v>1</v>
      </c>
      <c r="AI460" s="4">
        <v>1</v>
      </c>
      <c r="AJ460" s="4">
        <v>1</v>
      </c>
      <c r="AK460" s="4">
        <v>1</v>
      </c>
      <c r="AL460" s="4">
        <v>1</v>
      </c>
      <c r="AM460" s="4">
        <v>1</v>
      </c>
      <c r="AN460" s="4">
        <v>0</v>
      </c>
      <c r="AO460" s="4">
        <v>0</v>
      </c>
      <c r="AP460" s="3" t="s">
        <v>58</v>
      </c>
      <c r="AQ460" s="3" t="s">
        <v>58</v>
      </c>
      <c r="AS460" s="6" t="str">
        <f>HYPERLINK("https://creighton-primo.hosted.exlibrisgroup.com/primo-explore/search?tab=default_tab&amp;search_scope=EVERYTHING&amp;vid=01CRU&amp;lang=en_US&amp;offset=0&amp;query=any,contains,991000911719702656","Catalog Record")</f>
        <v>Catalog Record</v>
      </c>
      <c r="AT460" s="6" t="str">
        <f>HYPERLINK("http://www.worldcat.org/oclc/6625917","WorldCat Record")</f>
        <v>WorldCat Record</v>
      </c>
      <c r="AU460" s="3" t="s">
        <v>5704</v>
      </c>
      <c r="AV460" s="3" t="s">
        <v>5705</v>
      </c>
      <c r="AW460" s="3" t="s">
        <v>5706</v>
      </c>
      <c r="AX460" s="3" t="s">
        <v>5706</v>
      </c>
      <c r="AY460" s="3" t="s">
        <v>5707</v>
      </c>
      <c r="AZ460" s="3" t="s">
        <v>73</v>
      </c>
      <c r="BB460" s="3" t="s">
        <v>5708</v>
      </c>
      <c r="BC460" s="3" t="s">
        <v>5709</v>
      </c>
      <c r="BD460" s="3" t="s">
        <v>5710</v>
      </c>
    </row>
    <row r="461" spans="1:56" ht="40.5" customHeight="1" x14ac:dyDescent="0.25">
      <c r="A461" s="7" t="s">
        <v>58</v>
      </c>
      <c r="B461" s="2" t="s">
        <v>5711</v>
      </c>
      <c r="C461" s="2" t="s">
        <v>5712</v>
      </c>
      <c r="D461" s="2" t="s">
        <v>5713</v>
      </c>
      <c r="F461" s="3" t="s">
        <v>58</v>
      </c>
      <c r="G461" s="3" t="s">
        <v>59</v>
      </c>
      <c r="H461" s="3" t="s">
        <v>58</v>
      </c>
      <c r="I461" s="3" t="s">
        <v>58</v>
      </c>
      <c r="J461" s="3" t="s">
        <v>60</v>
      </c>
      <c r="K461" s="2" t="s">
        <v>5714</v>
      </c>
      <c r="L461" s="2" t="s">
        <v>1564</v>
      </c>
      <c r="M461" s="3" t="s">
        <v>614</v>
      </c>
      <c r="O461" s="3" t="s">
        <v>64</v>
      </c>
      <c r="P461" s="3" t="s">
        <v>886</v>
      </c>
      <c r="R461" s="3" t="s">
        <v>66</v>
      </c>
      <c r="S461" s="4">
        <v>8</v>
      </c>
      <c r="T461" s="4">
        <v>8</v>
      </c>
      <c r="U461" s="5" t="s">
        <v>5715</v>
      </c>
      <c r="V461" s="5" t="s">
        <v>5715</v>
      </c>
      <c r="W461" s="5" t="s">
        <v>1551</v>
      </c>
      <c r="X461" s="5" t="s">
        <v>1551</v>
      </c>
      <c r="Y461" s="4">
        <v>138</v>
      </c>
      <c r="Z461" s="4">
        <v>99</v>
      </c>
      <c r="AA461" s="4">
        <v>99</v>
      </c>
      <c r="AB461" s="4">
        <v>1</v>
      </c>
      <c r="AC461" s="4">
        <v>1</v>
      </c>
      <c r="AD461" s="4">
        <v>2</v>
      </c>
      <c r="AE461" s="4">
        <v>2</v>
      </c>
      <c r="AF461" s="4">
        <v>1</v>
      </c>
      <c r="AG461" s="4">
        <v>1</v>
      </c>
      <c r="AH461" s="4">
        <v>1</v>
      </c>
      <c r="AI461" s="4">
        <v>1</v>
      </c>
      <c r="AJ461" s="4">
        <v>1</v>
      </c>
      <c r="AK461" s="4">
        <v>1</v>
      </c>
      <c r="AL461" s="4">
        <v>0</v>
      </c>
      <c r="AM461" s="4">
        <v>0</v>
      </c>
      <c r="AN461" s="4">
        <v>0</v>
      </c>
      <c r="AO461" s="4">
        <v>0</v>
      </c>
      <c r="AP461" s="3" t="s">
        <v>58</v>
      </c>
      <c r="AQ461" s="3" t="s">
        <v>58</v>
      </c>
      <c r="AS461" s="6" t="str">
        <f>HYPERLINK("https://creighton-primo.hosted.exlibrisgroup.com/primo-explore/search?tab=default_tab&amp;search_scope=EVERYTHING&amp;vid=01CRU&amp;lang=en_US&amp;offset=0&amp;query=any,contains,991001313939702656","Catalog Record")</f>
        <v>Catalog Record</v>
      </c>
      <c r="AT461" s="6" t="str">
        <f>HYPERLINK("http://www.worldcat.org/oclc/18982662","WorldCat Record")</f>
        <v>WorldCat Record</v>
      </c>
      <c r="AU461" s="3" t="s">
        <v>5716</v>
      </c>
      <c r="AV461" s="3" t="s">
        <v>5717</v>
      </c>
      <c r="AW461" s="3" t="s">
        <v>5718</v>
      </c>
      <c r="AX461" s="3" t="s">
        <v>5718</v>
      </c>
      <c r="AY461" s="3" t="s">
        <v>5719</v>
      </c>
      <c r="AZ461" s="3" t="s">
        <v>73</v>
      </c>
      <c r="BB461" s="3" t="s">
        <v>5720</v>
      </c>
      <c r="BC461" s="3" t="s">
        <v>5721</v>
      </c>
      <c r="BD461" s="3" t="s">
        <v>5722</v>
      </c>
    </row>
    <row r="462" spans="1:56" ht="40.5" customHeight="1" x14ac:dyDescent="0.25">
      <c r="A462" s="7" t="s">
        <v>58</v>
      </c>
      <c r="B462" s="2" t="s">
        <v>5723</v>
      </c>
      <c r="C462" s="2" t="s">
        <v>5724</v>
      </c>
      <c r="D462" s="2" t="s">
        <v>5725</v>
      </c>
      <c r="F462" s="3" t="s">
        <v>58</v>
      </c>
      <c r="G462" s="3" t="s">
        <v>59</v>
      </c>
      <c r="H462" s="3" t="s">
        <v>58</v>
      </c>
      <c r="I462" s="3" t="s">
        <v>58</v>
      </c>
      <c r="J462" s="3" t="s">
        <v>60</v>
      </c>
      <c r="L462" s="2" t="s">
        <v>5726</v>
      </c>
      <c r="M462" s="3" t="s">
        <v>365</v>
      </c>
      <c r="N462" s="2" t="s">
        <v>198</v>
      </c>
      <c r="O462" s="3" t="s">
        <v>64</v>
      </c>
      <c r="P462" s="3" t="s">
        <v>117</v>
      </c>
      <c r="R462" s="3" t="s">
        <v>66</v>
      </c>
      <c r="S462" s="4">
        <v>35</v>
      </c>
      <c r="T462" s="4">
        <v>35</v>
      </c>
      <c r="U462" s="5" t="s">
        <v>5727</v>
      </c>
      <c r="V462" s="5" t="s">
        <v>5727</v>
      </c>
      <c r="W462" s="5" t="s">
        <v>5728</v>
      </c>
      <c r="X462" s="5" t="s">
        <v>5728</v>
      </c>
      <c r="Y462" s="4">
        <v>212</v>
      </c>
      <c r="Z462" s="4">
        <v>150</v>
      </c>
      <c r="AA462" s="4">
        <v>152</v>
      </c>
      <c r="AB462" s="4">
        <v>2</v>
      </c>
      <c r="AC462" s="4">
        <v>2</v>
      </c>
      <c r="AD462" s="4">
        <v>6</v>
      </c>
      <c r="AE462" s="4">
        <v>6</v>
      </c>
      <c r="AF462" s="4">
        <v>1</v>
      </c>
      <c r="AG462" s="4">
        <v>1</v>
      </c>
      <c r="AH462" s="4">
        <v>2</v>
      </c>
      <c r="AI462" s="4">
        <v>2</v>
      </c>
      <c r="AJ462" s="4">
        <v>3</v>
      </c>
      <c r="AK462" s="4">
        <v>3</v>
      </c>
      <c r="AL462" s="4">
        <v>1</v>
      </c>
      <c r="AM462" s="4">
        <v>1</v>
      </c>
      <c r="AN462" s="4">
        <v>0</v>
      </c>
      <c r="AO462" s="4">
        <v>0</v>
      </c>
      <c r="AP462" s="3" t="s">
        <v>58</v>
      </c>
      <c r="AQ462" s="3" t="s">
        <v>85</v>
      </c>
      <c r="AR462" s="6" t="str">
        <f>HYPERLINK("http://catalog.hathitrust.org/Record/002736714","HathiTrust Record")</f>
        <v>HathiTrust Record</v>
      </c>
      <c r="AS462" s="6" t="str">
        <f>HYPERLINK("https://creighton-primo.hosted.exlibrisgroup.com/primo-explore/search?tab=default_tab&amp;search_scope=EVERYTHING&amp;vid=01CRU&amp;lang=en_US&amp;offset=0&amp;query=any,contains,991000651839702656","Catalog Record")</f>
        <v>Catalog Record</v>
      </c>
      <c r="AT462" s="6" t="str">
        <f>HYPERLINK("http://www.worldcat.org/oclc/27814431","WorldCat Record")</f>
        <v>WorldCat Record</v>
      </c>
      <c r="AU462" s="3" t="s">
        <v>5729</v>
      </c>
      <c r="AV462" s="3" t="s">
        <v>5730</v>
      </c>
      <c r="AW462" s="3" t="s">
        <v>5731</v>
      </c>
      <c r="AX462" s="3" t="s">
        <v>5731</v>
      </c>
      <c r="AY462" s="3" t="s">
        <v>5732</v>
      </c>
      <c r="AZ462" s="3" t="s">
        <v>73</v>
      </c>
      <c r="BB462" s="3" t="s">
        <v>5733</v>
      </c>
      <c r="BC462" s="3" t="s">
        <v>5734</v>
      </c>
      <c r="BD462" s="3" t="s">
        <v>5735</v>
      </c>
    </row>
    <row r="463" spans="1:56" ht="40.5" customHeight="1" x14ac:dyDescent="0.25">
      <c r="A463" s="7" t="s">
        <v>58</v>
      </c>
      <c r="B463" s="2" t="s">
        <v>5736</v>
      </c>
      <c r="C463" s="2" t="s">
        <v>5737</v>
      </c>
      <c r="D463" s="2" t="s">
        <v>5738</v>
      </c>
      <c r="F463" s="3" t="s">
        <v>58</v>
      </c>
      <c r="G463" s="3" t="s">
        <v>59</v>
      </c>
      <c r="H463" s="3" t="s">
        <v>58</v>
      </c>
      <c r="I463" s="3" t="s">
        <v>58</v>
      </c>
      <c r="J463" s="3" t="s">
        <v>60</v>
      </c>
      <c r="K463" s="2" t="s">
        <v>5739</v>
      </c>
      <c r="L463" s="2" t="s">
        <v>4527</v>
      </c>
      <c r="M463" s="3" t="s">
        <v>229</v>
      </c>
      <c r="O463" s="3" t="s">
        <v>64</v>
      </c>
      <c r="P463" s="3" t="s">
        <v>117</v>
      </c>
      <c r="R463" s="3" t="s">
        <v>66</v>
      </c>
      <c r="S463" s="4">
        <v>1</v>
      </c>
      <c r="T463" s="4">
        <v>1</v>
      </c>
      <c r="U463" s="5" t="s">
        <v>5740</v>
      </c>
      <c r="V463" s="5" t="s">
        <v>5740</v>
      </c>
      <c r="W463" s="5" t="s">
        <v>290</v>
      </c>
      <c r="X463" s="5" t="s">
        <v>290</v>
      </c>
      <c r="Y463" s="4">
        <v>288</v>
      </c>
      <c r="Z463" s="4">
        <v>205</v>
      </c>
      <c r="AA463" s="4">
        <v>243</v>
      </c>
      <c r="AB463" s="4">
        <v>3</v>
      </c>
      <c r="AC463" s="4">
        <v>3</v>
      </c>
      <c r="AD463" s="4">
        <v>4</v>
      </c>
      <c r="AE463" s="4">
        <v>6</v>
      </c>
      <c r="AF463" s="4">
        <v>0</v>
      </c>
      <c r="AG463" s="4">
        <v>1</v>
      </c>
      <c r="AH463" s="4">
        <v>1</v>
      </c>
      <c r="AI463" s="4">
        <v>2</v>
      </c>
      <c r="AJ463" s="4">
        <v>2</v>
      </c>
      <c r="AK463" s="4">
        <v>2</v>
      </c>
      <c r="AL463" s="4">
        <v>2</v>
      </c>
      <c r="AM463" s="4">
        <v>2</v>
      </c>
      <c r="AN463" s="4">
        <v>0</v>
      </c>
      <c r="AO463" s="4">
        <v>0</v>
      </c>
      <c r="AP463" s="3" t="s">
        <v>58</v>
      </c>
      <c r="AQ463" s="3" t="s">
        <v>85</v>
      </c>
      <c r="AR463" s="6" t="str">
        <f>HYPERLINK("http://catalog.hathitrust.org/Record/000019976","HathiTrust Record")</f>
        <v>HathiTrust Record</v>
      </c>
      <c r="AS463" s="6" t="str">
        <f>HYPERLINK("https://creighton-primo.hosted.exlibrisgroup.com/primo-explore/search?tab=default_tab&amp;search_scope=EVERYTHING&amp;vid=01CRU&amp;lang=en_US&amp;offset=0&amp;query=any,contains,991000912029702656","Catalog Record")</f>
        <v>Catalog Record</v>
      </c>
      <c r="AT463" s="6" t="str">
        <f>HYPERLINK("http://www.worldcat.org/oclc/5171867","WorldCat Record")</f>
        <v>WorldCat Record</v>
      </c>
      <c r="AU463" s="3" t="s">
        <v>5741</v>
      </c>
      <c r="AV463" s="3" t="s">
        <v>5742</v>
      </c>
      <c r="AW463" s="3" t="s">
        <v>5743</v>
      </c>
      <c r="AX463" s="3" t="s">
        <v>5743</v>
      </c>
      <c r="AY463" s="3" t="s">
        <v>5744</v>
      </c>
      <c r="AZ463" s="3" t="s">
        <v>73</v>
      </c>
      <c r="BB463" s="3" t="s">
        <v>5745</v>
      </c>
      <c r="BC463" s="3" t="s">
        <v>5746</v>
      </c>
      <c r="BD463" s="3" t="s">
        <v>5747</v>
      </c>
    </row>
    <row r="464" spans="1:56" ht="40.5" customHeight="1" x14ac:dyDescent="0.25">
      <c r="A464" s="7" t="s">
        <v>58</v>
      </c>
      <c r="B464" s="2" t="s">
        <v>5748</v>
      </c>
      <c r="C464" s="2" t="s">
        <v>5749</v>
      </c>
      <c r="D464" s="2" t="s">
        <v>5750</v>
      </c>
      <c r="F464" s="3" t="s">
        <v>58</v>
      </c>
      <c r="G464" s="3" t="s">
        <v>59</v>
      </c>
      <c r="H464" s="3" t="s">
        <v>58</v>
      </c>
      <c r="I464" s="3" t="s">
        <v>58</v>
      </c>
      <c r="J464" s="3" t="s">
        <v>60</v>
      </c>
      <c r="L464" s="2" t="s">
        <v>5751</v>
      </c>
      <c r="M464" s="3" t="s">
        <v>742</v>
      </c>
      <c r="O464" s="3" t="s">
        <v>64</v>
      </c>
      <c r="P464" s="3" t="s">
        <v>4679</v>
      </c>
      <c r="R464" s="3" t="s">
        <v>66</v>
      </c>
      <c r="S464" s="4">
        <v>21</v>
      </c>
      <c r="T464" s="4">
        <v>21</v>
      </c>
      <c r="U464" s="5" t="s">
        <v>5752</v>
      </c>
      <c r="V464" s="5" t="s">
        <v>5752</v>
      </c>
      <c r="W464" s="5" t="s">
        <v>5753</v>
      </c>
      <c r="X464" s="5" t="s">
        <v>5753</v>
      </c>
      <c r="Y464" s="4">
        <v>83</v>
      </c>
      <c r="Z464" s="4">
        <v>56</v>
      </c>
      <c r="AA464" s="4">
        <v>56</v>
      </c>
      <c r="AB464" s="4">
        <v>1</v>
      </c>
      <c r="AC464" s="4">
        <v>1</v>
      </c>
      <c r="AD464" s="4">
        <v>1</v>
      </c>
      <c r="AE464" s="4">
        <v>1</v>
      </c>
      <c r="AF464" s="4">
        <v>0</v>
      </c>
      <c r="AG464" s="4">
        <v>0</v>
      </c>
      <c r="AH464" s="4">
        <v>1</v>
      </c>
      <c r="AI464" s="4">
        <v>1</v>
      </c>
      <c r="AJ464" s="4">
        <v>0</v>
      </c>
      <c r="AK464" s="4">
        <v>0</v>
      </c>
      <c r="AL464" s="4">
        <v>0</v>
      </c>
      <c r="AM464" s="4">
        <v>0</v>
      </c>
      <c r="AN464" s="4">
        <v>0</v>
      </c>
      <c r="AO464" s="4">
        <v>0</v>
      </c>
      <c r="AP464" s="3" t="s">
        <v>58</v>
      </c>
      <c r="AQ464" s="3" t="s">
        <v>58</v>
      </c>
      <c r="AS464" s="6" t="str">
        <f>HYPERLINK("https://creighton-primo.hosted.exlibrisgroup.com/primo-explore/search?tab=default_tab&amp;search_scope=EVERYTHING&amp;vid=01CRU&amp;lang=en_US&amp;offset=0&amp;query=any,contains,991001488329702656","Catalog Record")</f>
        <v>Catalog Record</v>
      </c>
      <c r="AT464" s="6" t="str">
        <f>HYPERLINK("http://www.worldcat.org/oclc/28529916","WorldCat Record")</f>
        <v>WorldCat Record</v>
      </c>
      <c r="AU464" s="3" t="s">
        <v>5754</v>
      </c>
      <c r="AV464" s="3" t="s">
        <v>5755</v>
      </c>
      <c r="AW464" s="3" t="s">
        <v>5756</v>
      </c>
      <c r="AX464" s="3" t="s">
        <v>5756</v>
      </c>
      <c r="AY464" s="3" t="s">
        <v>5757</v>
      </c>
      <c r="AZ464" s="3" t="s">
        <v>73</v>
      </c>
      <c r="BB464" s="3" t="s">
        <v>5758</v>
      </c>
      <c r="BC464" s="3" t="s">
        <v>5759</v>
      </c>
      <c r="BD464" s="3" t="s">
        <v>5760</v>
      </c>
    </row>
    <row r="465" spans="1:56" ht="40.5" customHeight="1" x14ac:dyDescent="0.25">
      <c r="A465" s="7" t="s">
        <v>58</v>
      </c>
      <c r="B465" s="2" t="s">
        <v>5761</v>
      </c>
      <c r="C465" s="2" t="s">
        <v>5762</v>
      </c>
      <c r="D465" s="2" t="s">
        <v>5763</v>
      </c>
      <c r="F465" s="3" t="s">
        <v>58</v>
      </c>
      <c r="G465" s="3" t="s">
        <v>59</v>
      </c>
      <c r="H465" s="3" t="s">
        <v>58</v>
      </c>
      <c r="I465" s="3" t="s">
        <v>58</v>
      </c>
      <c r="J465" s="3" t="s">
        <v>60</v>
      </c>
      <c r="L465" s="2" t="s">
        <v>5764</v>
      </c>
      <c r="M465" s="3" t="s">
        <v>726</v>
      </c>
      <c r="O465" s="3" t="s">
        <v>64</v>
      </c>
      <c r="P465" s="3" t="s">
        <v>65</v>
      </c>
      <c r="R465" s="3" t="s">
        <v>66</v>
      </c>
      <c r="S465" s="4">
        <v>6</v>
      </c>
      <c r="T465" s="4">
        <v>6</v>
      </c>
      <c r="U465" s="5" t="s">
        <v>5703</v>
      </c>
      <c r="V465" s="5" t="s">
        <v>5703</v>
      </c>
      <c r="W465" s="5" t="s">
        <v>5765</v>
      </c>
      <c r="X465" s="5" t="s">
        <v>5765</v>
      </c>
      <c r="Y465" s="4">
        <v>52</v>
      </c>
      <c r="Z465" s="4">
        <v>35</v>
      </c>
      <c r="AA465" s="4">
        <v>42</v>
      </c>
      <c r="AB465" s="4">
        <v>1</v>
      </c>
      <c r="AC465" s="4">
        <v>1</v>
      </c>
      <c r="AD465" s="4">
        <v>1</v>
      </c>
      <c r="AE465" s="4">
        <v>1</v>
      </c>
      <c r="AF465" s="4">
        <v>0</v>
      </c>
      <c r="AG465" s="4">
        <v>0</v>
      </c>
      <c r="AH465" s="4">
        <v>1</v>
      </c>
      <c r="AI465" s="4">
        <v>1</v>
      </c>
      <c r="AJ465" s="4">
        <v>0</v>
      </c>
      <c r="AK465" s="4">
        <v>0</v>
      </c>
      <c r="AL465" s="4">
        <v>0</v>
      </c>
      <c r="AM465" s="4">
        <v>0</v>
      </c>
      <c r="AN465" s="4">
        <v>0</v>
      </c>
      <c r="AO465" s="4">
        <v>0</v>
      </c>
      <c r="AP465" s="3" t="s">
        <v>58</v>
      </c>
      <c r="AQ465" s="3" t="s">
        <v>85</v>
      </c>
      <c r="AR465" s="6" t="str">
        <f>HYPERLINK("http://catalog.hathitrust.org/Record/006248105","HathiTrust Record")</f>
        <v>HathiTrust Record</v>
      </c>
      <c r="AS465" s="6" t="str">
        <f>HYPERLINK("https://creighton-primo.hosted.exlibrisgroup.com/primo-explore/search?tab=default_tab&amp;search_scope=EVERYTHING&amp;vid=01CRU&amp;lang=en_US&amp;offset=0&amp;query=any,contains,991000943159702656","Catalog Record")</f>
        <v>Catalog Record</v>
      </c>
      <c r="AT465" s="6" t="str">
        <f>HYPERLINK("http://www.worldcat.org/oclc/22596872","WorldCat Record")</f>
        <v>WorldCat Record</v>
      </c>
      <c r="AU465" s="3" t="s">
        <v>5766</v>
      </c>
      <c r="AV465" s="3" t="s">
        <v>5767</v>
      </c>
      <c r="AW465" s="3" t="s">
        <v>5768</v>
      </c>
      <c r="AX465" s="3" t="s">
        <v>5768</v>
      </c>
      <c r="AY465" s="3" t="s">
        <v>5769</v>
      </c>
      <c r="AZ465" s="3" t="s">
        <v>73</v>
      </c>
      <c r="BB465" s="3" t="s">
        <v>5770</v>
      </c>
      <c r="BC465" s="3" t="s">
        <v>5771</v>
      </c>
      <c r="BD465" s="3" t="s">
        <v>5772</v>
      </c>
    </row>
    <row r="466" spans="1:56" ht="40.5" customHeight="1" x14ac:dyDescent="0.25">
      <c r="A466" s="7" t="s">
        <v>58</v>
      </c>
      <c r="B466" s="2" t="s">
        <v>5773</v>
      </c>
      <c r="C466" s="2" t="s">
        <v>5774</v>
      </c>
      <c r="D466" s="2" t="s">
        <v>5775</v>
      </c>
      <c r="E466" s="3" t="s">
        <v>96</v>
      </c>
      <c r="F466" s="3" t="s">
        <v>85</v>
      </c>
      <c r="G466" s="3" t="s">
        <v>59</v>
      </c>
      <c r="H466" s="3" t="s">
        <v>58</v>
      </c>
      <c r="I466" s="3" t="s">
        <v>58</v>
      </c>
      <c r="J466" s="3" t="s">
        <v>60</v>
      </c>
      <c r="K466" s="2" t="s">
        <v>5776</v>
      </c>
      <c r="L466" s="2" t="s">
        <v>1564</v>
      </c>
      <c r="M466" s="3" t="s">
        <v>614</v>
      </c>
      <c r="O466" s="3" t="s">
        <v>64</v>
      </c>
      <c r="P466" s="3" t="s">
        <v>65</v>
      </c>
      <c r="R466" s="3" t="s">
        <v>66</v>
      </c>
      <c r="S466" s="4">
        <v>3</v>
      </c>
      <c r="T466" s="4">
        <v>9</v>
      </c>
      <c r="U466" s="5" t="s">
        <v>5680</v>
      </c>
      <c r="V466" s="5" t="s">
        <v>5680</v>
      </c>
      <c r="W466" s="5" t="s">
        <v>5777</v>
      </c>
      <c r="X466" s="5" t="s">
        <v>5777</v>
      </c>
      <c r="Y466" s="4">
        <v>117</v>
      </c>
      <c r="Z466" s="4">
        <v>83</v>
      </c>
      <c r="AA466" s="4">
        <v>83</v>
      </c>
      <c r="AB466" s="4">
        <v>2</v>
      </c>
      <c r="AC466" s="4">
        <v>2</v>
      </c>
      <c r="AD466" s="4">
        <v>1</v>
      </c>
      <c r="AE466" s="4">
        <v>1</v>
      </c>
      <c r="AF466" s="4">
        <v>0</v>
      </c>
      <c r="AG466" s="4">
        <v>0</v>
      </c>
      <c r="AH466" s="4">
        <v>0</v>
      </c>
      <c r="AI466" s="4">
        <v>0</v>
      </c>
      <c r="AJ466" s="4">
        <v>0</v>
      </c>
      <c r="AK466" s="4">
        <v>0</v>
      </c>
      <c r="AL466" s="4">
        <v>1</v>
      </c>
      <c r="AM466" s="4">
        <v>1</v>
      </c>
      <c r="AN466" s="4">
        <v>0</v>
      </c>
      <c r="AO466" s="4">
        <v>0</v>
      </c>
      <c r="AP466" s="3" t="s">
        <v>58</v>
      </c>
      <c r="AQ466" s="3" t="s">
        <v>58</v>
      </c>
      <c r="AS466" s="6" t="str">
        <f>HYPERLINK("https://creighton-primo.hosted.exlibrisgroup.com/primo-explore/search?tab=default_tab&amp;search_scope=EVERYTHING&amp;vid=01CRU&amp;lang=en_US&amp;offset=0&amp;query=any,contains,991001321989702656","Catalog Record")</f>
        <v>Catalog Record</v>
      </c>
      <c r="AT466" s="6" t="str">
        <f>HYPERLINK("http://www.worldcat.org/oclc/17918592","WorldCat Record")</f>
        <v>WorldCat Record</v>
      </c>
      <c r="AU466" s="3" t="s">
        <v>5778</v>
      </c>
      <c r="AV466" s="3" t="s">
        <v>5779</v>
      </c>
      <c r="AW466" s="3" t="s">
        <v>5780</v>
      </c>
      <c r="AX466" s="3" t="s">
        <v>5780</v>
      </c>
      <c r="AY466" s="3" t="s">
        <v>5781</v>
      </c>
      <c r="AZ466" s="3" t="s">
        <v>73</v>
      </c>
      <c r="BB466" s="3" t="s">
        <v>5782</v>
      </c>
      <c r="BC466" s="3" t="s">
        <v>5783</v>
      </c>
      <c r="BD466" s="3" t="s">
        <v>5784</v>
      </c>
    </row>
    <row r="467" spans="1:56" ht="40.5" customHeight="1" x14ac:dyDescent="0.25">
      <c r="A467" s="7" t="s">
        <v>58</v>
      </c>
      <c r="B467" s="2" t="s">
        <v>5773</v>
      </c>
      <c r="C467" s="2" t="s">
        <v>5774</v>
      </c>
      <c r="D467" s="2" t="s">
        <v>5775</v>
      </c>
      <c r="E467" s="3" t="s">
        <v>258</v>
      </c>
      <c r="F467" s="3" t="s">
        <v>85</v>
      </c>
      <c r="G467" s="3" t="s">
        <v>59</v>
      </c>
      <c r="H467" s="3" t="s">
        <v>58</v>
      </c>
      <c r="I467" s="3" t="s">
        <v>58</v>
      </c>
      <c r="J467" s="3" t="s">
        <v>60</v>
      </c>
      <c r="K467" s="2" t="s">
        <v>5776</v>
      </c>
      <c r="L467" s="2" t="s">
        <v>1564</v>
      </c>
      <c r="M467" s="3" t="s">
        <v>614</v>
      </c>
      <c r="O467" s="3" t="s">
        <v>64</v>
      </c>
      <c r="P467" s="3" t="s">
        <v>65</v>
      </c>
      <c r="R467" s="3" t="s">
        <v>66</v>
      </c>
      <c r="S467" s="4">
        <v>3</v>
      </c>
      <c r="T467" s="4">
        <v>9</v>
      </c>
      <c r="U467" s="5" t="s">
        <v>5680</v>
      </c>
      <c r="V467" s="5" t="s">
        <v>5680</v>
      </c>
      <c r="W467" s="5" t="s">
        <v>5777</v>
      </c>
      <c r="X467" s="5" t="s">
        <v>5777</v>
      </c>
      <c r="Y467" s="4">
        <v>117</v>
      </c>
      <c r="Z467" s="4">
        <v>83</v>
      </c>
      <c r="AA467" s="4">
        <v>83</v>
      </c>
      <c r="AB467" s="4">
        <v>2</v>
      </c>
      <c r="AC467" s="4">
        <v>2</v>
      </c>
      <c r="AD467" s="4">
        <v>1</v>
      </c>
      <c r="AE467" s="4">
        <v>1</v>
      </c>
      <c r="AF467" s="4">
        <v>0</v>
      </c>
      <c r="AG467" s="4">
        <v>0</v>
      </c>
      <c r="AH467" s="4">
        <v>0</v>
      </c>
      <c r="AI467" s="4">
        <v>0</v>
      </c>
      <c r="AJ467" s="4">
        <v>0</v>
      </c>
      <c r="AK467" s="4">
        <v>0</v>
      </c>
      <c r="AL467" s="4">
        <v>1</v>
      </c>
      <c r="AM467" s="4">
        <v>1</v>
      </c>
      <c r="AN467" s="4">
        <v>0</v>
      </c>
      <c r="AO467" s="4">
        <v>0</v>
      </c>
      <c r="AP467" s="3" t="s">
        <v>58</v>
      </c>
      <c r="AQ467" s="3" t="s">
        <v>58</v>
      </c>
      <c r="AS467" s="6" t="str">
        <f>HYPERLINK("https://creighton-primo.hosted.exlibrisgroup.com/primo-explore/search?tab=default_tab&amp;search_scope=EVERYTHING&amp;vid=01CRU&amp;lang=en_US&amp;offset=0&amp;query=any,contains,991001321989702656","Catalog Record")</f>
        <v>Catalog Record</v>
      </c>
      <c r="AT467" s="6" t="str">
        <f>HYPERLINK("http://www.worldcat.org/oclc/17918592","WorldCat Record")</f>
        <v>WorldCat Record</v>
      </c>
      <c r="AU467" s="3" t="s">
        <v>5778</v>
      </c>
      <c r="AV467" s="3" t="s">
        <v>5779</v>
      </c>
      <c r="AW467" s="3" t="s">
        <v>5780</v>
      </c>
      <c r="AX467" s="3" t="s">
        <v>5780</v>
      </c>
      <c r="AY467" s="3" t="s">
        <v>5781</v>
      </c>
      <c r="AZ467" s="3" t="s">
        <v>73</v>
      </c>
      <c r="BB467" s="3" t="s">
        <v>5782</v>
      </c>
      <c r="BC467" s="3" t="s">
        <v>5785</v>
      </c>
      <c r="BD467" s="3" t="s">
        <v>5786</v>
      </c>
    </row>
    <row r="468" spans="1:56" ht="40.5" customHeight="1" x14ac:dyDescent="0.25">
      <c r="A468" s="7" t="s">
        <v>58</v>
      </c>
      <c r="B468" s="2" t="s">
        <v>5773</v>
      </c>
      <c r="C468" s="2" t="s">
        <v>5774</v>
      </c>
      <c r="D468" s="2" t="s">
        <v>5775</v>
      </c>
      <c r="E468" s="3" t="s">
        <v>108</v>
      </c>
      <c r="F468" s="3" t="s">
        <v>85</v>
      </c>
      <c r="G468" s="3" t="s">
        <v>59</v>
      </c>
      <c r="H468" s="3" t="s">
        <v>58</v>
      </c>
      <c r="I468" s="3" t="s">
        <v>58</v>
      </c>
      <c r="J468" s="3" t="s">
        <v>60</v>
      </c>
      <c r="K468" s="2" t="s">
        <v>5776</v>
      </c>
      <c r="L468" s="2" t="s">
        <v>1564</v>
      </c>
      <c r="M468" s="3" t="s">
        <v>614</v>
      </c>
      <c r="O468" s="3" t="s">
        <v>64</v>
      </c>
      <c r="P468" s="3" t="s">
        <v>65</v>
      </c>
      <c r="R468" s="3" t="s">
        <v>66</v>
      </c>
      <c r="S468" s="4">
        <v>3</v>
      </c>
      <c r="T468" s="4">
        <v>9</v>
      </c>
      <c r="U468" s="5" t="s">
        <v>5680</v>
      </c>
      <c r="V468" s="5" t="s">
        <v>5680</v>
      </c>
      <c r="W468" s="5" t="s">
        <v>5777</v>
      </c>
      <c r="X468" s="5" t="s">
        <v>5777</v>
      </c>
      <c r="Y468" s="4">
        <v>117</v>
      </c>
      <c r="Z468" s="4">
        <v>83</v>
      </c>
      <c r="AA468" s="4">
        <v>83</v>
      </c>
      <c r="AB468" s="4">
        <v>2</v>
      </c>
      <c r="AC468" s="4">
        <v>2</v>
      </c>
      <c r="AD468" s="4">
        <v>1</v>
      </c>
      <c r="AE468" s="4">
        <v>1</v>
      </c>
      <c r="AF468" s="4">
        <v>0</v>
      </c>
      <c r="AG468" s="4">
        <v>0</v>
      </c>
      <c r="AH468" s="4">
        <v>0</v>
      </c>
      <c r="AI468" s="4">
        <v>0</v>
      </c>
      <c r="AJ468" s="4">
        <v>0</v>
      </c>
      <c r="AK468" s="4">
        <v>0</v>
      </c>
      <c r="AL468" s="4">
        <v>1</v>
      </c>
      <c r="AM468" s="4">
        <v>1</v>
      </c>
      <c r="AN468" s="4">
        <v>0</v>
      </c>
      <c r="AO468" s="4">
        <v>0</v>
      </c>
      <c r="AP468" s="3" t="s">
        <v>58</v>
      </c>
      <c r="AQ468" s="3" t="s">
        <v>58</v>
      </c>
      <c r="AS468" s="6" t="str">
        <f>HYPERLINK("https://creighton-primo.hosted.exlibrisgroup.com/primo-explore/search?tab=default_tab&amp;search_scope=EVERYTHING&amp;vid=01CRU&amp;lang=en_US&amp;offset=0&amp;query=any,contains,991001321989702656","Catalog Record")</f>
        <v>Catalog Record</v>
      </c>
      <c r="AT468" s="6" t="str">
        <f>HYPERLINK("http://www.worldcat.org/oclc/17918592","WorldCat Record")</f>
        <v>WorldCat Record</v>
      </c>
      <c r="AU468" s="3" t="s">
        <v>5778</v>
      </c>
      <c r="AV468" s="3" t="s">
        <v>5779</v>
      </c>
      <c r="AW468" s="3" t="s">
        <v>5780</v>
      </c>
      <c r="AX468" s="3" t="s">
        <v>5780</v>
      </c>
      <c r="AY468" s="3" t="s">
        <v>5781</v>
      </c>
      <c r="AZ468" s="3" t="s">
        <v>73</v>
      </c>
      <c r="BB468" s="3" t="s">
        <v>5782</v>
      </c>
      <c r="BC468" s="3" t="s">
        <v>5787</v>
      </c>
      <c r="BD468" s="3" t="s">
        <v>5788</v>
      </c>
    </row>
    <row r="469" spans="1:56" ht="40.5" customHeight="1" x14ac:dyDescent="0.25">
      <c r="A469" s="7" t="s">
        <v>58</v>
      </c>
      <c r="B469" s="2" t="s">
        <v>5789</v>
      </c>
      <c r="C469" s="2" t="s">
        <v>5790</v>
      </c>
      <c r="D469" s="2" t="s">
        <v>5791</v>
      </c>
      <c r="F469" s="3" t="s">
        <v>58</v>
      </c>
      <c r="G469" s="3" t="s">
        <v>59</v>
      </c>
      <c r="H469" s="3" t="s">
        <v>58</v>
      </c>
      <c r="I469" s="3" t="s">
        <v>58</v>
      </c>
      <c r="J469" s="3" t="s">
        <v>60</v>
      </c>
      <c r="L469" s="2" t="s">
        <v>2260</v>
      </c>
      <c r="M469" s="3" t="s">
        <v>831</v>
      </c>
      <c r="O469" s="3" t="s">
        <v>64</v>
      </c>
      <c r="P469" s="3" t="s">
        <v>117</v>
      </c>
      <c r="Q469" s="2" t="s">
        <v>5792</v>
      </c>
      <c r="R469" s="3" t="s">
        <v>66</v>
      </c>
      <c r="S469" s="4">
        <v>4</v>
      </c>
      <c r="T469" s="4">
        <v>4</v>
      </c>
      <c r="U469" s="5" t="s">
        <v>5793</v>
      </c>
      <c r="V469" s="5" t="s">
        <v>5793</v>
      </c>
      <c r="W469" s="5" t="s">
        <v>5794</v>
      </c>
      <c r="X469" s="5" t="s">
        <v>5794</v>
      </c>
      <c r="Y469" s="4">
        <v>139</v>
      </c>
      <c r="Z469" s="4">
        <v>95</v>
      </c>
      <c r="AA469" s="4">
        <v>178</v>
      </c>
      <c r="AB469" s="4">
        <v>1</v>
      </c>
      <c r="AC469" s="4">
        <v>2</v>
      </c>
      <c r="AD469" s="4">
        <v>4</v>
      </c>
      <c r="AE469" s="4">
        <v>5</v>
      </c>
      <c r="AF469" s="4">
        <v>0</v>
      </c>
      <c r="AG469" s="4">
        <v>0</v>
      </c>
      <c r="AH469" s="4">
        <v>2</v>
      </c>
      <c r="AI469" s="4">
        <v>2</v>
      </c>
      <c r="AJ469" s="4">
        <v>3</v>
      </c>
      <c r="AK469" s="4">
        <v>3</v>
      </c>
      <c r="AL469" s="4">
        <v>0</v>
      </c>
      <c r="AM469" s="4">
        <v>1</v>
      </c>
      <c r="AN469" s="4">
        <v>0</v>
      </c>
      <c r="AO469" s="4">
        <v>0</v>
      </c>
      <c r="AP469" s="3" t="s">
        <v>58</v>
      </c>
      <c r="AQ469" s="3" t="s">
        <v>85</v>
      </c>
      <c r="AR469" s="6" t="str">
        <f>HYPERLINK("http://catalog.hathitrust.org/Record/003204308","HathiTrust Record")</f>
        <v>HathiTrust Record</v>
      </c>
      <c r="AS469" s="6" t="str">
        <f>HYPERLINK("https://creighton-primo.hosted.exlibrisgroup.com/primo-explore/search?tab=default_tab&amp;search_scope=EVERYTHING&amp;vid=01CRU&amp;lang=en_US&amp;offset=0&amp;query=any,contains,991001198879702656","Catalog Record")</f>
        <v>Catalog Record</v>
      </c>
      <c r="AT469" s="6" t="str">
        <f>HYPERLINK("http://www.worldcat.org/oclc/37451778","WorldCat Record")</f>
        <v>WorldCat Record</v>
      </c>
      <c r="AU469" s="3" t="s">
        <v>5795</v>
      </c>
      <c r="AV469" s="3" t="s">
        <v>5796</v>
      </c>
      <c r="AW469" s="3" t="s">
        <v>5797</v>
      </c>
      <c r="AX469" s="3" t="s">
        <v>5797</v>
      </c>
      <c r="AY469" s="3" t="s">
        <v>5798</v>
      </c>
      <c r="AZ469" s="3" t="s">
        <v>73</v>
      </c>
      <c r="BB469" s="3" t="s">
        <v>5799</v>
      </c>
      <c r="BC469" s="3" t="s">
        <v>5800</v>
      </c>
      <c r="BD469" s="3" t="s">
        <v>5801</v>
      </c>
    </row>
    <row r="470" spans="1:56" ht="40.5" customHeight="1" x14ac:dyDescent="0.25">
      <c r="A470" s="7" t="s">
        <v>58</v>
      </c>
      <c r="B470" s="2" t="s">
        <v>5802</v>
      </c>
      <c r="C470" s="2" t="s">
        <v>5803</v>
      </c>
      <c r="D470" s="2" t="s">
        <v>5804</v>
      </c>
      <c r="F470" s="3" t="s">
        <v>58</v>
      </c>
      <c r="G470" s="3" t="s">
        <v>59</v>
      </c>
      <c r="H470" s="3" t="s">
        <v>58</v>
      </c>
      <c r="I470" s="3" t="s">
        <v>58</v>
      </c>
      <c r="J470" s="3" t="s">
        <v>60</v>
      </c>
      <c r="L470" s="2" t="s">
        <v>5805</v>
      </c>
      <c r="M470" s="3" t="s">
        <v>63</v>
      </c>
      <c r="O470" s="3" t="s">
        <v>64</v>
      </c>
      <c r="P470" s="3" t="s">
        <v>230</v>
      </c>
      <c r="R470" s="3" t="s">
        <v>66</v>
      </c>
      <c r="S470" s="4">
        <v>3</v>
      </c>
      <c r="T470" s="4">
        <v>3</v>
      </c>
      <c r="U470" s="5" t="s">
        <v>5667</v>
      </c>
      <c r="V470" s="5" t="s">
        <v>5667</v>
      </c>
      <c r="W470" s="5" t="s">
        <v>290</v>
      </c>
      <c r="X470" s="5" t="s">
        <v>290</v>
      </c>
      <c r="Y470" s="4">
        <v>100</v>
      </c>
      <c r="Z470" s="4">
        <v>77</v>
      </c>
      <c r="AA470" s="4">
        <v>95</v>
      </c>
      <c r="AB470" s="4">
        <v>1</v>
      </c>
      <c r="AC470" s="4">
        <v>1</v>
      </c>
      <c r="AD470" s="4">
        <v>0</v>
      </c>
      <c r="AE470" s="4">
        <v>1</v>
      </c>
      <c r="AF470" s="4">
        <v>0</v>
      </c>
      <c r="AG470" s="4">
        <v>0</v>
      </c>
      <c r="AH470" s="4">
        <v>0</v>
      </c>
      <c r="AI470" s="4">
        <v>1</v>
      </c>
      <c r="AJ470" s="4">
        <v>0</v>
      </c>
      <c r="AK470" s="4">
        <v>0</v>
      </c>
      <c r="AL470" s="4">
        <v>0</v>
      </c>
      <c r="AM470" s="4">
        <v>0</v>
      </c>
      <c r="AN470" s="4">
        <v>0</v>
      </c>
      <c r="AO470" s="4">
        <v>0</v>
      </c>
      <c r="AP470" s="3" t="s">
        <v>58</v>
      </c>
      <c r="AQ470" s="3" t="s">
        <v>85</v>
      </c>
      <c r="AR470" s="6" t="str">
        <f>HYPERLINK("http://catalog.hathitrust.org/Record/006257902","HathiTrust Record")</f>
        <v>HathiTrust Record</v>
      </c>
      <c r="AS470" s="6" t="str">
        <f>HYPERLINK("https://creighton-primo.hosted.exlibrisgroup.com/primo-explore/search?tab=default_tab&amp;search_scope=EVERYTHING&amp;vid=01CRU&amp;lang=en_US&amp;offset=0&amp;query=any,contains,991000911829702656","Catalog Record")</f>
        <v>Catalog Record</v>
      </c>
      <c r="AT470" s="6" t="str">
        <f>HYPERLINK("http://www.worldcat.org/oclc/8827600","WorldCat Record")</f>
        <v>WorldCat Record</v>
      </c>
      <c r="AU470" s="3" t="s">
        <v>5806</v>
      </c>
      <c r="AV470" s="3" t="s">
        <v>5807</v>
      </c>
      <c r="AW470" s="3" t="s">
        <v>5808</v>
      </c>
      <c r="AX470" s="3" t="s">
        <v>5808</v>
      </c>
      <c r="AY470" s="3" t="s">
        <v>5809</v>
      </c>
      <c r="AZ470" s="3" t="s">
        <v>73</v>
      </c>
      <c r="BB470" s="3" t="s">
        <v>5810</v>
      </c>
      <c r="BC470" s="3" t="s">
        <v>5811</v>
      </c>
      <c r="BD470" s="3" t="s">
        <v>5812</v>
      </c>
    </row>
    <row r="471" spans="1:56" ht="40.5" customHeight="1" x14ac:dyDescent="0.25">
      <c r="A471" s="7" t="s">
        <v>58</v>
      </c>
      <c r="B471" s="2" t="s">
        <v>5813</v>
      </c>
      <c r="C471" s="2" t="s">
        <v>5814</v>
      </c>
      <c r="D471" s="2" t="s">
        <v>5815</v>
      </c>
      <c r="F471" s="3" t="s">
        <v>58</v>
      </c>
      <c r="G471" s="3" t="s">
        <v>59</v>
      </c>
      <c r="H471" s="3" t="s">
        <v>58</v>
      </c>
      <c r="I471" s="3" t="s">
        <v>58</v>
      </c>
      <c r="J471" s="3" t="s">
        <v>60</v>
      </c>
      <c r="K471" s="2" t="s">
        <v>5816</v>
      </c>
      <c r="L471" s="2" t="s">
        <v>5817</v>
      </c>
      <c r="M471" s="3" t="s">
        <v>2567</v>
      </c>
      <c r="O471" s="3" t="s">
        <v>64</v>
      </c>
      <c r="P471" s="3" t="s">
        <v>117</v>
      </c>
      <c r="R471" s="3" t="s">
        <v>66</v>
      </c>
      <c r="S471" s="4">
        <v>0</v>
      </c>
      <c r="T471" s="4">
        <v>0</v>
      </c>
      <c r="U471" s="5" t="s">
        <v>5818</v>
      </c>
      <c r="V471" s="5" t="s">
        <v>5818</v>
      </c>
      <c r="W471" s="5" t="s">
        <v>5818</v>
      </c>
      <c r="X471" s="5" t="s">
        <v>5818</v>
      </c>
      <c r="Y471" s="4">
        <v>8</v>
      </c>
      <c r="Z471" s="4">
        <v>6</v>
      </c>
      <c r="AA471" s="4">
        <v>671</v>
      </c>
      <c r="AB471" s="4">
        <v>1</v>
      </c>
      <c r="AC471" s="4">
        <v>8</v>
      </c>
      <c r="AD471" s="4">
        <v>0</v>
      </c>
      <c r="AE471" s="4">
        <v>24</v>
      </c>
      <c r="AF471" s="4">
        <v>0</v>
      </c>
      <c r="AG471" s="4">
        <v>7</v>
      </c>
      <c r="AH471" s="4">
        <v>0</v>
      </c>
      <c r="AI471" s="4">
        <v>6</v>
      </c>
      <c r="AJ471" s="4">
        <v>0</v>
      </c>
      <c r="AK471" s="4">
        <v>6</v>
      </c>
      <c r="AL471" s="4">
        <v>0</v>
      </c>
      <c r="AM471" s="4">
        <v>7</v>
      </c>
      <c r="AN471" s="4">
        <v>0</v>
      </c>
      <c r="AO471" s="4">
        <v>1</v>
      </c>
      <c r="AP471" s="3" t="s">
        <v>58</v>
      </c>
      <c r="AQ471" s="3" t="s">
        <v>58</v>
      </c>
      <c r="AS471" s="6" t="str">
        <f>HYPERLINK("https://creighton-primo.hosted.exlibrisgroup.com/primo-explore/search?tab=default_tab&amp;search_scope=EVERYTHING&amp;vid=01CRU&amp;lang=en_US&amp;offset=0&amp;query=any,contains,991001465109702656","Catalog Record")</f>
        <v>Catalog Record</v>
      </c>
      <c r="AT471" s="6" t="str">
        <f>HYPERLINK("http://www.worldcat.org/oclc/232366099","WorldCat Record")</f>
        <v>WorldCat Record</v>
      </c>
      <c r="AU471" s="3" t="s">
        <v>5819</v>
      </c>
      <c r="AV471" s="3" t="s">
        <v>5820</v>
      </c>
      <c r="AW471" s="3" t="s">
        <v>5821</v>
      </c>
      <c r="AX471" s="3" t="s">
        <v>5821</v>
      </c>
      <c r="AY471" s="3" t="s">
        <v>5822</v>
      </c>
      <c r="AZ471" s="3" t="s">
        <v>73</v>
      </c>
      <c r="BB471" s="3" t="s">
        <v>5823</v>
      </c>
      <c r="BC471" s="3" t="s">
        <v>5824</v>
      </c>
      <c r="BD471" s="3" t="s">
        <v>5825</v>
      </c>
    </row>
    <row r="472" spans="1:56" ht="40.5" customHeight="1" x14ac:dyDescent="0.25">
      <c r="A472" s="7" t="s">
        <v>58</v>
      </c>
      <c r="B472" s="2" t="s">
        <v>5826</v>
      </c>
      <c r="C472" s="2" t="s">
        <v>5827</v>
      </c>
      <c r="D472" s="2" t="s">
        <v>5828</v>
      </c>
      <c r="F472" s="3" t="s">
        <v>58</v>
      </c>
      <c r="G472" s="3" t="s">
        <v>59</v>
      </c>
      <c r="H472" s="3" t="s">
        <v>58</v>
      </c>
      <c r="I472" s="3" t="s">
        <v>58</v>
      </c>
      <c r="J472" s="3" t="s">
        <v>60</v>
      </c>
      <c r="L472" s="2" t="s">
        <v>4429</v>
      </c>
      <c r="M472" s="3" t="s">
        <v>2567</v>
      </c>
      <c r="O472" s="3" t="s">
        <v>64</v>
      </c>
      <c r="P472" s="3" t="s">
        <v>117</v>
      </c>
      <c r="R472" s="3" t="s">
        <v>66</v>
      </c>
      <c r="S472" s="4">
        <v>0</v>
      </c>
      <c r="T472" s="4">
        <v>0</v>
      </c>
      <c r="U472" s="5" t="s">
        <v>5829</v>
      </c>
      <c r="V472" s="5" t="s">
        <v>5829</v>
      </c>
      <c r="W472" s="5" t="s">
        <v>5829</v>
      </c>
      <c r="X472" s="5" t="s">
        <v>5829</v>
      </c>
      <c r="Y472" s="4">
        <v>41</v>
      </c>
      <c r="Z472" s="4">
        <v>29</v>
      </c>
      <c r="AA472" s="4">
        <v>34</v>
      </c>
      <c r="AB472" s="4">
        <v>1</v>
      </c>
      <c r="AC472" s="4">
        <v>1</v>
      </c>
      <c r="AD472" s="4">
        <v>1</v>
      </c>
      <c r="AE472" s="4">
        <v>1</v>
      </c>
      <c r="AF472" s="4">
        <v>0</v>
      </c>
      <c r="AG472" s="4">
        <v>0</v>
      </c>
      <c r="AH472" s="4">
        <v>1</v>
      </c>
      <c r="AI472" s="4">
        <v>1</v>
      </c>
      <c r="AJ472" s="4">
        <v>1</v>
      </c>
      <c r="AK472" s="4">
        <v>1</v>
      </c>
      <c r="AL472" s="4">
        <v>0</v>
      </c>
      <c r="AM472" s="4">
        <v>0</v>
      </c>
      <c r="AN472" s="4">
        <v>0</v>
      </c>
      <c r="AO472" s="4">
        <v>0</v>
      </c>
      <c r="AP472" s="3" t="s">
        <v>58</v>
      </c>
      <c r="AQ472" s="3" t="s">
        <v>58</v>
      </c>
      <c r="AS472" s="6" t="str">
        <f>HYPERLINK("https://creighton-primo.hosted.exlibrisgroup.com/primo-explore/search?tab=default_tab&amp;search_scope=EVERYTHING&amp;vid=01CRU&amp;lang=en_US&amp;offset=0&amp;query=any,contains,991001554499702656","Catalog Record")</f>
        <v>Catalog Record</v>
      </c>
      <c r="AT472" s="6" t="str">
        <f>HYPERLINK("http://www.worldcat.org/oclc/229430561","WorldCat Record")</f>
        <v>WorldCat Record</v>
      </c>
      <c r="AU472" s="3" t="s">
        <v>5830</v>
      </c>
      <c r="AV472" s="3" t="s">
        <v>5831</v>
      </c>
      <c r="AW472" s="3" t="s">
        <v>5832</v>
      </c>
      <c r="AX472" s="3" t="s">
        <v>5832</v>
      </c>
      <c r="AY472" s="3" t="s">
        <v>5833</v>
      </c>
      <c r="AZ472" s="3" t="s">
        <v>73</v>
      </c>
      <c r="BB472" s="3" t="s">
        <v>5834</v>
      </c>
      <c r="BC472" s="3" t="s">
        <v>5835</v>
      </c>
      <c r="BD472" s="3" t="s">
        <v>5836</v>
      </c>
    </row>
    <row r="473" spans="1:56" ht="40.5" customHeight="1" x14ac:dyDescent="0.25">
      <c r="A473" s="7" t="s">
        <v>58</v>
      </c>
      <c r="B473" s="2" t="s">
        <v>5837</v>
      </c>
      <c r="C473" s="2" t="s">
        <v>5838</v>
      </c>
      <c r="D473" s="2" t="s">
        <v>5839</v>
      </c>
      <c r="F473" s="3" t="s">
        <v>58</v>
      </c>
      <c r="G473" s="3" t="s">
        <v>59</v>
      </c>
      <c r="H473" s="3" t="s">
        <v>58</v>
      </c>
      <c r="I473" s="3" t="s">
        <v>58</v>
      </c>
      <c r="J473" s="3" t="s">
        <v>60</v>
      </c>
      <c r="L473" s="2" t="s">
        <v>4429</v>
      </c>
      <c r="M473" s="3" t="s">
        <v>2567</v>
      </c>
      <c r="O473" s="3" t="s">
        <v>64</v>
      </c>
      <c r="P473" s="3" t="s">
        <v>117</v>
      </c>
      <c r="R473" s="3" t="s">
        <v>66</v>
      </c>
      <c r="S473" s="4">
        <v>0</v>
      </c>
      <c r="T473" s="4">
        <v>0</v>
      </c>
      <c r="U473" s="5" t="s">
        <v>5840</v>
      </c>
      <c r="V473" s="5" t="s">
        <v>5840</v>
      </c>
      <c r="W473" s="5" t="s">
        <v>5840</v>
      </c>
      <c r="X473" s="5" t="s">
        <v>5840</v>
      </c>
      <c r="Y473" s="4">
        <v>46</v>
      </c>
      <c r="Z473" s="4">
        <v>32</v>
      </c>
      <c r="AA473" s="4">
        <v>314</v>
      </c>
      <c r="AB473" s="4">
        <v>1</v>
      </c>
      <c r="AC473" s="4">
        <v>4</v>
      </c>
      <c r="AD473" s="4">
        <v>1</v>
      </c>
      <c r="AE473" s="4">
        <v>6</v>
      </c>
      <c r="AF473" s="4">
        <v>0</v>
      </c>
      <c r="AG473" s="4">
        <v>1</v>
      </c>
      <c r="AH473" s="4">
        <v>1</v>
      </c>
      <c r="AI473" s="4">
        <v>1</v>
      </c>
      <c r="AJ473" s="4">
        <v>1</v>
      </c>
      <c r="AK473" s="4">
        <v>2</v>
      </c>
      <c r="AL473" s="4">
        <v>0</v>
      </c>
      <c r="AM473" s="4">
        <v>3</v>
      </c>
      <c r="AN473" s="4">
        <v>0</v>
      </c>
      <c r="AO473" s="4">
        <v>0</v>
      </c>
      <c r="AP473" s="3" t="s">
        <v>58</v>
      </c>
      <c r="AQ473" s="3" t="s">
        <v>58</v>
      </c>
      <c r="AS473" s="6" t="str">
        <f>HYPERLINK("https://creighton-primo.hosted.exlibrisgroup.com/primo-explore/search?tab=default_tab&amp;search_scope=EVERYTHING&amp;vid=01CRU&amp;lang=en_US&amp;offset=0&amp;query=any,contains,991001463319702656","Catalog Record")</f>
        <v>Catalog Record</v>
      </c>
      <c r="AT473" s="6" t="str">
        <f>HYPERLINK("http://www.worldcat.org/oclc/192134520","WorldCat Record")</f>
        <v>WorldCat Record</v>
      </c>
      <c r="AU473" s="3" t="s">
        <v>5841</v>
      </c>
      <c r="AV473" s="3" t="s">
        <v>5842</v>
      </c>
      <c r="AW473" s="3" t="s">
        <v>5843</v>
      </c>
      <c r="AX473" s="3" t="s">
        <v>5843</v>
      </c>
      <c r="AY473" s="3" t="s">
        <v>5844</v>
      </c>
      <c r="AZ473" s="3" t="s">
        <v>73</v>
      </c>
      <c r="BB473" s="3" t="s">
        <v>5845</v>
      </c>
      <c r="BC473" s="3" t="s">
        <v>5846</v>
      </c>
      <c r="BD473" s="3" t="s">
        <v>5847</v>
      </c>
    </row>
    <row r="474" spans="1:56" ht="40.5" customHeight="1" x14ac:dyDescent="0.25">
      <c r="A474" s="7" t="s">
        <v>58</v>
      </c>
      <c r="B474" s="2" t="s">
        <v>5848</v>
      </c>
      <c r="C474" s="2" t="s">
        <v>5849</v>
      </c>
      <c r="D474" s="2" t="s">
        <v>5850</v>
      </c>
      <c r="F474" s="3" t="s">
        <v>58</v>
      </c>
      <c r="G474" s="3" t="s">
        <v>59</v>
      </c>
      <c r="H474" s="3" t="s">
        <v>58</v>
      </c>
      <c r="I474" s="3" t="s">
        <v>58</v>
      </c>
      <c r="J474" s="3" t="s">
        <v>60</v>
      </c>
      <c r="L474" s="2" t="s">
        <v>4429</v>
      </c>
      <c r="M474" s="3" t="s">
        <v>2567</v>
      </c>
      <c r="O474" s="3" t="s">
        <v>64</v>
      </c>
      <c r="P474" s="3" t="s">
        <v>117</v>
      </c>
      <c r="R474" s="3" t="s">
        <v>66</v>
      </c>
      <c r="S474" s="4">
        <v>0</v>
      </c>
      <c r="T474" s="4">
        <v>0</v>
      </c>
      <c r="U474" s="5" t="s">
        <v>5818</v>
      </c>
      <c r="V474" s="5" t="s">
        <v>5818</v>
      </c>
      <c r="W474" s="5" t="s">
        <v>5840</v>
      </c>
      <c r="X474" s="5" t="s">
        <v>5840</v>
      </c>
      <c r="Y474" s="4">
        <v>49</v>
      </c>
      <c r="Z474" s="4">
        <v>32</v>
      </c>
      <c r="AA474" s="4">
        <v>32</v>
      </c>
      <c r="AB474" s="4">
        <v>1</v>
      </c>
      <c r="AC474" s="4">
        <v>1</v>
      </c>
      <c r="AD474" s="4">
        <v>2</v>
      </c>
      <c r="AE474" s="4">
        <v>2</v>
      </c>
      <c r="AF474" s="4">
        <v>0</v>
      </c>
      <c r="AG474" s="4">
        <v>0</v>
      </c>
      <c r="AH474" s="4">
        <v>2</v>
      </c>
      <c r="AI474" s="4">
        <v>2</v>
      </c>
      <c r="AJ474" s="4">
        <v>1</v>
      </c>
      <c r="AK474" s="4">
        <v>1</v>
      </c>
      <c r="AL474" s="4">
        <v>0</v>
      </c>
      <c r="AM474" s="4">
        <v>0</v>
      </c>
      <c r="AN474" s="4">
        <v>0</v>
      </c>
      <c r="AO474" s="4">
        <v>0</v>
      </c>
      <c r="AP474" s="3" t="s">
        <v>58</v>
      </c>
      <c r="AQ474" s="3" t="s">
        <v>58</v>
      </c>
      <c r="AS474" s="6" t="str">
        <f>HYPERLINK("https://creighton-primo.hosted.exlibrisgroup.com/primo-explore/search?tab=default_tab&amp;search_scope=EVERYTHING&amp;vid=01CRU&amp;lang=en_US&amp;offset=0&amp;query=any,contains,991001463109702656","Catalog Record")</f>
        <v>Catalog Record</v>
      </c>
      <c r="AT474" s="6" t="str">
        <f>HYPERLINK("http://www.worldcat.org/oclc/192134508","WorldCat Record")</f>
        <v>WorldCat Record</v>
      </c>
      <c r="AU474" s="3" t="s">
        <v>5851</v>
      </c>
      <c r="AV474" s="3" t="s">
        <v>5852</v>
      </c>
      <c r="AW474" s="3" t="s">
        <v>5853</v>
      </c>
      <c r="AX474" s="3" t="s">
        <v>5853</v>
      </c>
      <c r="AY474" s="3" t="s">
        <v>5854</v>
      </c>
      <c r="AZ474" s="3" t="s">
        <v>73</v>
      </c>
      <c r="BB474" s="3" t="s">
        <v>5855</v>
      </c>
      <c r="BC474" s="3" t="s">
        <v>5856</v>
      </c>
      <c r="BD474" s="3" t="s">
        <v>5857</v>
      </c>
    </row>
    <row r="475" spans="1:56" ht="40.5" customHeight="1" x14ac:dyDescent="0.25">
      <c r="A475" s="7" t="s">
        <v>58</v>
      </c>
      <c r="B475" s="2" t="s">
        <v>5858</v>
      </c>
      <c r="C475" s="2" t="s">
        <v>5859</v>
      </c>
      <c r="D475" s="2" t="s">
        <v>5860</v>
      </c>
      <c r="E475" s="3" t="s">
        <v>258</v>
      </c>
      <c r="F475" s="3" t="s">
        <v>85</v>
      </c>
      <c r="G475" s="3" t="s">
        <v>59</v>
      </c>
      <c r="H475" s="3" t="s">
        <v>58</v>
      </c>
      <c r="I475" s="3" t="s">
        <v>58</v>
      </c>
      <c r="J475" s="3" t="s">
        <v>60</v>
      </c>
      <c r="K475" s="2" t="s">
        <v>5861</v>
      </c>
      <c r="L475" s="2" t="s">
        <v>5862</v>
      </c>
      <c r="M475" s="3" t="s">
        <v>5863</v>
      </c>
      <c r="O475" s="3" t="s">
        <v>64</v>
      </c>
      <c r="P475" s="3" t="s">
        <v>135</v>
      </c>
      <c r="R475" s="3" t="s">
        <v>66</v>
      </c>
      <c r="S475" s="4">
        <v>5</v>
      </c>
      <c r="T475" s="4">
        <v>11</v>
      </c>
      <c r="U475" s="5" t="s">
        <v>247</v>
      </c>
      <c r="V475" s="5" t="s">
        <v>247</v>
      </c>
      <c r="W475" s="5" t="s">
        <v>4617</v>
      </c>
      <c r="X475" s="5" t="s">
        <v>4617</v>
      </c>
      <c r="Y475" s="4">
        <v>54</v>
      </c>
      <c r="Z475" s="4">
        <v>44</v>
      </c>
      <c r="AA475" s="4">
        <v>380</v>
      </c>
      <c r="AB475" s="4">
        <v>1</v>
      </c>
      <c r="AC475" s="4">
        <v>4</v>
      </c>
      <c r="AD475" s="4">
        <v>0</v>
      </c>
      <c r="AE475" s="4">
        <v>9</v>
      </c>
      <c r="AF475" s="4">
        <v>0</v>
      </c>
      <c r="AG475" s="4">
        <v>3</v>
      </c>
      <c r="AH475" s="4">
        <v>0</v>
      </c>
      <c r="AI475" s="4">
        <v>2</v>
      </c>
      <c r="AJ475" s="4">
        <v>0</v>
      </c>
      <c r="AK475" s="4">
        <v>2</v>
      </c>
      <c r="AL475" s="4">
        <v>0</v>
      </c>
      <c r="AM475" s="4">
        <v>3</v>
      </c>
      <c r="AN475" s="4">
        <v>0</v>
      </c>
      <c r="AO475" s="4">
        <v>0</v>
      </c>
      <c r="AP475" s="3" t="s">
        <v>58</v>
      </c>
      <c r="AQ475" s="3" t="s">
        <v>85</v>
      </c>
      <c r="AR475" s="6" t="str">
        <f>HYPERLINK("http://catalog.hathitrust.org/Record/001994384","HathiTrust Record")</f>
        <v>HathiTrust Record</v>
      </c>
      <c r="AS475" s="6" t="str">
        <f>HYPERLINK("https://creighton-primo.hosted.exlibrisgroup.com/primo-explore/search?tab=default_tab&amp;search_scope=EVERYTHING&amp;vid=01CRU&amp;lang=en_US&amp;offset=0&amp;query=any,contains,991000913409702656","Catalog Record")</f>
        <v>Catalog Record</v>
      </c>
      <c r="AT475" s="6" t="str">
        <f>HYPERLINK("http://www.worldcat.org/oclc/4920247","WorldCat Record")</f>
        <v>WorldCat Record</v>
      </c>
      <c r="AU475" s="3" t="s">
        <v>5864</v>
      </c>
      <c r="AV475" s="3" t="s">
        <v>5865</v>
      </c>
      <c r="AW475" s="3" t="s">
        <v>5866</v>
      </c>
      <c r="AX475" s="3" t="s">
        <v>5866</v>
      </c>
      <c r="AY475" s="3" t="s">
        <v>5867</v>
      </c>
      <c r="AZ475" s="3" t="s">
        <v>73</v>
      </c>
      <c r="BC475" s="3" t="s">
        <v>5868</v>
      </c>
      <c r="BD475" s="3" t="s">
        <v>5869</v>
      </c>
    </row>
    <row r="476" spans="1:56" ht="40.5" customHeight="1" x14ac:dyDescent="0.25">
      <c r="A476" s="7" t="s">
        <v>58</v>
      </c>
      <c r="B476" s="2" t="s">
        <v>5858</v>
      </c>
      <c r="C476" s="2" t="s">
        <v>5859</v>
      </c>
      <c r="D476" s="2" t="s">
        <v>5860</v>
      </c>
      <c r="E476" s="3" t="s">
        <v>96</v>
      </c>
      <c r="F476" s="3" t="s">
        <v>85</v>
      </c>
      <c r="G476" s="3" t="s">
        <v>59</v>
      </c>
      <c r="H476" s="3" t="s">
        <v>58</v>
      </c>
      <c r="I476" s="3" t="s">
        <v>58</v>
      </c>
      <c r="J476" s="3" t="s">
        <v>60</v>
      </c>
      <c r="K476" s="2" t="s">
        <v>5861</v>
      </c>
      <c r="L476" s="2" t="s">
        <v>5862</v>
      </c>
      <c r="M476" s="3" t="s">
        <v>5863</v>
      </c>
      <c r="O476" s="3" t="s">
        <v>64</v>
      </c>
      <c r="P476" s="3" t="s">
        <v>135</v>
      </c>
      <c r="R476" s="3" t="s">
        <v>66</v>
      </c>
      <c r="S476" s="4">
        <v>6</v>
      </c>
      <c r="T476" s="4">
        <v>11</v>
      </c>
      <c r="U476" s="5" t="s">
        <v>247</v>
      </c>
      <c r="V476" s="5" t="s">
        <v>247</v>
      </c>
      <c r="W476" s="5" t="s">
        <v>4617</v>
      </c>
      <c r="X476" s="5" t="s">
        <v>4617</v>
      </c>
      <c r="Y476" s="4">
        <v>54</v>
      </c>
      <c r="Z476" s="4">
        <v>44</v>
      </c>
      <c r="AA476" s="4">
        <v>380</v>
      </c>
      <c r="AB476" s="4">
        <v>1</v>
      </c>
      <c r="AC476" s="4">
        <v>4</v>
      </c>
      <c r="AD476" s="4">
        <v>0</v>
      </c>
      <c r="AE476" s="4">
        <v>9</v>
      </c>
      <c r="AF476" s="4">
        <v>0</v>
      </c>
      <c r="AG476" s="4">
        <v>3</v>
      </c>
      <c r="AH476" s="4">
        <v>0</v>
      </c>
      <c r="AI476" s="4">
        <v>2</v>
      </c>
      <c r="AJ476" s="4">
        <v>0</v>
      </c>
      <c r="AK476" s="4">
        <v>2</v>
      </c>
      <c r="AL476" s="4">
        <v>0</v>
      </c>
      <c r="AM476" s="4">
        <v>3</v>
      </c>
      <c r="AN476" s="4">
        <v>0</v>
      </c>
      <c r="AO476" s="4">
        <v>0</v>
      </c>
      <c r="AP476" s="3" t="s">
        <v>58</v>
      </c>
      <c r="AQ476" s="3" t="s">
        <v>85</v>
      </c>
      <c r="AR476" s="6" t="str">
        <f>HYPERLINK("http://catalog.hathitrust.org/Record/001994384","HathiTrust Record")</f>
        <v>HathiTrust Record</v>
      </c>
      <c r="AS476" s="6" t="str">
        <f>HYPERLINK("https://creighton-primo.hosted.exlibrisgroup.com/primo-explore/search?tab=default_tab&amp;search_scope=EVERYTHING&amp;vid=01CRU&amp;lang=en_US&amp;offset=0&amp;query=any,contains,991000913409702656","Catalog Record")</f>
        <v>Catalog Record</v>
      </c>
      <c r="AT476" s="6" t="str">
        <f>HYPERLINK("http://www.worldcat.org/oclc/4920247","WorldCat Record")</f>
        <v>WorldCat Record</v>
      </c>
      <c r="AU476" s="3" t="s">
        <v>5864</v>
      </c>
      <c r="AV476" s="3" t="s">
        <v>5865</v>
      </c>
      <c r="AW476" s="3" t="s">
        <v>5866</v>
      </c>
      <c r="AX476" s="3" t="s">
        <v>5866</v>
      </c>
      <c r="AY476" s="3" t="s">
        <v>5867</v>
      </c>
      <c r="AZ476" s="3" t="s">
        <v>73</v>
      </c>
      <c r="BC476" s="3" t="s">
        <v>5870</v>
      </c>
      <c r="BD476" s="3" t="s">
        <v>5871</v>
      </c>
    </row>
  </sheetData>
  <sheetProtection sheet="1" objects="1" scenarios="1"/>
  <protectedRanges>
    <protectedRange sqref="A2:A476" name="Range1"/>
    <protectedRange sqref="A1" name="Range1_1"/>
  </protectedRanges>
  <dataValidations count="1">
    <dataValidation type="list" allowBlank="1" showInputMessage="1" showErrorMessage="1" sqref="A2:A476" xr:uid="{ECD3F862-0B7E-402E-B74E-BEBEC1A929BD}">
      <formula1>"Yes,No"</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FBB38ED5D0D274CB2EE2DBFB4DF27AF" ma:contentTypeVersion="16" ma:contentTypeDescription="Create a new document." ma:contentTypeScope="" ma:versionID="343be7708d3bfc8b8cd1354f85bdb4ef">
  <xsd:schema xmlns:xsd="http://www.w3.org/2001/XMLSchema" xmlns:xs="http://www.w3.org/2001/XMLSchema" xmlns:p="http://schemas.microsoft.com/office/2006/metadata/properties" xmlns:ns1="7623ea29-c77c-4024-9954-09e8d33ddb63" xmlns:ns3="a2717908-15ff-42bd-a5fc-d9ac8b8728f4" targetNamespace="http://schemas.microsoft.com/office/2006/metadata/properties" ma:root="true" ma:fieldsID="ba37602cec7d275ad63d8520a3e085f5" ns1:_="" ns3:_="">
    <xsd:import namespace="7623ea29-c77c-4024-9954-09e8d33ddb63"/>
    <xsd:import namespace="a2717908-15ff-42bd-a5fc-d9ac8b8728f4"/>
    <xsd:element name="properties">
      <xsd:complexType>
        <xsd:sequence>
          <xsd:element name="documentManagement">
            <xsd:complexType>
              <xsd:all>
                <xsd:element ref="ns1:Number" minOccurs="0"/>
                <xsd:element ref="ns1:MediaServiceMetadata" minOccurs="0"/>
                <xsd:element ref="ns1:MediaServiceFastMetadata" minOccurs="0"/>
                <xsd:element ref="ns1:MediaServiceDateTaken" minOccurs="0"/>
                <xsd:element ref="ns3:SharedWithUsers" minOccurs="0"/>
                <xsd:element ref="ns3:SharedWithDetails" minOccurs="0"/>
                <xsd:element ref="ns1:MediaServiceAutoKeyPoints" minOccurs="0"/>
                <xsd:element ref="ns1:MediaServiceKeyPoints" minOccurs="0"/>
                <xsd:element ref="ns1:MediaServiceAutoTags" minOccurs="0"/>
                <xsd:element ref="ns1:MediaServiceOCR" minOccurs="0"/>
                <xsd:element ref="ns1:MediaServiceGenerationTime" minOccurs="0"/>
                <xsd:element ref="ns1:MediaServiceEventHashCode" minOccurs="0"/>
                <xsd:element ref="ns1:MediaServiceLocation" minOccurs="0"/>
                <xsd:element ref="ns1:MediaLengthInSeconds" minOccurs="0"/>
                <xsd:element ref="ns1:statuswithucomm" minOccurs="0"/>
                <xsd:element ref="ns1:submittedtoUCOm"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23ea29-c77c-4024-9954-09e8d33ddb63" elementFormDefault="qualified">
    <xsd:import namespace="http://schemas.microsoft.com/office/2006/documentManagement/types"/>
    <xsd:import namespace="http://schemas.microsoft.com/office/infopath/2007/PartnerControls"/>
    <xsd:element name="Number" ma:index="0" nillable="true" ma:displayName="Number" ma:description="Sort Order" ma:format="Dropdown" ma:internalName="Number" ma:percentage="FALSE">
      <xsd:simpleType>
        <xsd:restriction base="dms:Number"/>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DateTaken" ma:index="8"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statuswithucomm" ma:index="22" nillable="true" ma:displayName="status with ucomm" ma:format="Dropdown" ma:internalName="statuswithucomm">
      <xsd:simpleType>
        <xsd:restriction base="dms:Text">
          <xsd:maxLength value="255"/>
        </xsd:restriction>
      </xsd:simpleType>
    </xsd:element>
    <xsd:element name="submittedtoUCOm" ma:index="23" nillable="true" ma:displayName="submitted to UCOm" ma:default="0" ma:format="Dropdown" ma:internalName="submittedtoUCOm">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a2717908-15ff-42bd-a5fc-d9ac8b8728f4" elementFormDefault="qualified">
    <xsd:import namespace="http://schemas.microsoft.com/office/2006/documentManagement/types"/>
    <xsd:import namespace="http://schemas.microsoft.com/office/infopath/2007/PartnerControls"/>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3" ma:displayName="Content Type"/>
        <xsd:element ref="dc:title" minOccurs="0" maxOccurs="1" ma:index="2"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Number xmlns="7623ea29-c77c-4024-9954-09e8d33ddb63" xsi:nil="true"/>
    <SharedWithUsers xmlns="a2717908-15ff-42bd-a5fc-d9ac8b8728f4">
      <UserInfo>
        <DisplayName/>
        <AccountId xsi:nil="true"/>
        <AccountType/>
      </UserInfo>
    </SharedWithUsers>
    <MediaLengthInSeconds xmlns="7623ea29-c77c-4024-9954-09e8d33ddb63" xsi:nil="true"/>
    <submittedtoUCOm xmlns="7623ea29-c77c-4024-9954-09e8d33ddb63">false</submittedtoUCOm>
    <statuswithucomm xmlns="7623ea29-c77c-4024-9954-09e8d33ddb63" xsi:nil="true"/>
  </documentManagement>
</p:properties>
</file>

<file path=customXml/itemProps1.xml><?xml version="1.0" encoding="utf-8"?>
<ds:datastoreItem xmlns:ds="http://schemas.openxmlformats.org/officeDocument/2006/customXml" ds:itemID="{D5B47627-5443-4408-9385-23D363B60623}"/>
</file>

<file path=customXml/itemProps2.xml><?xml version="1.0" encoding="utf-8"?>
<ds:datastoreItem xmlns:ds="http://schemas.openxmlformats.org/officeDocument/2006/customXml" ds:itemID="{10042999-EDD2-4640-A266-2A3FD255AF50}"/>
</file>

<file path=customXml/itemProps3.xml><?xml version="1.0" encoding="utf-8"?>
<ds:datastoreItem xmlns:ds="http://schemas.openxmlformats.org/officeDocument/2006/customXml" ds:itemID="{8F48DA42-1181-4F5C-9333-C04144BCE42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Elizabeth Kiscaden</dc:creator>
  <cp:lastModifiedBy>Elizabeth Kiscaden</cp:lastModifiedBy>
  <dcterms:created xsi:type="dcterms:W3CDTF">2022-03-04T02:43:20Z</dcterms:created>
  <dcterms:modified xsi:type="dcterms:W3CDTF">2022-03-04T02:44:54Z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0x0101007FBB38ED5D0D274CB2EE2DBFB4DF27AF</vt:lpwstr>
  </property>
  <property fmtid="{D5CDD505-2E9C-101B-9397-08002B2CF9AE}" pid="3" name="Order">
    <vt:r8>290400</vt:r8>
  </property>
  <property fmtid="{D5CDD505-2E9C-101B-9397-08002B2CF9AE}" pid="4" name="_ExtendedDescription">
    <vt:lpwstr/>
  </property>
  <property fmtid="{D5CDD505-2E9C-101B-9397-08002B2CF9AE}" pid="5" name="TriggerFlowInfo">
    <vt:lpwstr/>
  </property>
  <property fmtid="{D5CDD505-2E9C-101B-9397-08002B2CF9AE}" pid="6" name="_SourceUrl">
    <vt:lpwstr/>
  </property>
  <property fmtid="{D5CDD505-2E9C-101B-9397-08002B2CF9AE}" pid="7" name="_SharedFileIndex">
    <vt:lpwstr/>
  </property>
  <property fmtid="{D5CDD505-2E9C-101B-9397-08002B2CF9AE}" pid="8" name="ComplianceAssetId">
    <vt:lpwstr/>
  </property>
</Properties>
</file>