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docProps/core.xml" ContentType="application/vnd.openxmlformats-package.core-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07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593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3ABC63F4-C7A0-40F1-A45B-5B92F10CE17B}" xr6:coauthVersionLast="47" xr6:coauthVersionMax="47" xr10:uidLastSave="{00000000-0000-0000-0000-000000000000}"/>
  <bookViews>
    <workbookView xWindow="28680" yWindow="-120" windowWidth="29040" windowHeight="15840" xr2:uid="{C646243C-DF4C-4F5A-8C60-6DB9DAE31C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675" i="1" l="1"/>
  <c r="AU675" i="1"/>
  <c r="AT675" i="1"/>
  <c r="AV674" i="1"/>
  <c r="AU674" i="1"/>
  <c r="AT674" i="1"/>
  <c r="AV673" i="1"/>
  <c r="AU673" i="1"/>
  <c r="AT673" i="1"/>
  <c r="AV672" i="1"/>
  <c r="AU672" i="1"/>
  <c r="AV671" i="1"/>
  <c r="AU671" i="1"/>
  <c r="AT671" i="1"/>
  <c r="AV670" i="1"/>
  <c r="AU670" i="1"/>
  <c r="AV669" i="1"/>
  <c r="AU669" i="1"/>
  <c r="AT669" i="1"/>
  <c r="AV668" i="1"/>
  <c r="AU668" i="1"/>
  <c r="AV667" i="1"/>
  <c r="AU667" i="1"/>
  <c r="AV666" i="1"/>
  <c r="AU666" i="1"/>
  <c r="AV665" i="1"/>
  <c r="AU665" i="1"/>
  <c r="AV664" i="1"/>
  <c r="AU664" i="1"/>
  <c r="AV663" i="1"/>
  <c r="AU663" i="1"/>
  <c r="AV662" i="1"/>
  <c r="AU662" i="1"/>
  <c r="AV661" i="1"/>
  <c r="AU661" i="1"/>
  <c r="AT661" i="1"/>
  <c r="AV660" i="1"/>
  <c r="AU660" i="1"/>
  <c r="AT660" i="1"/>
  <c r="AV659" i="1"/>
  <c r="AU659" i="1"/>
  <c r="AT659" i="1"/>
  <c r="AV658" i="1"/>
  <c r="AU658" i="1"/>
  <c r="AV657" i="1"/>
  <c r="AU657" i="1"/>
  <c r="AV656" i="1"/>
  <c r="AU656" i="1"/>
  <c r="AV655" i="1"/>
  <c r="AU655" i="1"/>
  <c r="AT655" i="1"/>
  <c r="AV654" i="1"/>
  <c r="AU654" i="1"/>
  <c r="AT654" i="1"/>
  <c r="AV653" i="1"/>
  <c r="AU653" i="1"/>
  <c r="AV652" i="1"/>
  <c r="AU652" i="1"/>
  <c r="AT652" i="1"/>
  <c r="AV651" i="1"/>
  <c r="AU651" i="1"/>
  <c r="AV650" i="1"/>
  <c r="AU650" i="1"/>
  <c r="AT650" i="1"/>
  <c r="AV649" i="1"/>
  <c r="AU649" i="1"/>
  <c r="AV648" i="1"/>
  <c r="AU648" i="1"/>
  <c r="AT648" i="1"/>
  <c r="AV647" i="1"/>
  <c r="AU647" i="1"/>
  <c r="AT647" i="1"/>
  <c r="AV646" i="1"/>
  <c r="AU646" i="1"/>
  <c r="AV645" i="1"/>
  <c r="AU645" i="1"/>
  <c r="AV644" i="1"/>
  <c r="AU644" i="1"/>
  <c r="AV643" i="1"/>
  <c r="AU643" i="1"/>
  <c r="AV642" i="1"/>
  <c r="AU642" i="1"/>
  <c r="AV641" i="1"/>
  <c r="AU641" i="1"/>
  <c r="AV640" i="1"/>
  <c r="AU640" i="1"/>
  <c r="AV639" i="1"/>
  <c r="AU639" i="1"/>
  <c r="AV638" i="1"/>
  <c r="AU638" i="1"/>
  <c r="AV637" i="1"/>
  <c r="AU637" i="1"/>
  <c r="AV636" i="1"/>
  <c r="AU636" i="1"/>
  <c r="AV635" i="1"/>
  <c r="AU635" i="1"/>
  <c r="AV634" i="1"/>
  <c r="AU634" i="1"/>
  <c r="AV633" i="1"/>
  <c r="AU633" i="1"/>
  <c r="AT633" i="1"/>
  <c r="AV632" i="1"/>
  <c r="AU632" i="1"/>
  <c r="AT632" i="1"/>
  <c r="AV631" i="1"/>
  <c r="AU631" i="1"/>
  <c r="AV630" i="1"/>
  <c r="AU630" i="1"/>
  <c r="AV629" i="1"/>
  <c r="AU629" i="1"/>
  <c r="AV628" i="1"/>
  <c r="AU628" i="1"/>
  <c r="AV627" i="1"/>
  <c r="AU627" i="1"/>
  <c r="AV626" i="1"/>
  <c r="AU626" i="1"/>
  <c r="AT626" i="1"/>
  <c r="AV625" i="1"/>
  <c r="AU625" i="1"/>
  <c r="AT625" i="1"/>
  <c r="AV624" i="1"/>
  <c r="AU624" i="1"/>
  <c r="AV623" i="1"/>
  <c r="AU623" i="1"/>
  <c r="AT623" i="1"/>
  <c r="AV622" i="1"/>
  <c r="AU622" i="1"/>
  <c r="AT622" i="1"/>
  <c r="AV621" i="1"/>
  <c r="AU621" i="1"/>
  <c r="AV620" i="1"/>
  <c r="AU620" i="1"/>
  <c r="AV619" i="1"/>
  <c r="AU619" i="1"/>
  <c r="AV618" i="1"/>
  <c r="AU618" i="1"/>
  <c r="AV617" i="1"/>
  <c r="AU617" i="1"/>
  <c r="AV616" i="1"/>
  <c r="AU616" i="1"/>
  <c r="AT616" i="1"/>
  <c r="AV615" i="1"/>
  <c r="AU615" i="1"/>
  <c r="AV614" i="1"/>
  <c r="AU614" i="1"/>
  <c r="AT614" i="1"/>
  <c r="AV613" i="1"/>
  <c r="AU613" i="1"/>
  <c r="AT613" i="1"/>
  <c r="AV612" i="1"/>
  <c r="AU612" i="1"/>
  <c r="AT612" i="1"/>
  <c r="AV611" i="1"/>
  <c r="AU611" i="1"/>
  <c r="AV610" i="1"/>
  <c r="AU610" i="1"/>
  <c r="AV609" i="1"/>
  <c r="AU609" i="1"/>
  <c r="AT609" i="1"/>
  <c r="AV608" i="1"/>
  <c r="AU608" i="1"/>
  <c r="AT608" i="1"/>
  <c r="AV607" i="1"/>
  <c r="AU607" i="1"/>
  <c r="AV606" i="1"/>
  <c r="AU606" i="1"/>
  <c r="AV605" i="1"/>
  <c r="AU605" i="1"/>
  <c r="AV604" i="1"/>
  <c r="AU604" i="1"/>
  <c r="AV603" i="1"/>
  <c r="AU603" i="1"/>
  <c r="AT603" i="1"/>
  <c r="AV602" i="1"/>
  <c r="AU602" i="1"/>
  <c r="AT602" i="1"/>
  <c r="AV601" i="1"/>
  <c r="AU601" i="1"/>
  <c r="AT601" i="1"/>
  <c r="AV600" i="1"/>
  <c r="AU600" i="1"/>
  <c r="AV599" i="1"/>
  <c r="AU599" i="1"/>
  <c r="AV598" i="1"/>
  <c r="AU598" i="1"/>
  <c r="AV597" i="1"/>
  <c r="AU597" i="1"/>
  <c r="AT597" i="1"/>
  <c r="AV596" i="1"/>
  <c r="AU596" i="1"/>
  <c r="AT596" i="1"/>
  <c r="AV595" i="1"/>
  <c r="AU595" i="1"/>
  <c r="AT595" i="1"/>
  <c r="AV594" i="1"/>
  <c r="AU594" i="1"/>
  <c r="AT594" i="1"/>
  <c r="AV593" i="1"/>
  <c r="AU593" i="1"/>
  <c r="AT593" i="1"/>
  <c r="AV592" i="1"/>
  <c r="AU592" i="1"/>
  <c r="AT592" i="1"/>
  <c r="AV591" i="1"/>
  <c r="AU591" i="1"/>
  <c r="AT591" i="1"/>
  <c r="AV590" i="1"/>
  <c r="AU590" i="1"/>
  <c r="AV589" i="1"/>
  <c r="AU589" i="1"/>
  <c r="AT589" i="1"/>
  <c r="AV588" i="1"/>
  <c r="AU588" i="1"/>
  <c r="AT588" i="1"/>
  <c r="AV587" i="1"/>
  <c r="AU587" i="1"/>
  <c r="AT587" i="1"/>
  <c r="AV586" i="1"/>
  <c r="AU586" i="1"/>
  <c r="AT586" i="1"/>
  <c r="AV585" i="1"/>
  <c r="AU585" i="1"/>
  <c r="AT585" i="1"/>
  <c r="AV584" i="1"/>
  <c r="AU584" i="1"/>
  <c r="AT584" i="1"/>
  <c r="AV583" i="1"/>
  <c r="AU583" i="1"/>
  <c r="AV582" i="1"/>
  <c r="AU582" i="1"/>
  <c r="AV581" i="1"/>
  <c r="AU581" i="1"/>
  <c r="AV580" i="1"/>
  <c r="AU580" i="1"/>
  <c r="AV579" i="1"/>
  <c r="AU579" i="1"/>
  <c r="AT579" i="1"/>
  <c r="AV578" i="1"/>
  <c r="AU578" i="1"/>
  <c r="AV577" i="1"/>
  <c r="AU577" i="1"/>
  <c r="AV576" i="1"/>
  <c r="AU576" i="1"/>
  <c r="AV575" i="1"/>
  <c r="AU575" i="1"/>
  <c r="AV574" i="1"/>
  <c r="AU574" i="1"/>
  <c r="AV573" i="1"/>
  <c r="AU573" i="1"/>
  <c r="AT573" i="1"/>
  <c r="AV572" i="1"/>
  <c r="AU572" i="1"/>
  <c r="AV571" i="1"/>
  <c r="AU571" i="1"/>
  <c r="AV570" i="1"/>
  <c r="AU570" i="1"/>
  <c r="AV569" i="1"/>
  <c r="AU569" i="1"/>
  <c r="AV568" i="1"/>
  <c r="AU568" i="1"/>
  <c r="AV567" i="1"/>
  <c r="AU567" i="1"/>
  <c r="AV566" i="1"/>
  <c r="AU566" i="1"/>
  <c r="AT566" i="1"/>
  <c r="AV565" i="1"/>
  <c r="AU565" i="1"/>
  <c r="AV564" i="1"/>
  <c r="AU564" i="1"/>
  <c r="AT564" i="1"/>
  <c r="AV563" i="1"/>
  <c r="AU563" i="1"/>
  <c r="AV562" i="1"/>
  <c r="AU562" i="1"/>
  <c r="AT562" i="1"/>
  <c r="AV561" i="1"/>
  <c r="AU561" i="1"/>
  <c r="AT561" i="1"/>
  <c r="AV560" i="1"/>
  <c r="AU560" i="1"/>
  <c r="AV559" i="1"/>
  <c r="AU559" i="1"/>
  <c r="AT559" i="1"/>
  <c r="AV558" i="1"/>
  <c r="AU558" i="1"/>
  <c r="AT558" i="1"/>
  <c r="AV557" i="1"/>
  <c r="AU557" i="1"/>
  <c r="AT557" i="1"/>
  <c r="AV556" i="1"/>
  <c r="AU556" i="1"/>
  <c r="AT556" i="1"/>
  <c r="AV555" i="1"/>
  <c r="AU555" i="1"/>
  <c r="AT555" i="1"/>
  <c r="AV554" i="1"/>
  <c r="AU554" i="1"/>
  <c r="AT554" i="1"/>
  <c r="AV553" i="1"/>
  <c r="AU553" i="1"/>
  <c r="AT553" i="1"/>
  <c r="AV552" i="1"/>
  <c r="AU552" i="1"/>
  <c r="AT552" i="1"/>
  <c r="AV551" i="1"/>
  <c r="AU551" i="1"/>
  <c r="AV550" i="1"/>
  <c r="AU550" i="1"/>
  <c r="AT550" i="1"/>
  <c r="AV549" i="1"/>
  <c r="AU549" i="1"/>
  <c r="AV548" i="1"/>
  <c r="AU548" i="1"/>
  <c r="AT548" i="1"/>
  <c r="AV547" i="1"/>
  <c r="AU547" i="1"/>
  <c r="AT547" i="1"/>
  <c r="AV546" i="1"/>
  <c r="AU546" i="1"/>
  <c r="AT546" i="1"/>
  <c r="AV545" i="1"/>
  <c r="AU545" i="1"/>
  <c r="AT545" i="1"/>
  <c r="AV544" i="1"/>
  <c r="AU544" i="1"/>
  <c r="AV543" i="1"/>
  <c r="AU543" i="1"/>
  <c r="AT543" i="1"/>
  <c r="AV542" i="1"/>
  <c r="AU542" i="1"/>
  <c r="AV541" i="1"/>
  <c r="AU541" i="1"/>
  <c r="AV540" i="1"/>
  <c r="AU540" i="1"/>
  <c r="AT540" i="1"/>
  <c r="AV539" i="1"/>
  <c r="AU539" i="1"/>
  <c r="AT539" i="1"/>
  <c r="AV538" i="1"/>
  <c r="AU538" i="1"/>
  <c r="AV537" i="1"/>
  <c r="AU537" i="1"/>
  <c r="AV536" i="1"/>
  <c r="AU536" i="1"/>
  <c r="AV535" i="1"/>
  <c r="AU535" i="1"/>
  <c r="AT535" i="1"/>
  <c r="AV534" i="1"/>
  <c r="AU534" i="1"/>
  <c r="AT534" i="1"/>
  <c r="AV533" i="1"/>
  <c r="AU533" i="1"/>
  <c r="AT533" i="1"/>
  <c r="AV532" i="1"/>
  <c r="AU532" i="1"/>
  <c r="AT532" i="1"/>
  <c r="AV531" i="1"/>
  <c r="AU531" i="1"/>
  <c r="AT531" i="1"/>
  <c r="AV530" i="1"/>
  <c r="AU530" i="1"/>
  <c r="AT530" i="1"/>
  <c r="AV529" i="1"/>
  <c r="AU529" i="1"/>
  <c r="AT529" i="1"/>
  <c r="AV528" i="1"/>
  <c r="AU528" i="1"/>
  <c r="AT528" i="1"/>
  <c r="AV527" i="1"/>
  <c r="AU527" i="1"/>
  <c r="AT527" i="1"/>
  <c r="AV526" i="1"/>
  <c r="AU526" i="1"/>
  <c r="AV525" i="1"/>
  <c r="AU525" i="1"/>
  <c r="AT525" i="1"/>
  <c r="AV524" i="1"/>
  <c r="AU524" i="1"/>
  <c r="AT524" i="1"/>
  <c r="AV523" i="1"/>
  <c r="AU523" i="1"/>
  <c r="AT523" i="1"/>
  <c r="AV522" i="1"/>
  <c r="AU522" i="1"/>
  <c r="AV521" i="1"/>
  <c r="AU521" i="1"/>
  <c r="AV520" i="1"/>
  <c r="AU520" i="1"/>
  <c r="AT520" i="1"/>
  <c r="AV519" i="1"/>
  <c r="AU519" i="1"/>
  <c r="AT519" i="1"/>
  <c r="AV518" i="1"/>
  <c r="AU518" i="1"/>
  <c r="AT518" i="1"/>
  <c r="AV517" i="1"/>
  <c r="AU517" i="1"/>
  <c r="AT517" i="1"/>
  <c r="AV516" i="1"/>
  <c r="AU516" i="1"/>
  <c r="AT516" i="1"/>
  <c r="AV515" i="1"/>
  <c r="AU515" i="1"/>
  <c r="AT515" i="1"/>
  <c r="AV514" i="1"/>
  <c r="AU514" i="1"/>
  <c r="AT514" i="1"/>
  <c r="AV513" i="1"/>
  <c r="AU513" i="1"/>
  <c r="AT513" i="1"/>
  <c r="AV512" i="1"/>
  <c r="AU512" i="1"/>
  <c r="AT512" i="1"/>
  <c r="AV511" i="1"/>
  <c r="AU511" i="1"/>
  <c r="AT511" i="1"/>
  <c r="AV510" i="1"/>
  <c r="AU510" i="1"/>
  <c r="AT510" i="1"/>
  <c r="AV509" i="1"/>
  <c r="AU509" i="1"/>
  <c r="AV508" i="1"/>
  <c r="AU508" i="1"/>
  <c r="AV507" i="1"/>
  <c r="AU507" i="1"/>
  <c r="AT507" i="1"/>
  <c r="AV506" i="1"/>
  <c r="AU506" i="1"/>
  <c r="AV505" i="1"/>
  <c r="AU505" i="1"/>
  <c r="AT505" i="1"/>
  <c r="AV504" i="1"/>
  <c r="AU504" i="1"/>
  <c r="AV503" i="1"/>
  <c r="AU503" i="1"/>
  <c r="AT503" i="1"/>
  <c r="AV502" i="1"/>
  <c r="AU502" i="1"/>
  <c r="AV501" i="1"/>
  <c r="AU501" i="1"/>
  <c r="AT501" i="1"/>
  <c r="AV500" i="1"/>
  <c r="AU500" i="1"/>
  <c r="AT500" i="1"/>
  <c r="AV499" i="1"/>
  <c r="AU499" i="1"/>
  <c r="AT499" i="1"/>
  <c r="AV498" i="1"/>
  <c r="AU498" i="1"/>
  <c r="AT498" i="1"/>
  <c r="AV497" i="1"/>
  <c r="AU497" i="1"/>
  <c r="AV496" i="1"/>
  <c r="AU496" i="1"/>
  <c r="AT496" i="1"/>
  <c r="AV495" i="1"/>
  <c r="AU495" i="1"/>
  <c r="AT495" i="1"/>
  <c r="AV494" i="1"/>
  <c r="AU494" i="1"/>
  <c r="AV493" i="1"/>
  <c r="AU493" i="1"/>
  <c r="AV492" i="1"/>
  <c r="AU492" i="1"/>
  <c r="AV491" i="1"/>
  <c r="AU491" i="1"/>
  <c r="AV490" i="1"/>
  <c r="AU490" i="1"/>
  <c r="AT490" i="1"/>
  <c r="AV489" i="1"/>
  <c r="AU489" i="1"/>
  <c r="AV488" i="1"/>
  <c r="AU488" i="1"/>
  <c r="AT488" i="1"/>
  <c r="AV487" i="1"/>
  <c r="AU487" i="1"/>
  <c r="AT487" i="1"/>
  <c r="AV486" i="1"/>
  <c r="AU486" i="1"/>
  <c r="AV485" i="1"/>
  <c r="AU485" i="1"/>
  <c r="AV484" i="1"/>
  <c r="AU484" i="1"/>
  <c r="AT484" i="1"/>
  <c r="AV483" i="1"/>
  <c r="AU483" i="1"/>
  <c r="AT483" i="1"/>
  <c r="AV482" i="1"/>
  <c r="AU482" i="1"/>
  <c r="AT482" i="1"/>
  <c r="AV481" i="1"/>
  <c r="AU481" i="1"/>
  <c r="AT481" i="1"/>
  <c r="AV480" i="1"/>
  <c r="AU480" i="1"/>
  <c r="AT480" i="1"/>
  <c r="AV479" i="1"/>
  <c r="AU479" i="1"/>
  <c r="AT479" i="1"/>
  <c r="AV478" i="1"/>
  <c r="AU478" i="1"/>
  <c r="AT478" i="1"/>
  <c r="AV477" i="1"/>
  <c r="AU477" i="1"/>
  <c r="AT477" i="1"/>
  <c r="AV476" i="1"/>
  <c r="AU476" i="1"/>
  <c r="AV475" i="1"/>
  <c r="AU475" i="1"/>
  <c r="AT475" i="1"/>
  <c r="AV474" i="1"/>
  <c r="AU474" i="1"/>
  <c r="AT474" i="1"/>
  <c r="AV473" i="1"/>
  <c r="AU473" i="1"/>
  <c r="AV472" i="1"/>
  <c r="AU472" i="1"/>
  <c r="AV471" i="1"/>
  <c r="AU471" i="1"/>
  <c r="AT471" i="1"/>
  <c r="AV470" i="1"/>
  <c r="AU470" i="1"/>
  <c r="AT470" i="1"/>
  <c r="AV469" i="1"/>
  <c r="AU469" i="1"/>
  <c r="AT469" i="1"/>
  <c r="AV468" i="1"/>
  <c r="AU468" i="1"/>
  <c r="AV467" i="1"/>
  <c r="AU467" i="1"/>
  <c r="AT467" i="1"/>
  <c r="AV466" i="1"/>
  <c r="AU466" i="1"/>
  <c r="AT466" i="1"/>
  <c r="AV465" i="1"/>
  <c r="AU465" i="1"/>
  <c r="AV464" i="1"/>
  <c r="AU464" i="1"/>
  <c r="AT464" i="1"/>
  <c r="AV463" i="1"/>
  <c r="AU463" i="1"/>
  <c r="AV462" i="1"/>
  <c r="AU462" i="1"/>
  <c r="AV461" i="1"/>
  <c r="AU461" i="1"/>
  <c r="AT461" i="1"/>
  <c r="AV460" i="1"/>
  <c r="AU460" i="1"/>
  <c r="AT460" i="1"/>
  <c r="AV459" i="1"/>
  <c r="AU459" i="1"/>
  <c r="AT459" i="1"/>
  <c r="AV458" i="1"/>
  <c r="AU458" i="1"/>
  <c r="AT458" i="1"/>
  <c r="AV457" i="1"/>
  <c r="AU457" i="1"/>
  <c r="AV456" i="1"/>
  <c r="AU456" i="1"/>
  <c r="AV455" i="1"/>
  <c r="AU455" i="1"/>
  <c r="AV454" i="1"/>
  <c r="AU454" i="1"/>
  <c r="AT454" i="1"/>
  <c r="AV453" i="1"/>
  <c r="AU453" i="1"/>
  <c r="AV452" i="1"/>
  <c r="AU452" i="1"/>
  <c r="AT452" i="1"/>
  <c r="AV451" i="1"/>
  <c r="AU451" i="1"/>
  <c r="AV450" i="1"/>
  <c r="AU450" i="1"/>
  <c r="AV449" i="1"/>
  <c r="AU449" i="1"/>
  <c r="AT449" i="1"/>
  <c r="AV448" i="1"/>
  <c r="AU448" i="1"/>
  <c r="AV447" i="1"/>
  <c r="AU447" i="1"/>
  <c r="AT447" i="1"/>
  <c r="AV446" i="1"/>
  <c r="AU446" i="1"/>
  <c r="AV445" i="1"/>
  <c r="AU445" i="1"/>
  <c r="AT445" i="1"/>
  <c r="AV444" i="1"/>
  <c r="AU444" i="1"/>
  <c r="AT444" i="1"/>
  <c r="AV443" i="1"/>
  <c r="AU443" i="1"/>
  <c r="AT443" i="1"/>
  <c r="AV442" i="1"/>
  <c r="AU442" i="1"/>
  <c r="AT442" i="1"/>
  <c r="AV441" i="1"/>
  <c r="AU441" i="1"/>
  <c r="AV440" i="1"/>
  <c r="AU440" i="1"/>
  <c r="AT440" i="1"/>
  <c r="AV439" i="1"/>
  <c r="AU439" i="1"/>
  <c r="AT439" i="1"/>
  <c r="AV438" i="1"/>
  <c r="AU438" i="1"/>
  <c r="AV437" i="1"/>
  <c r="AU437" i="1"/>
  <c r="AV436" i="1"/>
  <c r="AU436" i="1"/>
  <c r="AT436" i="1"/>
  <c r="AV435" i="1"/>
  <c r="AU435" i="1"/>
  <c r="AV434" i="1"/>
  <c r="AU434" i="1"/>
  <c r="AT434" i="1"/>
  <c r="AV433" i="1"/>
  <c r="AU433" i="1"/>
  <c r="AT433" i="1"/>
  <c r="AV432" i="1"/>
  <c r="AU432" i="1"/>
  <c r="AV431" i="1"/>
  <c r="AU431" i="1"/>
  <c r="AT431" i="1"/>
  <c r="AV430" i="1"/>
  <c r="AU430" i="1"/>
  <c r="AV429" i="1"/>
  <c r="AU429" i="1"/>
  <c r="AT429" i="1"/>
  <c r="AV428" i="1"/>
  <c r="AU428" i="1"/>
  <c r="AT428" i="1"/>
  <c r="AV427" i="1"/>
  <c r="AU427" i="1"/>
  <c r="AV426" i="1"/>
  <c r="AU426" i="1"/>
  <c r="AT426" i="1"/>
  <c r="AV425" i="1"/>
  <c r="AU425" i="1"/>
  <c r="AT425" i="1"/>
  <c r="AV424" i="1"/>
  <c r="AU424" i="1"/>
  <c r="AT424" i="1"/>
  <c r="AV423" i="1"/>
  <c r="AU423" i="1"/>
  <c r="AT423" i="1"/>
  <c r="AV422" i="1"/>
  <c r="AU422" i="1"/>
  <c r="AT422" i="1"/>
  <c r="AV421" i="1"/>
  <c r="AU421" i="1"/>
  <c r="AT421" i="1"/>
  <c r="AV420" i="1"/>
  <c r="AU420" i="1"/>
  <c r="AT420" i="1"/>
  <c r="AV419" i="1"/>
  <c r="AU419" i="1"/>
  <c r="AV418" i="1"/>
  <c r="AU418" i="1"/>
  <c r="AT418" i="1"/>
  <c r="AV417" i="1"/>
  <c r="AU417" i="1"/>
  <c r="AT417" i="1"/>
  <c r="AV416" i="1"/>
  <c r="AU416" i="1"/>
  <c r="AT416" i="1"/>
  <c r="AV415" i="1"/>
  <c r="AU415" i="1"/>
  <c r="AV414" i="1"/>
  <c r="AU414" i="1"/>
  <c r="AT414" i="1"/>
  <c r="AV413" i="1"/>
  <c r="AU413" i="1"/>
  <c r="AT413" i="1"/>
  <c r="AV412" i="1"/>
  <c r="AU412" i="1"/>
  <c r="AT412" i="1"/>
  <c r="AV411" i="1"/>
  <c r="AU411" i="1"/>
  <c r="AT411" i="1"/>
  <c r="AV410" i="1"/>
  <c r="AU410" i="1"/>
  <c r="AT410" i="1"/>
  <c r="AV409" i="1"/>
  <c r="AU409" i="1"/>
  <c r="AV408" i="1"/>
  <c r="AU408" i="1"/>
  <c r="AV407" i="1"/>
  <c r="AU407" i="1"/>
  <c r="AV406" i="1"/>
  <c r="AU406" i="1"/>
  <c r="AV405" i="1"/>
  <c r="AU405" i="1"/>
  <c r="AT405" i="1"/>
  <c r="AV404" i="1"/>
  <c r="AU404" i="1"/>
  <c r="AV403" i="1"/>
  <c r="AU403" i="1"/>
  <c r="AT403" i="1"/>
  <c r="AV402" i="1"/>
  <c r="AU402" i="1"/>
  <c r="AT402" i="1"/>
  <c r="AV401" i="1"/>
  <c r="AU401" i="1"/>
  <c r="AT401" i="1"/>
  <c r="AV400" i="1"/>
  <c r="AU400" i="1"/>
  <c r="AT400" i="1"/>
  <c r="AV399" i="1"/>
  <c r="AU399" i="1"/>
  <c r="AT399" i="1"/>
  <c r="AV398" i="1"/>
  <c r="AU398" i="1"/>
  <c r="AT398" i="1"/>
  <c r="AV397" i="1"/>
  <c r="AU397" i="1"/>
  <c r="AV396" i="1"/>
  <c r="AU396" i="1"/>
  <c r="AT396" i="1"/>
  <c r="AV395" i="1"/>
  <c r="AU395" i="1"/>
  <c r="AT395" i="1"/>
  <c r="AV394" i="1"/>
  <c r="AU394" i="1"/>
  <c r="AT394" i="1"/>
  <c r="AV393" i="1"/>
  <c r="AU393" i="1"/>
  <c r="AV392" i="1"/>
  <c r="AU392" i="1"/>
  <c r="AV391" i="1"/>
  <c r="AU391" i="1"/>
  <c r="AT391" i="1"/>
  <c r="AV390" i="1"/>
  <c r="AU390" i="1"/>
  <c r="AT390" i="1"/>
  <c r="AV389" i="1"/>
  <c r="AU389" i="1"/>
  <c r="AT389" i="1"/>
  <c r="AV388" i="1"/>
  <c r="AU388" i="1"/>
  <c r="AT388" i="1"/>
  <c r="AV387" i="1"/>
  <c r="AU387" i="1"/>
  <c r="AV386" i="1"/>
  <c r="AU386" i="1"/>
  <c r="AT386" i="1"/>
  <c r="AV385" i="1"/>
  <c r="AU385" i="1"/>
  <c r="AT385" i="1"/>
  <c r="AV384" i="1"/>
  <c r="AU384" i="1"/>
  <c r="AV383" i="1"/>
  <c r="AU383" i="1"/>
  <c r="AT383" i="1"/>
  <c r="AV382" i="1"/>
  <c r="AU382" i="1"/>
  <c r="AT382" i="1"/>
  <c r="AV381" i="1"/>
  <c r="AU381" i="1"/>
  <c r="AV380" i="1"/>
  <c r="AU380" i="1"/>
  <c r="AT380" i="1"/>
  <c r="AV379" i="1"/>
  <c r="AU379" i="1"/>
  <c r="AV378" i="1"/>
  <c r="AU378" i="1"/>
  <c r="AT378" i="1"/>
  <c r="AV377" i="1"/>
  <c r="AU377" i="1"/>
  <c r="AT377" i="1"/>
  <c r="AV376" i="1"/>
  <c r="AU376" i="1"/>
  <c r="AT376" i="1"/>
  <c r="AV375" i="1"/>
  <c r="AU375" i="1"/>
  <c r="AT375" i="1"/>
  <c r="AV374" i="1"/>
  <c r="AU374" i="1"/>
  <c r="AT374" i="1"/>
  <c r="AV373" i="1"/>
  <c r="AU373" i="1"/>
  <c r="AV372" i="1"/>
  <c r="AU372" i="1"/>
  <c r="AT372" i="1"/>
  <c r="AV371" i="1"/>
  <c r="AU371" i="1"/>
  <c r="AT371" i="1"/>
  <c r="AV370" i="1"/>
  <c r="AU370" i="1"/>
  <c r="AV369" i="1"/>
  <c r="AU369" i="1"/>
  <c r="AT369" i="1"/>
  <c r="AV368" i="1"/>
  <c r="AU368" i="1"/>
  <c r="AT368" i="1"/>
  <c r="AV367" i="1"/>
  <c r="AU367" i="1"/>
  <c r="AT367" i="1"/>
  <c r="AV366" i="1"/>
  <c r="AU366" i="1"/>
  <c r="AV365" i="1"/>
  <c r="AU365" i="1"/>
  <c r="AT365" i="1"/>
  <c r="AV364" i="1"/>
  <c r="AU364" i="1"/>
  <c r="AT364" i="1"/>
  <c r="AV363" i="1"/>
  <c r="AU363" i="1"/>
  <c r="AT363" i="1"/>
  <c r="AV362" i="1"/>
  <c r="AU362" i="1"/>
  <c r="AT362" i="1"/>
  <c r="AV361" i="1"/>
  <c r="AU361" i="1"/>
  <c r="AT361" i="1"/>
  <c r="AV360" i="1"/>
  <c r="AU360" i="1"/>
  <c r="AT360" i="1"/>
  <c r="AV359" i="1"/>
  <c r="AU359" i="1"/>
  <c r="AT359" i="1"/>
  <c r="AV358" i="1"/>
  <c r="AU358" i="1"/>
  <c r="AT358" i="1"/>
  <c r="AV357" i="1"/>
  <c r="AU357" i="1"/>
  <c r="AV356" i="1"/>
  <c r="AU356" i="1"/>
  <c r="AT356" i="1"/>
  <c r="AV355" i="1"/>
  <c r="AU355" i="1"/>
  <c r="AT355" i="1"/>
  <c r="AV354" i="1"/>
  <c r="AU354" i="1"/>
  <c r="AT354" i="1"/>
  <c r="AV353" i="1"/>
  <c r="AU353" i="1"/>
  <c r="AT353" i="1"/>
  <c r="AV352" i="1"/>
  <c r="AU352" i="1"/>
  <c r="AV351" i="1"/>
  <c r="AU351" i="1"/>
  <c r="AT351" i="1"/>
  <c r="AV350" i="1"/>
  <c r="AU350" i="1"/>
  <c r="AT350" i="1"/>
  <c r="AV349" i="1"/>
  <c r="AU349" i="1"/>
  <c r="AT349" i="1"/>
  <c r="AV348" i="1"/>
  <c r="AU348" i="1"/>
  <c r="AV347" i="1"/>
  <c r="AU347" i="1"/>
  <c r="AV346" i="1"/>
  <c r="AU346" i="1"/>
  <c r="AT346" i="1"/>
  <c r="AV345" i="1"/>
  <c r="AU345" i="1"/>
  <c r="AT345" i="1"/>
  <c r="AV344" i="1"/>
  <c r="AU344" i="1"/>
  <c r="AT344" i="1"/>
  <c r="AV343" i="1"/>
  <c r="AU343" i="1"/>
  <c r="AV342" i="1"/>
  <c r="AU342" i="1"/>
  <c r="AT342" i="1"/>
  <c r="AV341" i="1"/>
  <c r="AU341" i="1"/>
  <c r="AT341" i="1"/>
  <c r="AV340" i="1"/>
  <c r="AU340" i="1"/>
  <c r="AT340" i="1"/>
  <c r="AV339" i="1"/>
  <c r="AU339" i="1"/>
  <c r="AV338" i="1"/>
  <c r="AU338" i="1"/>
  <c r="AV337" i="1"/>
  <c r="AU337" i="1"/>
  <c r="AT337" i="1"/>
  <c r="AV336" i="1"/>
  <c r="AU336" i="1"/>
  <c r="AT336" i="1"/>
  <c r="AV335" i="1"/>
  <c r="AU335" i="1"/>
  <c r="AT335" i="1"/>
  <c r="AV334" i="1"/>
  <c r="AU334" i="1"/>
  <c r="AT334" i="1"/>
  <c r="AV333" i="1"/>
  <c r="AU333" i="1"/>
  <c r="AT333" i="1"/>
  <c r="AV332" i="1"/>
  <c r="AU332" i="1"/>
  <c r="AV331" i="1"/>
  <c r="AU331" i="1"/>
  <c r="AT331" i="1"/>
  <c r="AV330" i="1"/>
  <c r="AU330" i="1"/>
  <c r="AT330" i="1"/>
  <c r="AV329" i="1"/>
  <c r="AU329" i="1"/>
  <c r="AT329" i="1"/>
  <c r="AV328" i="1"/>
  <c r="AU328" i="1"/>
  <c r="AV327" i="1"/>
  <c r="AU327" i="1"/>
  <c r="AT327" i="1"/>
  <c r="AV326" i="1"/>
  <c r="AU326" i="1"/>
  <c r="AV325" i="1"/>
  <c r="AU325" i="1"/>
  <c r="AT325" i="1"/>
  <c r="AV324" i="1"/>
  <c r="AU324" i="1"/>
  <c r="AT324" i="1"/>
  <c r="AV323" i="1"/>
  <c r="AU323" i="1"/>
  <c r="AT323" i="1"/>
  <c r="AV322" i="1"/>
  <c r="AU322" i="1"/>
  <c r="AT322" i="1"/>
  <c r="AV321" i="1"/>
  <c r="AU321" i="1"/>
  <c r="AT321" i="1"/>
  <c r="AV320" i="1"/>
  <c r="AU320" i="1"/>
  <c r="AT320" i="1"/>
  <c r="AV319" i="1"/>
  <c r="AU319" i="1"/>
  <c r="AV318" i="1"/>
  <c r="AU318" i="1"/>
  <c r="AT318" i="1"/>
  <c r="AV317" i="1"/>
  <c r="AU317" i="1"/>
  <c r="AT317" i="1"/>
  <c r="AV316" i="1"/>
  <c r="AU316" i="1"/>
  <c r="AT316" i="1"/>
  <c r="AV315" i="1"/>
  <c r="AU315" i="1"/>
  <c r="AV314" i="1"/>
  <c r="AU314" i="1"/>
  <c r="AV313" i="1"/>
  <c r="AU313" i="1"/>
  <c r="AT313" i="1"/>
  <c r="AV312" i="1"/>
  <c r="AU312" i="1"/>
  <c r="AT312" i="1"/>
  <c r="AV311" i="1"/>
  <c r="AU311" i="1"/>
  <c r="AT311" i="1"/>
  <c r="AV310" i="1"/>
  <c r="AU310" i="1"/>
  <c r="AT310" i="1"/>
  <c r="AV309" i="1"/>
  <c r="AU309" i="1"/>
  <c r="AT309" i="1"/>
  <c r="AV308" i="1"/>
  <c r="AU308" i="1"/>
  <c r="AV307" i="1"/>
  <c r="AU307" i="1"/>
  <c r="AV306" i="1"/>
  <c r="AU306" i="1"/>
  <c r="AT306" i="1"/>
  <c r="AV305" i="1"/>
  <c r="AU305" i="1"/>
  <c r="AT305" i="1"/>
  <c r="AV304" i="1"/>
  <c r="AU304" i="1"/>
  <c r="AV303" i="1"/>
  <c r="AU303" i="1"/>
  <c r="AT303" i="1"/>
  <c r="AV302" i="1"/>
  <c r="AU302" i="1"/>
  <c r="AV301" i="1"/>
  <c r="AU301" i="1"/>
  <c r="AT301" i="1"/>
  <c r="AV300" i="1"/>
  <c r="AU300" i="1"/>
  <c r="AV299" i="1"/>
  <c r="AU299" i="1"/>
  <c r="AT299" i="1"/>
  <c r="AV298" i="1"/>
  <c r="AU298" i="1"/>
  <c r="AT298" i="1"/>
  <c r="AV297" i="1"/>
  <c r="AU297" i="1"/>
  <c r="AT297" i="1"/>
  <c r="AV296" i="1"/>
  <c r="AU296" i="1"/>
  <c r="AT296" i="1"/>
  <c r="AV295" i="1"/>
  <c r="AU295" i="1"/>
  <c r="AT295" i="1"/>
  <c r="AV294" i="1"/>
  <c r="AU294" i="1"/>
  <c r="AT294" i="1"/>
  <c r="AV293" i="1"/>
  <c r="AU293" i="1"/>
  <c r="AT293" i="1"/>
  <c r="AV292" i="1"/>
  <c r="AU292" i="1"/>
  <c r="AT292" i="1"/>
  <c r="AV291" i="1"/>
  <c r="AU291" i="1"/>
  <c r="AV290" i="1"/>
  <c r="AU290" i="1"/>
  <c r="AT290" i="1"/>
  <c r="AV289" i="1"/>
  <c r="AU289" i="1"/>
  <c r="AT289" i="1"/>
  <c r="AV288" i="1"/>
  <c r="AU288" i="1"/>
  <c r="AV287" i="1"/>
  <c r="AU287" i="1"/>
  <c r="AV286" i="1"/>
  <c r="AU286" i="1"/>
  <c r="AV285" i="1"/>
  <c r="AU285" i="1"/>
  <c r="AT285" i="1"/>
  <c r="AV284" i="1"/>
  <c r="AU284" i="1"/>
  <c r="AT284" i="1"/>
  <c r="AV283" i="1"/>
  <c r="AU283" i="1"/>
  <c r="AT283" i="1"/>
  <c r="AV282" i="1"/>
  <c r="AU282" i="1"/>
  <c r="AT282" i="1"/>
  <c r="AV281" i="1"/>
  <c r="AU281" i="1"/>
  <c r="AV280" i="1"/>
  <c r="AU280" i="1"/>
  <c r="AT280" i="1"/>
  <c r="AV279" i="1"/>
  <c r="AU279" i="1"/>
  <c r="AV278" i="1"/>
  <c r="AU278" i="1"/>
  <c r="AT278" i="1"/>
  <c r="AV277" i="1"/>
  <c r="AU277" i="1"/>
  <c r="AT277" i="1"/>
  <c r="AV276" i="1"/>
  <c r="AU276" i="1"/>
  <c r="AT276" i="1"/>
  <c r="AV275" i="1"/>
  <c r="AU275" i="1"/>
  <c r="AT275" i="1"/>
  <c r="AV274" i="1"/>
  <c r="AU274" i="1"/>
  <c r="AT274" i="1"/>
  <c r="AV273" i="1"/>
  <c r="AU273" i="1"/>
  <c r="AV272" i="1"/>
  <c r="AU272" i="1"/>
  <c r="AV271" i="1"/>
  <c r="AU271" i="1"/>
  <c r="AT271" i="1"/>
  <c r="AV270" i="1"/>
  <c r="AU270" i="1"/>
  <c r="AT270" i="1"/>
  <c r="AV269" i="1"/>
  <c r="AU269" i="1"/>
  <c r="AT269" i="1"/>
  <c r="AV268" i="1"/>
  <c r="AU268" i="1"/>
  <c r="AV267" i="1"/>
  <c r="AU267" i="1"/>
  <c r="AT267" i="1"/>
  <c r="AV266" i="1"/>
  <c r="AU266" i="1"/>
  <c r="AT266" i="1"/>
  <c r="AV265" i="1"/>
  <c r="AU265" i="1"/>
  <c r="AT265" i="1"/>
  <c r="AV264" i="1"/>
  <c r="AU264" i="1"/>
  <c r="AT264" i="1"/>
  <c r="AV263" i="1"/>
  <c r="AU263" i="1"/>
  <c r="AT263" i="1"/>
  <c r="AV262" i="1"/>
  <c r="AU262" i="1"/>
  <c r="AT262" i="1"/>
  <c r="AV261" i="1"/>
  <c r="AU261" i="1"/>
  <c r="AT261" i="1"/>
  <c r="AV260" i="1"/>
  <c r="AU260" i="1"/>
  <c r="AT260" i="1"/>
  <c r="AV259" i="1"/>
  <c r="AU259" i="1"/>
  <c r="AT259" i="1"/>
  <c r="AV258" i="1"/>
  <c r="AU258" i="1"/>
  <c r="AV257" i="1"/>
  <c r="AU257" i="1"/>
  <c r="AV256" i="1"/>
  <c r="AU256" i="1"/>
  <c r="AT256" i="1"/>
  <c r="AV255" i="1"/>
  <c r="AU255" i="1"/>
  <c r="AT255" i="1"/>
  <c r="AV254" i="1"/>
  <c r="AU254" i="1"/>
  <c r="AT254" i="1"/>
  <c r="AV253" i="1"/>
  <c r="AU253" i="1"/>
  <c r="AT253" i="1"/>
  <c r="AV252" i="1"/>
  <c r="AU252" i="1"/>
  <c r="AT252" i="1"/>
  <c r="AV251" i="1"/>
  <c r="AU251" i="1"/>
  <c r="AT251" i="1"/>
  <c r="AV250" i="1"/>
  <c r="AU250" i="1"/>
  <c r="AV249" i="1"/>
  <c r="AU249" i="1"/>
  <c r="AT249" i="1"/>
  <c r="AV248" i="1"/>
  <c r="AU248" i="1"/>
  <c r="AT248" i="1"/>
  <c r="AV247" i="1"/>
  <c r="AU247" i="1"/>
  <c r="AT247" i="1"/>
  <c r="AV246" i="1"/>
  <c r="AU246" i="1"/>
  <c r="AV245" i="1"/>
  <c r="AU245" i="1"/>
  <c r="AV244" i="1"/>
  <c r="AU244" i="1"/>
  <c r="AT244" i="1"/>
  <c r="AV243" i="1"/>
  <c r="AU243" i="1"/>
  <c r="AT243" i="1"/>
  <c r="AV242" i="1"/>
  <c r="AU242" i="1"/>
  <c r="AV241" i="1"/>
  <c r="AU241" i="1"/>
  <c r="AT241" i="1"/>
  <c r="AV240" i="1"/>
  <c r="AU240" i="1"/>
  <c r="AV239" i="1"/>
  <c r="AU239" i="1"/>
  <c r="AV238" i="1"/>
  <c r="AU238" i="1"/>
  <c r="AT238" i="1"/>
  <c r="AV237" i="1"/>
  <c r="AU237" i="1"/>
  <c r="AT237" i="1"/>
  <c r="AV236" i="1"/>
  <c r="AU236" i="1"/>
  <c r="AT236" i="1"/>
  <c r="AV235" i="1"/>
  <c r="AU235" i="1"/>
  <c r="AT235" i="1"/>
  <c r="AV234" i="1"/>
  <c r="AU234" i="1"/>
  <c r="AT234" i="1"/>
  <c r="AV233" i="1"/>
  <c r="AU233" i="1"/>
  <c r="AT233" i="1"/>
  <c r="AV232" i="1"/>
  <c r="AU232" i="1"/>
  <c r="AT232" i="1"/>
  <c r="AV231" i="1"/>
  <c r="AU231" i="1"/>
  <c r="AT231" i="1"/>
  <c r="AV230" i="1"/>
  <c r="AU230" i="1"/>
  <c r="AT230" i="1"/>
  <c r="AV229" i="1"/>
  <c r="AU229" i="1"/>
  <c r="AT229" i="1"/>
  <c r="AV228" i="1"/>
  <c r="AU228" i="1"/>
  <c r="AV227" i="1"/>
  <c r="AU227" i="1"/>
  <c r="AT227" i="1"/>
  <c r="AV226" i="1"/>
  <c r="AU226" i="1"/>
  <c r="AT226" i="1"/>
  <c r="AV225" i="1"/>
  <c r="AU225" i="1"/>
  <c r="AT225" i="1"/>
  <c r="AV224" i="1"/>
  <c r="AU224" i="1"/>
  <c r="AT224" i="1"/>
  <c r="AV223" i="1"/>
  <c r="AU223" i="1"/>
  <c r="AV222" i="1"/>
  <c r="AU222" i="1"/>
  <c r="AV221" i="1"/>
  <c r="AU221" i="1"/>
  <c r="AV220" i="1"/>
  <c r="AU220" i="1"/>
  <c r="AT220" i="1"/>
  <c r="AV219" i="1"/>
  <c r="AU219" i="1"/>
  <c r="AV218" i="1"/>
  <c r="AU218" i="1"/>
  <c r="AT218" i="1"/>
  <c r="AV217" i="1"/>
  <c r="AU217" i="1"/>
  <c r="AT217" i="1"/>
  <c r="AV216" i="1"/>
  <c r="AU216" i="1"/>
  <c r="AV215" i="1"/>
  <c r="AU215" i="1"/>
  <c r="AT215" i="1"/>
  <c r="AV214" i="1"/>
  <c r="AU214" i="1"/>
  <c r="AV213" i="1"/>
  <c r="AU213" i="1"/>
  <c r="AT213" i="1"/>
  <c r="AV212" i="1"/>
  <c r="AU212" i="1"/>
  <c r="AV211" i="1"/>
  <c r="AU211" i="1"/>
  <c r="AT211" i="1"/>
  <c r="AV210" i="1"/>
  <c r="AU210" i="1"/>
  <c r="AV209" i="1"/>
  <c r="AU209" i="1"/>
  <c r="AV208" i="1"/>
  <c r="AU208" i="1"/>
  <c r="AV207" i="1"/>
  <c r="AU207" i="1"/>
  <c r="AT207" i="1"/>
  <c r="AV206" i="1"/>
  <c r="AU206" i="1"/>
  <c r="AV205" i="1"/>
  <c r="AU205" i="1"/>
  <c r="AV204" i="1"/>
  <c r="AU204" i="1"/>
  <c r="AT204" i="1"/>
  <c r="AV203" i="1"/>
  <c r="AU203" i="1"/>
  <c r="AT203" i="1"/>
  <c r="AV202" i="1"/>
  <c r="AU202" i="1"/>
  <c r="AT202" i="1"/>
  <c r="AV201" i="1"/>
  <c r="AU201" i="1"/>
  <c r="AT201" i="1"/>
  <c r="AV200" i="1"/>
  <c r="AU200" i="1"/>
  <c r="AV199" i="1"/>
  <c r="AU199" i="1"/>
  <c r="AT199" i="1"/>
  <c r="AV198" i="1"/>
  <c r="AU198" i="1"/>
  <c r="AT198" i="1"/>
  <c r="AV197" i="1"/>
  <c r="AU197" i="1"/>
  <c r="AT197" i="1"/>
  <c r="AV196" i="1"/>
  <c r="AU196" i="1"/>
  <c r="AT196" i="1"/>
  <c r="AV195" i="1"/>
  <c r="AU195" i="1"/>
  <c r="AT195" i="1"/>
  <c r="AV194" i="1"/>
  <c r="AU194" i="1"/>
  <c r="AT194" i="1"/>
  <c r="AV193" i="1"/>
  <c r="AU193" i="1"/>
  <c r="AT193" i="1"/>
  <c r="AV192" i="1"/>
  <c r="AU192" i="1"/>
  <c r="AV191" i="1"/>
  <c r="AU191" i="1"/>
  <c r="AT191" i="1"/>
  <c r="AV190" i="1"/>
  <c r="AU190" i="1"/>
  <c r="AT190" i="1"/>
  <c r="AV189" i="1"/>
  <c r="AU189" i="1"/>
  <c r="AT189" i="1"/>
  <c r="AV188" i="1"/>
  <c r="AU188" i="1"/>
  <c r="AV187" i="1"/>
  <c r="AU187" i="1"/>
  <c r="AT187" i="1"/>
  <c r="AV186" i="1"/>
  <c r="AU186" i="1"/>
  <c r="AT186" i="1"/>
  <c r="AV185" i="1"/>
  <c r="AU185" i="1"/>
  <c r="AV184" i="1"/>
  <c r="AU184" i="1"/>
  <c r="AT184" i="1"/>
  <c r="AV183" i="1"/>
  <c r="AU183" i="1"/>
  <c r="AT183" i="1"/>
  <c r="AV182" i="1"/>
  <c r="AU182" i="1"/>
  <c r="AV181" i="1"/>
  <c r="AU181" i="1"/>
  <c r="AV180" i="1"/>
  <c r="AU180" i="1"/>
  <c r="AT180" i="1"/>
  <c r="AV179" i="1"/>
  <c r="AU179" i="1"/>
  <c r="AT179" i="1"/>
  <c r="AV178" i="1"/>
  <c r="AU178" i="1"/>
  <c r="AT178" i="1"/>
  <c r="AV177" i="1"/>
  <c r="AU177" i="1"/>
  <c r="AT177" i="1"/>
  <c r="AV176" i="1"/>
  <c r="AU176" i="1"/>
  <c r="AT176" i="1"/>
  <c r="AV175" i="1"/>
  <c r="AU175" i="1"/>
  <c r="AT175" i="1"/>
  <c r="AV174" i="1"/>
  <c r="AU174" i="1"/>
  <c r="AT174" i="1"/>
  <c r="AV173" i="1"/>
  <c r="AU173" i="1"/>
  <c r="AV172" i="1"/>
  <c r="AU172" i="1"/>
  <c r="AV171" i="1"/>
  <c r="AU171" i="1"/>
  <c r="AT171" i="1"/>
  <c r="AV170" i="1"/>
  <c r="AU170" i="1"/>
  <c r="AT170" i="1"/>
  <c r="AV169" i="1"/>
  <c r="AU169" i="1"/>
  <c r="AT169" i="1"/>
  <c r="AV168" i="1"/>
  <c r="AU168" i="1"/>
  <c r="AV167" i="1"/>
  <c r="AU167" i="1"/>
  <c r="AT167" i="1"/>
  <c r="AV166" i="1"/>
  <c r="AU166" i="1"/>
  <c r="AT166" i="1"/>
  <c r="AV165" i="1"/>
  <c r="AU165" i="1"/>
  <c r="AT165" i="1"/>
  <c r="AV164" i="1"/>
  <c r="AU164" i="1"/>
  <c r="AV163" i="1"/>
  <c r="AU163" i="1"/>
  <c r="AV162" i="1"/>
  <c r="AU162" i="1"/>
  <c r="AV161" i="1"/>
  <c r="AU161" i="1"/>
  <c r="AT161" i="1"/>
  <c r="AV160" i="1"/>
  <c r="AU160" i="1"/>
  <c r="AT160" i="1"/>
  <c r="AV159" i="1"/>
  <c r="AU159" i="1"/>
  <c r="AT159" i="1"/>
  <c r="AV158" i="1"/>
  <c r="AU158" i="1"/>
  <c r="AT158" i="1"/>
  <c r="AV157" i="1"/>
  <c r="AU157" i="1"/>
  <c r="AV156" i="1"/>
  <c r="AU156" i="1"/>
  <c r="AV155" i="1"/>
  <c r="AU155" i="1"/>
  <c r="AT155" i="1"/>
  <c r="AV154" i="1"/>
  <c r="AU154" i="1"/>
  <c r="AV153" i="1"/>
  <c r="AU153" i="1"/>
  <c r="AT153" i="1"/>
  <c r="AV152" i="1"/>
  <c r="AU152" i="1"/>
  <c r="AT152" i="1"/>
  <c r="AV151" i="1"/>
  <c r="AU151" i="1"/>
  <c r="AT151" i="1"/>
  <c r="AV150" i="1"/>
  <c r="AU150" i="1"/>
  <c r="AT150" i="1"/>
  <c r="AV149" i="1"/>
  <c r="AU149" i="1"/>
  <c r="AT149" i="1"/>
  <c r="AV148" i="1"/>
  <c r="AU148" i="1"/>
  <c r="AV147" i="1"/>
  <c r="AU147" i="1"/>
  <c r="AV146" i="1"/>
  <c r="AU146" i="1"/>
  <c r="AT146" i="1"/>
  <c r="AV145" i="1"/>
  <c r="AU145" i="1"/>
  <c r="AV144" i="1"/>
  <c r="AU144" i="1"/>
  <c r="AV143" i="1"/>
  <c r="AU143" i="1"/>
  <c r="AT143" i="1"/>
  <c r="AV142" i="1"/>
  <c r="AU142" i="1"/>
  <c r="AT142" i="1"/>
  <c r="AV141" i="1"/>
  <c r="AU141" i="1"/>
  <c r="AT141" i="1"/>
  <c r="AV140" i="1"/>
  <c r="AU140" i="1"/>
  <c r="AT140" i="1"/>
  <c r="AV139" i="1"/>
  <c r="AU139" i="1"/>
  <c r="AT139" i="1"/>
  <c r="AV138" i="1"/>
  <c r="AU138" i="1"/>
  <c r="AT138" i="1"/>
  <c r="AV137" i="1"/>
  <c r="AU137" i="1"/>
  <c r="AT137" i="1"/>
  <c r="AV136" i="1"/>
  <c r="AU136" i="1"/>
  <c r="AV135" i="1"/>
  <c r="AU135" i="1"/>
  <c r="AV134" i="1"/>
  <c r="AU134" i="1"/>
  <c r="AV133" i="1"/>
  <c r="AU133" i="1"/>
  <c r="AT133" i="1"/>
  <c r="AV132" i="1"/>
  <c r="AU132" i="1"/>
  <c r="AV131" i="1"/>
  <c r="AU131" i="1"/>
  <c r="AV130" i="1"/>
  <c r="AU130" i="1"/>
  <c r="AV129" i="1"/>
  <c r="AU129" i="1"/>
  <c r="AV128" i="1"/>
  <c r="AU128" i="1"/>
  <c r="AV127" i="1"/>
  <c r="AU127" i="1"/>
  <c r="AV126" i="1"/>
  <c r="AU126" i="1"/>
  <c r="AT126" i="1"/>
  <c r="AV125" i="1"/>
  <c r="AU125" i="1"/>
  <c r="AV124" i="1"/>
  <c r="AU124" i="1"/>
  <c r="AT124" i="1"/>
  <c r="AV123" i="1"/>
  <c r="AU123" i="1"/>
  <c r="AT123" i="1"/>
  <c r="AV122" i="1"/>
  <c r="AU122" i="1"/>
  <c r="AT122" i="1"/>
  <c r="AV121" i="1"/>
  <c r="AU121" i="1"/>
  <c r="AV120" i="1"/>
  <c r="AU120" i="1"/>
  <c r="AT120" i="1"/>
  <c r="AV119" i="1"/>
  <c r="AU119" i="1"/>
  <c r="AV118" i="1"/>
  <c r="AU118" i="1"/>
  <c r="AV117" i="1"/>
  <c r="AU117" i="1"/>
  <c r="AT117" i="1"/>
  <c r="AV116" i="1"/>
  <c r="AU116" i="1"/>
  <c r="AT116" i="1"/>
  <c r="AV115" i="1"/>
  <c r="AU115" i="1"/>
  <c r="AV114" i="1"/>
  <c r="AU114" i="1"/>
  <c r="AT114" i="1"/>
  <c r="AV113" i="1"/>
  <c r="AU113" i="1"/>
  <c r="AT113" i="1"/>
  <c r="AV112" i="1"/>
  <c r="AU112" i="1"/>
  <c r="AT112" i="1"/>
  <c r="AV111" i="1"/>
  <c r="AU111" i="1"/>
  <c r="AT111" i="1"/>
  <c r="AV110" i="1"/>
  <c r="AU110" i="1"/>
  <c r="AV109" i="1"/>
  <c r="AU109" i="1"/>
  <c r="AV108" i="1"/>
  <c r="AU108" i="1"/>
  <c r="AT108" i="1"/>
  <c r="AV107" i="1"/>
  <c r="AU107" i="1"/>
  <c r="AV106" i="1"/>
  <c r="AU106" i="1"/>
  <c r="AV105" i="1"/>
  <c r="AU105" i="1"/>
  <c r="AV104" i="1"/>
  <c r="AU104" i="1"/>
  <c r="AT104" i="1"/>
  <c r="AV103" i="1"/>
  <c r="AU103" i="1"/>
  <c r="AT103" i="1"/>
  <c r="AV102" i="1"/>
  <c r="AU102" i="1"/>
  <c r="AT102" i="1"/>
  <c r="AV101" i="1"/>
  <c r="AU101" i="1"/>
  <c r="AT101" i="1"/>
  <c r="AV100" i="1"/>
  <c r="AU100" i="1"/>
  <c r="AT100" i="1"/>
  <c r="AV99" i="1"/>
  <c r="AU99" i="1"/>
  <c r="AT99" i="1"/>
  <c r="AV98" i="1"/>
  <c r="AU98" i="1"/>
  <c r="AT98" i="1"/>
  <c r="AV97" i="1"/>
  <c r="AU97" i="1"/>
  <c r="AT97" i="1"/>
  <c r="AV96" i="1"/>
  <c r="AU96" i="1"/>
  <c r="AT96" i="1"/>
  <c r="AV95" i="1"/>
  <c r="AU95" i="1"/>
  <c r="AT95" i="1"/>
  <c r="AV94" i="1"/>
  <c r="AU94" i="1"/>
  <c r="AV93" i="1"/>
  <c r="AU93" i="1"/>
  <c r="AV92" i="1"/>
  <c r="AU92" i="1"/>
  <c r="AV91" i="1"/>
  <c r="AU91" i="1"/>
  <c r="AT91" i="1"/>
  <c r="AV90" i="1"/>
  <c r="AU90" i="1"/>
  <c r="AV89" i="1"/>
  <c r="AU89" i="1"/>
  <c r="AV88" i="1"/>
  <c r="AU88" i="1"/>
  <c r="AV87" i="1"/>
  <c r="AU87" i="1"/>
  <c r="AV86" i="1"/>
  <c r="AU86" i="1"/>
  <c r="AV85" i="1"/>
  <c r="AU85" i="1"/>
  <c r="AT85" i="1"/>
  <c r="AV84" i="1"/>
  <c r="AU84" i="1"/>
  <c r="AV83" i="1"/>
  <c r="AU83" i="1"/>
  <c r="AV82" i="1"/>
  <c r="AU82" i="1"/>
  <c r="AT82" i="1"/>
  <c r="AV81" i="1"/>
  <c r="AU81" i="1"/>
  <c r="AV80" i="1"/>
  <c r="AU80" i="1"/>
  <c r="AV79" i="1"/>
  <c r="AU79" i="1"/>
  <c r="AV78" i="1"/>
  <c r="AU78" i="1"/>
  <c r="AV77" i="1"/>
  <c r="AU77" i="1"/>
  <c r="AT77" i="1"/>
  <c r="AV76" i="1"/>
  <c r="AU76" i="1"/>
  <c r="AV75" i="1"/>
  <c r="AU75" i="1"/>
  <c r="AV74" i="1"/>
  <c r="AU74" i="1"/>
  <c r="AT74" i="1"/>
  <c r="AV73" i="1"/>
  <c r="AU73" i="1"/>
  <c r="AV72" i="1"/>
  <c r="AU72" i="1"/>
  <c r="AV71" i="1"/>
  <c r="AU71" i="1"/>
  <c r="AV70" i="1"/>
  <c r="AU70" i="1"/>
  <c r="AT70" i="1"/>
  <c r="AV69" i="1"/>
  <c r="AU69" i="1"/>
  <c r="AT69" i="1"/>
  <c r="AV68" i="1"/>
  <c r="AU68" i="1"/>
  <c r="AV67" i="1"/>
  <c r="AU67" i="1"/>
  <c r="AV66" i="1"/>
  <c r="AU66" i="1"/>
  <c r="AT66" i="1"/>
  <c r="AV65" i="1"/>
  <c r="AU65" i="1"/>
  <c r="AV64" i="1"/>
  <c r="AU64" i="1"/>
  <c r="AV63" i="1"/>
  <c r="AU63" i="1"/>
  <c r="AT63" i="1"/>
  <c r="AV62" i="1"/>
  <c r="AU62" i="1"/>
  <c r="AV61" i="1"/>
  <c r="AU61" i="1"/>
  <c r="AT61" i="1"/>
  <c r="AV60" i="1"/>
  <c r="AU60" i="1"/>
  <c r="AT60" i="1"/>
  <c r="AV59" i="1"/>
  <c r="AU59" i="1"/>
  <c r="AV58" i="1"/>
  <c r="AU58" i="1"/>
  <c r="AT58" i="1"/>
  <c r="AV57" i="1"/>
  <c r="AU57" i="1"/>
  <c r="AT57" i="1"/>
  <c r="AV56" i="1"/>
  <c r="AU56" i="1"/>
  <c r="AT56" i="1"/>
  <c r="AV55" i="1"/>
  <c r="AU55" i="1"/>
  <c r="AV54" i="1"/>
  <c r="AU54" i="1"/>
  <c r="AT54" i="1"/>
  <c r="AV53" i="1"/>
  <c r="AU53" i="1"/>
  <c r="AT53" i="1"/>
  <c r="AV52" i="1"/>
  <c r="AU52" i="1"/>
  <c r="AV51" i="1"/>
  <c r="AU51" i="1"/>
  <c r="AT51" i="1"/>
  <c r="AV50" i="1"/>
  <c r="AU50" i="1"/>
  <c r="AV49" i="1"/>
  <c r="AU49" i="1"/>
  <c r="AV48" i="1"/>
  <c r="AU48" i="1"/>
  <c r="AT48" i="1"/>
  <c r="AV47" i="1"/>
  <c r="AU47" i="1"/>
  <c r="AT47" i="1"/>
  <c r="AV46" i="1"/>
  <c r="AU46" i="1"/>
  <c r="AT46" i="1"/>
  <c r="AV45" i="1"/>
  <c r="AU45" i="1"/>
  <c r="AV44" i="1"/>
  <c r="AU44" i="1"/>
  <c r="AT44" i="1"/>
  <c r="AV43" i="1"/>
  <c r="AU43" i="1"/>
  <c r="AV42" i="1"/>
  <c r="AU42" i="1"/>
  <c r="AT42" i="1"/>
  <c r="AV41" i="1"/>
  <c r="AU41" i="1"/>
  <c r="AT41" i="1"/>
  <c r="AV40" i="1"/>
  <c r="AU40" i="1"/>
  <c r="AT40" i="1"/>
  <c r="AV39" i="1"/>
  <c r="AU39" i="1"/>
  <c r="AT39" i="1"/>
  <c r="AV38" i="1"/>
  <c r="AU38" i="1"/>
  <c r="AT38" i="1"/>
  <c r="AV37" i="1"/>
  <c r="AU37" i="1"/>
  <c r="AT37" i="1"/>
  <c r="AV36" i="1"/>
  <c r="AU36" i="1"/>
  <c r="AV35" i="1"/>
  <c r="AU35" i="1"/>
  <c r="AT35" i="1"/>
  <c r="AV34" i="1"/>
  <c r="AU34" i="1"/>
  <c r="AV33" i="1"/>
  <c r="AU33" i="1"/>
  <c r="AT33" i="1"/>
  <c r="AV32" i="1"/>
  <c r="AU32" i="1"/>
  <c r="AT32" i="1"/>
  <c r="AV31" i="1"/>
  <c r="AU31" i="1"/>
  <c r="AT31" i="1"/>
  <c r="AV30" i="1"/>
  <c r="AU30" i="1"/>
  <c r="AT30" i="1"/>
  <c r="AV29" i="1"/>
  <c r="AU29" i="1"/>
  <c r="AT29" i="1"/>
  <c r="AV28" i="1"/>
  <c r="AU28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V21" i="1"/>
  <c r="AU21" i="1"/>
  <c r="AT21" i="1"/>
  <c r="AV20" i="1"/>
  <c r="AU20" i="1"/>
  <c r="AT20" i="1"/>
  <c r="AV19" i="1"/>
  <c r="AU19" i="1"/>
  <c r="AV18" i="1"/>
  <c r="AU18" i="1"/>
  <c r="AT18" i="1"/>
  <c r="AV17" i="1"/>
  <c r="AU17" i="1"/>
  <c r="AT17" i="1"/>
  <c r="AV16" i="1"/>
  <c r="AU16" i="1"/>
  <c r="AT16" i="1"/>
  <c r="AV15" i="1"/>
  <c r="AU15" i="1"/>
  <c r="AT15" i="1"/>
  <c r="AV14" i="1"/>
  <c r="AU14" i="1"/>
  <c r="AT14" i="1"/>
  <c r="AV13" i="1"/>
  <c r="AU13" i="1"/>
  <c r="AV12" i="1"/>
  <c r="AU12" i="1"/>
  <c r="AT12" i="1"/>
  <c r="AV11" i="1"/>
  <c r="AU11" i="1"/>
  <c r="AT11" i="1"/>
  <c r="AV10" i="1"/>
  <c r="AU10" i="1"/>
  <c r="AV9" i="1"/>
  <c r="AU9" i="1"/>
  <c r="AV8" i="1"/>
  <c r="AU8" i="1"/>
  <c r="AV7" i="1"/>
  <c r="AU7" i="1"/>
  <c r="AV6" i="1"/>
  <c r="AU6" i="1"/>
  <c r="AV5" i="1"/>
  <c r="AU5" i="1"/>
  <c r="AV4" i="1"/>
  <c r="AU4" i="1"/>
  <c r="AT4" i="1"/>
  <c r="AV3" i="1"/>
  <c r="AU3" i="1"/>
  <c r="AT3" i="1"/>
  <c r="AV2" i="1"/>
  <c r="AU2" i="1"/>
</calcChain>
</file>

<file path=xl/sharedStrings.xml><?xml version="1.0" encoding="utf-8"?>
<sst xmlns="http://schemas.openxmlformats.org/spreadsheetml/2006/main" count="20927" uniqueCount="8447">
  <si>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</si>
  <si>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</si>
  <si>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</si>
  <si>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</si>
  <si>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</si>
  <si>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</si>
  <si>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</si>
  <si>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</si>
  <si>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</si>
  <si>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</si>
  <si>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</si>
  <si>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</si>
  <si>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</si>
  <si>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</si>
  <si>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</si>
  <si>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</si>
  <si>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</si>
  <si>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</si>
  <si>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</si>
  <si>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</si>
  <si>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</si>
  <si>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</si>
  <si>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</si>
  <si>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</si>
  <si>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</si>
  <si>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</si>
  <si>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</si>
  <si>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</si>
  <si>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</si>
  <si>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</si>
  <si>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</si>
  <si>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</si>
  <si>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 xml:space="preserve">All Comparator Library Holdings 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</si>
  <si>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</si>
  <si>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</si>
  <si>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</si>
  <si>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</si>
  <si>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</si>
  <si>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</si>
  <si>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</si>
  <si>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</si>
  <si>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</si>
  <si>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</si>
  <si>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</si>
  <si>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</si>
  <si>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</si>
  <si>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</si>
  <si>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</si>
  <si>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</si>
  <si>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</si>
  <si>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</si>
  <si>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</si>
  <si>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</si>
  <si>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</si>
  <si>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</si>
  <si>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</si>
  <si>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</si>
  <si>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</si>
  <si>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CUHSL</t>
  </si>
  <si>
    <t>SHELVES</t>
  </si>
  <si>
    <t>QV S793p 1911</t>
  </si>
  <si>
    <t>0                      QV 0000000S  793p        1911</t>
  </si>
  <si>
    <t>Aids to practical pharmacy for medical students / Arthur C. L. Stark.</t>
  </si>
  <si>
    <t>No</t>
  </si>
  <si>
    <t>1</t>
  </si>
  <si>
    <t>0</t>
  </si>
  <si>
    <t>Stark, Arthur Campbell.</t>
  </si>
  <si>
    <t>London : Baillière, Tindall &amp; Cox, 1913, c1911.</t>
  </si>
  <si>
    <t>1911</t>
  </si>
  <si>
    <t>2d ed.</t>
  </si>
  <si>
    <t>eng</t>
  </si>
  <si>
    <t>lau</t>
  </si>
  <si>
    <t xml:space="preserve">QV </t>
  </si>
  <si>
    <t>1992-03-27</t>
  </si>
  <si>
    <t>1988-01-27</t>
  </si>
  <si>
    <t>8929660:eng</t>
  </si>
  <si>
    <t>14795894</t>
  </si>
  <si>
    <t>991000911909702656</t>
  </si>
  <si>
    <t>2264913140002656</t>
  </si>
  <si>
    <t>BOOK</t>
  </si>
  <si>
    <t>30001000178642</t>
  </si>
  <si>
    <t>893560767</t>
  </si>
  <si>
    <t>QV 4 A839p 1987</t>
  </si>
  <si>
    <t>0                      QV 0004000A  839p        1987</t>
  </si>
  <si>
    <t>Pharmacology, an introductory text / Mary Kaye Asperheim.</t>
  </si>
  <si>
    <t>Asperheim, Mary Kaye.</t>
  </si>
  <si>
    <t>Philadelphia : Saunders, c1987.</t>
  </si>
  <si>
    <t>1987</t>
  </si>
  <si>
    <t>6th ed.</t>
  </si>
  <si>
    <t>xxu</t>
  </si>
  <si>
    <t>2001-09-13</t>
  </si>
  <si>
    <t>1987-09-27</t>
  </si>
  <si>
    <t>Yes</t>
  </si>
  <si>
    <t>7790785:eng</t>
  </si>
  <si>
    <t>14188822</t>
  </si>
  <si>
    <t>991000747119702656</t>
  </si>
  <si>
    <t>2267109610002656</t>
  </si>
  <si>
    <t>9780721621524</t>
  </si>
  <si>
    <t>30001000046039</t>
  </si>
  <si>
    <t>893735501</t>
  </si>
  <si>
    <t>QV 4 A839pa 1985</t>
  </si>
  <si>
    <t>0                      QV 0004000A  839pa       1985</t>
  </si>
  <si>
    <t>Pharmacologic basis of patient care / Mary K. Asperheim.</t>
  </si>
  <si>
    <t>Philadelphia : Saunders, c1985.</t>
  </si>
  <si>
    <t>1985</t>
  </si>
  <si>
    <t>5th ed.</t>
  </si>
  <si>
    <t>1990-09-16</t>
  </si>
  <si>
    <t>1556522:eng</t>
  </si>
  <si>
    <t>11030357</t>
  </si>
  <si>
    <t>991000747169702656</t>
  </si>
  <si>
    <t>2260937400002656</t>
  </si>
  <si>
    <t>9780721612294</t>
  </si>
  <si>
    <t>30001000046047</t>
  </si>
  <si>
    <t>893286952</t>
  </si>
  <si>
    <t>QV 4 B3102 1982</t>
  </si>
  <si>
    <t>0                      QV 0004000B  3102        1982</t>
  </si>
  <si>
    <t>Basic &amp; clinical pharmacology / edited by Bertram G. Katzung.</t>
  </si>
  <si>
    <t>3</t>
  </si>
  <si>
    <t>Los Altos, Calif. : Lange Medical Publications, c1982.</t>
  </si>
  <si>
    <t>1982</t>
  </si>
  <si>
    <t>Concise medical library for practitioner and student</t>
  </si>
  <si>
    <t>2008-10-19</t>
  </si>
  <si>
    <t>1077434938:eng</t>
  </si>
  <si>
    <t>9033464</t>
  </si>
  <si>
    <t>991000914819702656</t>
  </si>
  <si>
    <t>2264775110002656</t>
  </si>
  <si>
    <t>9780870412608</t>
  </si>
  <si>
    <t>30001000179145</t>
  </si>
  <si>
    <t>893284111</t>
  </si>
  <si>
    <t>QV 4 B3102 1992</t>
  </si>
  <si>
    <t>0                      QV 0004000B  3102        1992</t>
  </si>
  <si>
    <t>Norwalk, Conn. : Appleton &amp; Lange, c1992.</t>
  </si>
  <si>
    <t>1992</t>
  </si>
  <si>
    <t>ctu</t>
  </si>
  <si>
    <t>2009-01-14</t>
  </si>
  <si>
    <t>1992-06-05</t>
  </si>
  <si>
    <t>25662331</t>
  </si>
  <si>
    <t>991001305969702656</t>
  </si>
  <si>
    <t>2270159810002656</t>
  </si>
  <si>
    <t>9780838505625</t>
  </si>
  <si>
    <t>30001002413856</t>
  </si>
  <si>
    <t>893121390</t>
  </si>
  <si>
    <t>QV 4 B3102 1995</t>
  </si>
  <si>
    <t>0                      QV 0004000B  3102        1995</t>
  </si>
  <si>
    <t>Norwalk, Conn. : Appleton &amp; Lange, c1995.</t>
  </si>
  <si>
    <t>1995</t>
  </si>
  <si>
    <t>1995-05-11</t>
  </si>
  <si>
    <t>31430586</t>
  </si>
  <si>
    <t>991001400229702656</t>
  </si>
  <si>
    <t>2255167220002656</t>
  </si>
  <si>
    <t>9780838506196</t>
  </si>
  <si>
    <t>30001003147735</t>
  </si>
  <si>
    <t>893643545</t>
  </si>
  <si>
    <t>QV 4 B311 1982</t>
  </si>
  <si>
    <t>0                      QV 0004000B  311         1982</t>
  </si>
  <si>
    <t>Basic pharmacology in medicine / Joseph R. DiPalma, editor.</t>
  </si>
  <si>
    <t>New York : McGraw-Hill, c1981.</t>
  </si>
  <si>
    <t>2nd ed.</t>
  </si>
  <si>
    <t>1993-11-28</t>
  </si>
  <si>
    <t>1989-12-19</t>
  </si>
  <si>
    <t>3372565143:eng</t>
  </si>
  <si>
    <t>7716677</t>
  </si>
  <si>
    <t>991000522669702656</t>
  </si>
  <si>
    <t>2270621000002656</t>
  </si>
  <si>
    <t>9780070170117</t>
  </si>
  <si>
    <t>30001001323809</t>
  </si>
  <si>
    <t>893729430</t>
  </si>
  <si>
    <t>QV 4 B477m 1983</t>
  </si>
  <si>
    <t>0                      QV 0004000B  477m        1983</t>
  </si>
  <si>
    <t>Medical pharmacology / by Peter J. Bentley.</t>
  </si>
  <si>
    <t>Bentley, P. J.</t>
  </si>
  <si>
    <t>New Hyde Park, N.Y. : Medical Examination Pub. Co., c1983.</t>
  </si>
  <si>
    <t>1983</t>
  </si>
  <si>
    <t>Medical outline series</t>
  </si>
  <si>
    <t>1999-07-22</t>
  </si>
  <si>
    <t>4724448:eng</t>
  </si>
  <si>
    <t>8688632</t>
  </si>
  <si>
    <t>991000914019702656</t>
  </si>
  <si>
    <t>2272561360002656</t>
  </si>
  <si>
    <t>9780874881844</t>
  </si>
  <si>
    <t>30001000179103</t>
  </si>
  <si>
    <t>893815912</t>
  </si>
  <si>
    <t>QV 4 C5678e 1982</t>
  </si>
  <si>
    <t>0                      QV 0004000C  5678e       1982</t>
  </si>
  <si>
    <t>Essentials of pharmacology / Margaret M. Cibulskis ; consultant, Freddy A. Grimm.</t>
  </si>
  <si>
    <t>Lannon, Margaret C.</t>
  </si>
  <si>
    <t>Philadelphia : Lippincott, c1982.</t>
  </si>
  <si>
    <t>28918236:eng</t>
  </si>
  <si>
    <t>7577473</t>
  </si>
  <si>
    <t>991000913629702656</t>
  </si>
  <si>
    <t>2258670210002656</t>
  </si>
  <si>
    <t>30001000178998</t>
  </si>
  <si>
    <t>893278459</t>
  </si>
  <si>
    <t>QV 4 C596g 1991</t>
  </si>
  <si>
    <t>0                      QV 0004000C  596g        1991</t>
  </si>
  <si>
    <t>Goth's medical pharamacology.</t>
  </si>
  <si>
    <t>Clark, Wesley G.</t>
  </si>
  <si>
    <t>St. Louis : Mosby-Year Book, c1991.</t>
  </si>
  <si>
    <t>1991</t>
  </si>
  <si>
    <t>13th ed. / Wesley G. Clark, D. Craig Brater, Alice R. Johnson.</t>
  </si>
  <si>
    <t>mou</t>
  </si>
  <si>
    <t>2000-04-24</t>
  </si>
  <si>
    <t>1992-02-13</t>
  </si>
  <si>
    <t>5574040247:eng</t>
  </si>
  <si>
    <t>24106311</t>
  </si>
  <si>
    <t>991001032679702656</t>
  </si>
  <si>
    <t>2255925550002656</t>
  </si>
  <si>
    <t>9780801609534</t>
  </si>
  <si>
    <t>30001002244111</t>
  </si>
  <si>
    <t>893267999</t>
  </si>
  <si>
    <t>QV 4 C622m 1984</t>
  </si>
  <si>
    <t>0                      QV 0004000C  622m        1984</t>
  </si>
  <si>
    <t>Mosby's handbook of pharmacology in nursing.</t>
  </si>
  <si>
    <t>Clayton, Bruce D., 1947-</t>
  </si>
  <si>
    <t>St. Louis : Mosby, 1984.</t>
  </si>
  <si>
    <t>1984</t>
  </si>
  <si>
    <t>3rd ed. / Bruce D. Clayton.</t>
  </si>
  <si>
    <t>1991-09-16</t>
  </si>
  <si>
    <t>8494398:eng</t>
  </si>
  <si>
    <t>9757786</t>
  </si>
  <si>
    <t>991000747219702656</t>
  </si>
  <si>
    <t>2271396820002656</t>
  </si>
  <si>
    <t>9780801642432</t>
  </si>
  <si>
    <t>30001000046088</t>
  </si>
  <si>
    <t>893735502</t>
  </si>
  <si>
    <t>QV 4 D793 1997</t>
  </si>
  <si>
    <t>0                      QV 0004000D  793         1997</t>
  </si>
  <si>
    <t>Avery's drug treatment : a guide to the properties, choice, therapeutic use and economic value of drugs in disease management / edited by Trevor M. Speight and Nicholas H.G. Holford.</t>
  </si>
  <si>
    <t>Auckland, N.Z. ; Chester [Eng.] ; Philadelphia : Adis International, c1997.</t>
  </si>
  <si>
    <t>1997</t>
  </si>
  <si>
    <t>4th ed.</t>
  </si>
  <si>
    <t xml:space="preserve">nz </t>
  </si>
  <si>
    <t>1997-06-09</t>
  </si>
  <si>
    <t>1997-04-29</t>
  </si>
  <si>
    <t>8981643079:eng</t>
  </si>
  <si>
    <t>36719740</t>
  </si>
  <si>
    <t>991001047369702656</t>
  </si>
  <si>
    <t>2270628730002656</t>
  </si>
  <si>
    <t>9780864710369</t>
  </si>
  <si>
    <t>30001003585017</t>
  </si>
  <si>
    <t>893273628</t>
  </si>
  <si>
    <t>QV 4 E21p 1992</t>
  </si>
  <si>
    <t>0                      QV 0004000E  21p         1992</t>
  </si>
  <si>
    <t>Physical therapy pharmacology / Lynne Eddy.</t>
  </si>
  <si>
    <t>Eddy, Lynne.</t>
  </si>
  <si>
    <t>St. Louis : Mosby Year Book, c1992.</t>
  </si>
  <si>
    <t>2000-06-14</t>
  </si>
  <si>
    <t>1992-02-20</t>
  </si>
  <si>
    <t>26947985:eng</t>
  </si>
  <si>
    <t>24626753</t>
  </si>
  <si>
    <t>991001297399702656</t>
  </si>
  <si>
    <t>2259995200002656</t>
  </si>
  <si>
    <t>9780815130765</t>
  </si>
  <si>
    <t>30001002410290</t>
  </si>
  <si>
    <t>893161870</t>
  </si>
  <si>
    <t>QV 4 E78 1983</t>
  </si>
  <si>
    <t>0                      QV 0004000E  78          1983</t>
  </si>
  <si>
    <t>Essentials of pharmacology : introduction to the principles of drug action / editors, John A. Bevan, Jeremy H. Thompson.</t>
  </si>
  <si>
    <t>Philadelphia : Harper &amp; Row, 1983.</t>
  </si>
  <si>
    <t>3rd ed.</t>
  </si>
  <si>
    <t>pau</t>
  </si>
  <si>
    <t>2004-12-13</t>
  </si>
  <si>
    <t>1987-09-28</t>
  </si>
  <si>
    <t>836642251:eng</t>
  </si>
  <si>
    <t>9110763</t>
  </si>
  <si>
    <t>991000747259702656</t>
  </si>
  <si>
    <t>2268635940002656</t>
  </si>
  <si>
    <t>9780061404627</t>
  </si>
  <si>
    <t>30001000046096</t>
  </si>
  <si>
    <t>893283627</t>
  </si>
  <si>
    <t>QV 4 G6532 1996</t>
  </si>
  <si>
    <t>0                      QV 0004000G  6532        1996</t>
  </si>
  <si>
    <t>Goodman &amp; Gilman's the pharmacological basis of therapeutics.</t>
  </si>
  <si>
    <t>2</t>
  </si>
  <si>
    <t>New York : McGraw-Hill, Health Professions Division, c1996.</t>
  </si>
  <si>
    <t>1996</t>
  </si>
  <si>
    <t>9th ed. / Joel G. G. Hardman, Alfred Gilman, Lee L. Limbird.</t>
  </si>
  <si>
    <t>nyu</t>
  </si>
  <si>
    <t>2004-11-14</t>
  </si>
  <si>
    <t>1996-01-12</t>
  </si>
  <si>
    <t>1077519167:eng</t>
  </si>
  <si>
    <t>33008049</t>
  </si>
  <si>
    <t>991000841779702656</t>
  </si>
  <si>
    <t>2261518180002656</t>
  </si>
  <si>
    <t>9780070262669</t>
  </si>
  <si>
    <t>30001003262856</t>
  </si>
  <si>
    <t>893557328</t>
  </si>
  <si>
    <t>QV 4 G684m 1988</t>
  </si>
  <si>
    <t>0                      QV 0004000G  684m        1988</t>
  </si>
  <si>
    <t>Goth's medical pharmacology.</t>
  </si>
  <si>
    <t>Goth, Andres, 1914-1990.</t>
  </si>
  <si>
    <t>St. Louis : Mosby, c1988.</t>
  </si>
  <si>
    <t>1988</t>
  </si>
  <si>
    <t>12th ed. / Wesley G. Clark, D. Craig Brater, Alice R. Johnson.</t>
  </si>
  <si>
    <t>2004-08-24</t>
  </si>
  <si>
    <t>1990-10-05</t>
  </si>
  <si>
    <t>16682259</t>
  </si>
  <si>
    <t>991000764269702656</t>
  </si>
  <si>
    <t>2272049190002656</t>
  </si>
  <si>
    <t>9780801611674</t>
  </si>
  <si>
    <t>30001002060707</t>
  </si>
  <si>
    <t>893743359</t>
  </si>
  <si>
    <t>QV 4 H148p 1986</t>
  </si>
  <si>
    <t>0                      QV 0004000H  148p        1986</t>
  </si>
  <si>
    <t>Mosby's pharmacology in nursing / Anne Burgess Hahn, Sandy Jeanne Klarman Oestreich, Robert L. Barkin.</t>
  </si>
  <si>
    <t>Hahn, Anne Burgess.</t>
  </si>
  <si>
    <t>St. Louis : Mosby, c1986.</t>
  </si>
  <si>
    <t>1986</t>
  </si>
  <si>
    <t>16th ed.</t>
  </si>
  <si>
    <t>1997-06-24</t>
  </si>
  <si>
    <t>3855418980:eng</t>
  </si>
  <si>
    <t>12558387</t>
  </si>
  <si>
    <t>991000747329702656</t>
  </si>
  <si>
    <t>2263510630002656</t>
  </si>
  <si>
    <t>9780801620348</t>
  </si>
  <si>
    <t>30001000046120</t>
  </si>
  <si>
    <t>893651503</t>
  </si>
  <si>
    <t>QV 4 H675b 1987</t>
  </si>
  <si>
    <t>0                      QV 0004000H  675b        1987</t>
  </si>
  <si>
    <t>Basic pharmacology for health occupations / Henry Hitner, Barbara T. Nagle.</t>
  </si>
  <si>
    <t>Hitner, Henry.</t>
  </si>
  <si>
    <t>Encino, Calif. : Glencoe Publishing Co., c1987.</t>
  </si>
  <si>
    <t>cau</t>
  </si>
  <si>
    <t>1994-02-23</t>
  </si>
  <si>
    <t>325121:eng</t>
  </si>
  <si>
    <t>14548861</t>
  </si>
  <si>
    <t>991000917189702656</t>
  </si>
  <si>
    <t>2260110740002656</t>
  </si>
  <si>
    <t>9780026829403</t>
  </si>
  <si>
    <t>30001000179541</t>
  </si>
  <si>
    <t>893358008</t>
  </si>
  <si>
    <t>QV 4 H918 1991</t>
  </si>
  <si>
    <t>0                      QV 0004000H  918         1991</t>
  </si>
  <si>
    <t>Human pharmacology : molecular-to-clinical / Lemuel B. Wingard, Jr. ... [et al.].</t>
  </si>
  <si>
    <t>St. Louis : Mosby Year Book, c1991.</t>
  </si>
  <si>
    <t>2006-07-21</t>
  </si>
  <si>
    <t>1991-09-19</t>
  </si>
  <si>
    <t>836229637:eng</t>
  </si>
  <si>
    <t>22813584</t>
  </si>
  <si>
    <t>991001016879702656</t>
  </si>
  <si>
    <t>2254758860002656</t>
  </si>
  <si>
    <t>9780801656323</t>
  </si>
  <si>
    <t>30001002240846</t>
  </si>
  <si>
    <t>893552051</t>
  </si>
  <si>
    <t>QV4 H918 1998</t>
  </si>
  <si>
    <t>0                      QV 0004000H  918         1998</t>
  </si>
  <si>
    <t>Human pharmacology : molecular to clinical / [edited by] Theodore M. Brody, Joseph Larner, Kenneth P. Minneman.</t>
  </si>
  <si>
    <t>St. Louis : Mosby, c1998.</t>
  </si>
  <si>
    <t>1998</t>
  </si>
  <si>
    <t>2006-10-03</t>
  </si>
  <si>
    <t>2002-07-09</t>
  </si>
  <si>
    <t>5091321901:eng</t>
  </si>
  <si>
    <t>37180371</t>
  </si>
  <si>
    <t>991000324069702656</t>
  </si>
  <si>
    <t>2269908280002656</t>
  </si>
  <si>
    <t>9780815124566</t>
  </si>
  <si>
    <t>30001004443133</t>
  </si>
  <si>
    <t>893827376</t>
  </si>
  <si>
    <t>QV4 H918 2005</t>
  </si>
  <si>
    <t>0                      QV 0004000H  918         2005</t>
  </si>
  <si>
    <t>Brody's human pharmacology : molecular to clinical / editors, Kenneth P. Minneman, Lynn Wecker ; consulting editors, Joseph Larner, Theodrore M. Brody.</t>
  </si>
  <si>
    <t>Philadelphia, Pa. : Elsvier Mosby, c2005.</t>
  </si>
  <si>
    <t>2005</t>
  </si>
  <si>
    <t>2010-01-03</t>
  </si>
  <si>
    <t>2006-01-12</t>
  </si>
  <si>
    <t>3856760257:eng</t>
  </si>
  <si>
    <t>58526990</t>
  </si>
  <si>
    <t>991000455189702656</t>
  </si>
  <si>
    <t>2258172700002656</t>
  </si>
  <si>
    <t>9780323032865</t>
  </si>
  <si>
    <t>30001004912467</t>
  </si>
  <si>
    <t>893817111</t>
  </si>
  <si>
    <t>QV 4 I58 1986 sec.120</t>
  </si>
  <si>
    <t>0                      QV 0004000I  58          1986                                        sec.120</t>
  </si>
  <si>
    <t>Methods of drug delivery / section editor, Garret M. Ihler.</t>
  </si>
  <si>
    <t>Oxford ; New York : Pergamon Press, 1986.</t>
  </si>
  <si>
    <t>1st ed.</t>
  </si>
  <si>
    <t>enk</t>
  </si>
  <si>
    <t>International encyclopedia of pharmacology and therapeutics ; section 120</t>
  </si>
  <si>
    <t>1988-10-04</t>
  </si>
  <si>
    <t>1988-08-25</t>
  </si>
  <si>
    <t>5304485:eng</t>
  </si>
  <si>
    <t>12345052</t>
  </si>
  <si>
    <t>991001422879702656</t>
  </si>
  <si>
    <t>2260670860002656</t>
  </si>
  <si>
    <t>9780080320113</t>
  </si>
  <si>
    <t>30001001182957</t>
  </si>
  <si>
    <t>893287411</t>
  </si>
  <si>
    <t>QV 4 I58 1987 sec.127</t>
  </si>
  <si>
    <t>0                      QV 0004000I  58          1987                                        sec.127</t>
  </si>
  <si>
    <t>Antibiotic inhibitors of bacterial cell wall biosynthesis / section editor, Donald J. Tipper.</t>
  </si>
  <si>
    <t>Oxford ; New York : Pergamon Press, c1987.</t>
  </si>
  <si>
    <t>International encyclopedia of pharmacology and therapeutics ; section 127</t>
  </si>
  <si>
    <t>1998-10-11</t>
  </si>
  <si>
    <t>1988-05-10</t>
  </si>
  <si>
    <t>659188513:eng</t>
  </si>
  <si>
    <t>16404880</t>
  </si>
  <si>
    <t>991001190569702656</t>
  </si>
  <si>
    <t>2263586440002656</t>
  </si>
  <si>
    <t>9780080361307</t>
  </si>
  <si>
    <t>30001000979239</t>
  </si>
  <si>
    <t>893831987</t>
  </si>
  <si>
    <t>QV 4 I58 1990 sect.130</t>
  </si>
  <si>
    <t>0                      QV 0004000I  58          1990                                        sect.130</t>
  </si>
  <si>
    <t>Psychotropic drugs of abuse / specialist subject editor, D.J.K. Balfour.</t>
  </si>
  <si>
    <t>sect.130*</t>
  </si>
  <si>
    <t>New York : Pergamon Press, c1990.</t>
  </si>
  <si>
    <t>1990</t>
  </si>
  <si>
    <t>International encyclopedia of pharmacology and therapeutics ; section 130</t>
  </si>
  <si>
    <t>1997-11-19</t>
  </si>
  <si>
    <t>1990-08-09</t>
  </si>
  <si>
    <t>659188520:eng</t>
  </si>
  <si>
    <t>19510803</t>
  </si>
  <si>
    <t>991001452549702656</t>
  </si>
  <si>
    <t>2255676170002656</t>
  </si>
  <si>
    <t>9780080368511</t>
  </si>
  <si>
    <t>30001001883653</t>
  </si>
  <si>
    <t>893369410</t>
  </si>
  <si>
    <t>QV 4 I618t 1988</t>
  </si>
  <si>
    <t>0                      QV 0004000I  618t        1988</t>
  </si>
  <si>
    <t>Trends in medicinal chemistry '88 : proceedings of the Xth International Symposium on Medicinal Chemistry, Budapest, 15-19 August 1988 / edited by H. van der Goot ... [et al.].</t>
  </si>
  <si>
    <t>International Symposium on Medicinal Chemistry (10th : 1988 : Budapest, Hungary)</t>
  </si>
  <si>
    <t>Amsterdam ; New York : Elsevier, c1989.</t>
  </si>
  <si>
    <t>1989</t>
  </si>
  <si>
    <t xml:space="preserve">ne </t>
  </si>
  <si>
    <t>Pharmacochemistry library ; v. 12</t>
  </si>
  <si>
    <t>1990-03-07</t>
  </si>
  <si>
    <t>1989-07-17</t>
  </si>
  <si>
    <t>21354981:eng</t>
  </si>
  <si>
    <t>19514833</t>
  </si>
  <si>
    <t>991001254219702656</t>
  </si>
  <si>
    <t>2258743150002656</t>
  </si>
  <si>
    <t>9780444873804</t>
  </si>
  <si>
    <t>30001001679820</t>
  </si>
  <si>
    <t>893467872</t>
  </si>
  <si>
    <t>QV4 K26p 2003</t>
  </si>
  <si>
    <t>0                      QV 0004000K  26p         2003</t>
  </si>
  <si>
    <t>Pharmacology : a nursing process approach / Joyce LeFever Kee, Evelyn R. Hayes.</t>
  </si>
  <si>
    <t>Kee, Joyce LeFever.</t>
  </si>
  <si>
    <t>Philadelphia : Saunders, c2003.</t>
  </si>
  <si>
    <t>2003</t>
  </si>
  <si>
    <t>2004-06-10</t>
  </si>
  <si>
    <t>2003-06-09</t>
  </si>
  <si>
    <t>5945800:eng</t>
  </si>
  <si>
    <t>50002945</t>
  </si>
  <si>
    <t>991001723059702656</t>
  </si>
  <si>
    <t>2270578670002656</t>
  </si>
  <si>
    <t>9780721693453</t>
  </si>
  <si>
    <t>30001004501278</t>
  </si>
  <si>
    <t>893736819</t>
  </si>
  <si>
    <t>QV 4 K26p 2009</t>
  </si>
  <si>
    <t>0                      QV 0004000K  26p         2009</t>
  </si>
  <si>
    <t>Pharmacology : a nursing process approach / Joyce LeFever Kee, Evelyn R. Hayes, Linda E. McCuistion.</t>
  </si>
  <si>
    <t>[St. Louis, Mo.] : Saunders, c2009.</t>
  </si>
  <si>
    <t>2009</t>
  </si>
  <si>
    <t>2009-04-30</t>
  </si>
  <si>
    <t>2009-04-29</t>
  </si>
  <si>
    <t>225874498</t>
  </si>
  <si>
    <t>991001459249702656</t>
  </si>
  <si>
    <t>2267871170002656</t>
  </si>
  <si>
    <t>9781416046639</t>
  </si>
  <si>
    <t>30001004916070</t>
  </si>
  <si>
    <t>893268531</t>
  </si>
  <si>
    <t>QV 4 K89p 1972</t>
  </si>
  <si>
    <t>0                      QV 0004000K  89p         1972</t>
  </si>
  <si>
    <t>Krantz and Carr's Pharmacologic principles of medical practice : a textbook on pharmacology and therapeutics for students and practitioners of medicine, pharmacy, and dentistry / [by] Domingo M. Aviado. Foreword by Alfred Gellhorn. Appendix by Harry Salem.</t>
  </si>
  <si>
    <t>Krantz, John C. (John Christian), 1899-1983.</t>
  </si>
  <si>
    <t>Baltimore : Williams &amp; Wilkins, [1972]</t>
  </si>
  <si>
    <t>1972</t>
  </si>
  <si>
    <t>8th ed.</t>
  </si>
  <si>
    <t>mdu</t>
  </si>
  <si>
    <t>2000-01-20</t>
  </si>
  <si>
    <t>1988-01-20</t>
  </si>
  <si>
    <t>3858104439:eng</t>
  </si>
  <si>
    <t>524452</t>
  </si>
  <si>
    <t>991000917849702656</t>
  </si>
  <si>
    <t>2260993390002656</t>
  </si>
  <si>
    <t>30001000179913</t>
  </si>
  <si>
    <t>893826176</t>
  </si>
  <si>
    <t>QV4 L523p 2004</t>
  </si>
  <si>
    <t>0                      QV 0004000L  523p        2004</t>
  </si>
  <si>
    <t>Pharmacology for nursing care / Richard A. Lehne, in consultation with Linda A. Moore, Leanna J. Crosby, Diane B. Hamilton.</t>
  </si>
  <si>
    <t>Lehne, Richard A., 1943-</t>
  </si>
  <si>
    <t>St. Louis, Mo. : Saunders, c2004.</t>
  </si>
  <si>
    <t>2004</t>
  </si>
  <si>
    <t>2007-06-01</t>
  </si>
  <si>
    <t>2004-01-21</t>
  </si>
  <si>
    <t>731798:eng</t>
  </si>
  <si>
    <t>53954891</t>
  </si>
  <si>
    <t>991001725529702656</t>
  </si>
  <si>
    <t>2256726250002656</t>
  </si>
  <si>
    <t>9780721698434</t>
  </si>
  <si>
    <t>30001004508596</t>
  </si>
  <si>
    <t>893460886</t>
  </si>
  <si>
    <t>QV 4 L729p 1996</t>
  </si>
  <si>
    <t>0                      QV 0004000L  729p        1996</t>
  </si>
  <si>
    <t>Pharmacology and the nursing process / Linda Lane Lilley, Robert S. Aucker, Joseph A. Albanese ; with contributions by Richard E. Lake, Carol Ruscin.</t>
  </si>
  <si>
    <t>Lilley, Linda Lane.</t>
  </si>
  <si>
    <t>St. Louis : Mosby, c1996.</t>
  </si>
  <si>
    <t>2005-11-16</t>
  </si>
  <si>
    <t>1997-01-17</t>
  </si>
  <si>
    <t>897295:eng</t>
  </si>
  <si>
    <t>33439085</t>
  </si>
  <si>
    <t>991001552189702656</t>
  </si>
  <si>
    <t>2261968530002656</t>
  </si>
  <si>
    <t>9780801678936</t>
  </si>
  <si>
    <t>30001003474170</t>
  </si>
  <si>
    <t>893546814</t>
  </si>
  <si>
    <t>QV 4 M259p 1995</t>
  </si>
  <si>
    <t>0                      QV 0004000M  259p        1995</t>
  </si>
  <si>
    <t>Pharmacology : drug therapy and nursing considerations / Roger T. Malseed, Frederick J. Goldstein, Nancy Balkon.</t>
  </si>
  <si>
    <t>Malseed, Roger T. (Roger Thomas)</t>
  </si>
  <si>
    <t>Philadelphia : Lippincott, c1995.</t>
  </si>
  <si>
    <t>2004-10-15</t>
  </si>
  <si>
    <t>1996-09-10</t>
  </si>
  <si>
    <t>3837496:eng</t>
  </si>
  <si>
    <t>31076972</t>
  </si>
  <si>
    <t>991001769159702656</t>
  </si>
  <si>
    <t>2271740410002656</t>
  </si>
  <si>
    <t>9780397550616</t>
  </si>
  <si>
    <t>30001003441682</t>
  </si>
  <si>
    <t>893816674</t>
  </si>
  <si>
    <t>QV 4 M478m 1998</t>
  </si>
  <si>
    <t>0                      QV 0004000M  478m        1998</t>
  </si>
  <si>
    <t>Mosby's pharmacology in nursing / Leda M. McKenry, Evelyn Salerno.</t>
  </si>
  <si>
    <t>McKenry, Leda M.</t>
  </si>
  <si>
    <t>St. Louis, Mo. : Mosby, c1998.</t>
  </si>
  <si>
    <t>20th ed.</t>
  </si>
  <si>
    <t>1998-04-14</t>
  </si>
  <si>
    <t>4928562265:eng</t>
  </si>
  <si>
    <t>40517045</t>
  </si>
  <si>
    <t>991001564509702656</t>
  </si>
  <si>
    <t>2271752040002656</t>
  </si>
  <si>
    <t>9780815145158</t>
  </si>
  <si>
    <t>30001004051290</t>
  </si>
  <si>
    <t>893168272</t>
  </si>
  <si>
    <t>QV4  M478M 2006 &amp; WORKBOOK</t>
  </si>
  <si>
    <t>0                      QV 0004000M  478M        2006                                        &amp; WORKBOOK</t>
  </si>
  <si>
    <t>Mosby's pharmacology in nursing / Leda McKenry, Ed Tessier, MaryAnn Hogan.</t>
  </si>
  <si>
    <t>St. Louis, Mo. : Elsevier Mosby, c2006.</t>
  </si>
  <si>
    <t>2006</t>
  </si>
  <si>
    <t>22nd ed.</t>
  </si>
  <si>
    <t>2007-01-24</t>
  </si>
  <si>
    <t>2006-03-30</t>
  </si>
  <si>
    <t>65195229</t>
  </si>
  <si>
    <t>991001738269702656</t>
  </si>
  <si>
    <t>2264524000002656</t>
  </si>
  <si>
    <t>9780323030083</t>
  </si>
  <si>
    <t>30001005126349</t>
  </si>
  <si>
    <t>893374972</t>
  </si>
  <si>
    <t>QV 4 M6895 1994</t>
  </si>
  <si>
    <t>0                      QV 0004000M  6895        1994</t>
  </si>
  <si>
    <t>Modern pharmacology / edited by Charles R. Craig, Robert E. Stitzel.</t>
  </si>
  <si>
    <t>Boston : Little, Brown, c1994.</t>
  </si>
  <si>
    <t>1994</t>
  </si>
  <si>
    <t>mau</t>
  </si>
  <si>
    <t>2004-11-05</t>
  </si>
  <si>
    <t>1994-08-04</t>
  </si>
  <si>
    <t>350527569:eng</t>
  </si>
  <si>
    <t>28929399</t>
  </si>
  <si>
    <t>991001119779702656</t>
  </si>
  <si>
    <t>2270676410002656</t>
  </si>
  <si>
    <t>9780316159326</t>
  </si>
  <si>
    <t>30001002950196</t>
  </si>
  <si>
    <t>893161693</t>
  </si>
  <si>
    <t>QV4 M6898 2004</t>
  </si>
  <si>
    <t>0                      QV 0004000M  6898        2004</t>
  </si>
  <si>
    <t>Modern pharmacology with clinical applications / edited by Charles R. Craig, Robert E. Stitzel.</t>
  </si>
  <si>
    <t>Philadelphia : Lippincott Williams &amp; Wilkins, c2004.</t>
  </si>
  <si>
    <t>2007-11-28</t>
  </si>
  <si>
    <t>2005-11-09</t>
  </si>
  <si>
    <t>350365446:eng</t>
  </si>
  <si>
    <t>51258187</t>
  </si>
  <si>
    <t>991000448159702656</t>
  </si>
  <si>
    <t>2268284680002656</t>
  </si>
  <si>
    <t>9780781737623</t>
  </si>
  <si>
    <t>30001004911253</t>
  </si>
  <si>
    <t>893456745</t>
  </si>
  <si>
    <t>QV 4 M698 1997</t>
  </si>
  <si>
    <t>0                      QV 0004000M  698         1997</t>
  </si>
  <si>
    <t>Boston : Little, Brown, c1997.</t>
  </si>
  <si>
    <t>2008-04-25</t>
  </si>
  <si>
    <t>1997-04-14</t>
  </si>
  <si>
    <t>34912638</t>
  </si>
  <si>
    <t>991000839499702656</t>
  </si>
  <si>
    <t>2258900780002656</t>
  </si>
  <si>
    <t>9780316159340</t>
  </si>
  <si>
    <t>30001003443670</t>
  </si>
  <si>
    <t>893557312</t>
  </si>
  <si>
    <t>QV 4 S326i 1975</t>
  </si>
  <si>
    <t>0                      QV 0004000S  326i        1975</t>
  </si>
  <si>
    <t>Introductory clinical pharmacology / by Jeanne C. Scherer.</t>
  </si>
  <si>
    <t>Scherer, Jeanne C.</t>
  </si>
  <si>
    <t>Philadelphia : Lippincott, 1975.</t>
  </si>
  <si>
    <t>1975</t>
  </si>
  <si>
    <t>2001-06-16</t>
  </si>
  <si>
    <t>2111701:eng</t>
  </si>
  <si>
    <t>1218402</t>
  </si>
  <si>
    <t>991000947129702656</t>
  </si>
  <si>
    <t>2271805250002656</t>
  </si>
  <si>
    <t>9780397541645</t>
  </si>
  <si>
    <t>30001000190134</t>
  </si>
  <si>
    <t>893287133</t>
  </si>
  <si>
    <t>QV 4 S558n 1993</t>
  </si>
  <si>
    <t>0                      QV 0004000S  558n        1993</t>
  </si>
  <si>
    <t>The nurse, pharmacology, and drug therapy : a prototype approach / Marshal Shlafer.</t>
  </si>
  <si>
    <t>Shlafer, Marshal.</t>
  </si>
  <si>
    <t>Redwood City, Calif. : Addison-Wesley Nursing, c1993.</t>
  </si>
  <si>
    <t>1993</t>
  </si>
  <si>
    <t>1997-10-30</t>
  </si>
  <si>
    <t>1993-06-01</t>
  </si>
  <si>
    <t>894511015:eng</t>
  </si>
  <si>
    <t>27218119</t>
  </si>
  <si>
    <t>991001479729702656</t>
  </si>
  <si>
    <t>2264945960002656</t>
  </si>
  <si>
    <t>9780805372410</t>
  </si>
  <si>
    <t>30001002566786</t>
  </si>
  <si>
    <t>893279142</t>
  </si>
  <si>
    <t>QV 4 S777b 1985</t>
  </si>
  <si>
    <t>0                      QV 0004000S  777b        1985</t>
  </si>
  <si>
    <t>Squire's Basic pharmacology for nurses.</t>
  </si>
  <si>
    <t>Squire, Jessie E.</t>
  </si>
  <si>
    <t>St. Louis : Mosby, c1985.</t>
  </si>
  <si>
    <t>8th ed. / Bruce D. Clayton, Yvonne N. Stock, Jessie E. Squire ; illustrated by Lana Carter Maher.</t>
  </si>
  <si>
    <t>1994-06-21</t>
  </si>
  <si>
    <t>3901061877:eng</t>
  </si>
  <si>
    <t>11649350</t>
  </si>
  <si>
    <t>991000946889702656</t>
  </si>
  <si>
    <t>2260830660002656</t>
  </si>
  <si>
    <t>9780801612602</t>
  </si>
  <si>
    <t>30001000190084</t>
  </si>
  <si>
    <t>893551960</t>
  </si>
  <si>
    <t>QV 4 S918b 1996</t>
  </si>
  <si>
    <t>0                      QV 0004000S  918b        1996</t>
  </si>
  <si>
    <t>Basic concepts in pharmacology : a student's survival guide / Janet L. Stringer.</t>
  </si>
  <si>
    <t>Stringer, Janet L.</t>
  </si>
  <si>
    <t>2009-05-11</t>
  </si>
  <si>
    <t>1997-09-09</t>
  </si>
  <si>
    <t>40538:eng</t>
  </si>
  <si>
    <t>33105346</t>
  </si>
  <si>
    <t>991001559339702656</t>
  </si>
  <si>
    <t>2263248180002656</t>
  </si>
  <si>
    <t>9780070631656</t>
  </si>
  <si>
    <t>30001003605807</t>
  </si>
  <si>
    <t>893832310</t>
  </si>
  <si>
    <t>QV 4 S979n 1991</t>
  </si>
  <si>
    <t>0                      QV 0004000S  979n        1991</t>
  </si>
  <si>
    <t>Nursing pharmacology : an integrated approach to drug therapy and nursing practice / Alvin K. Swonger, Myrtle P. Matejski.</t>
  </si>
  <si>
    <t>Swonger, Alvin K.</t>
  </si>
  <si>
    <t>Philadelphia : Lippincott, c1991.</t>
  </si>
  <si>
    <t>1995-09-09</t>
  </si>
  <si>
    <t>1991-04-30</t>
  </si>
  <si>
    <t>290952779:eng</t>
  </si>
  <si>
    <t>22110607</t>
  </si>
  <si>
    <t>991000935059702656</t>
  </si>
  <si>
    <t>2269852120002656</t>
  </si>
  <si>
    <t>9780397548545</t>
  </si>
  <si>
    <t>30001002190538</t>
  </si>
  <si>
    <t>893643029</t>
  </si>
  <si>
    <t>QV 4 W893e 1992</t>
  </si>
  <si>
    <t>0                      QV 0004000W  893e        1992</t>
  </si>
  <si>
    <t>Essentials of pharmacology for health occupations / Ruth Woodrow.</t>
  </si>
  <si>
    <t>Woodrow, Ruth.</t>
  </si>
  <si>
    <t>Albany, N.Y. : Delmar Publishers, c1992 [i.e. 1991]</t>
  </si>
  <si>
    <t>1998-01-23</t>
  </si>
  <si>
    <t>1992-02-28</t>
  </si>
  <si>
    <t>263703:eng</t>
  </si>
  <si>
    <t>23286681</t>
  </si>
  <si>
    <t>991001298029702656</t>
  </si>
  <si>
    <t>2272183830002656</t>
  </si>
  <si>
    <t>9780827345997</t>
  </si>
  <si>
    <t>30001002410480</t>
  </si>
  <si>
    <t>893638214</t>
  </si>
  <si>
    <t>QV 9 B616 1987</t>
  </si>
  <si>
    <t>0                      QV 0009000B  616         1987</t>
  </si>
  <si>
    <t>Biotechnologically derived medical agents : the scientific basis of their regulation : proceedings of a conference / sponsored and organized by Interscience, Paris, September 10-13, 1987 ; editors, John L. Gueriguian, Vittorio Fattorusso, Duilio Poggiolini.</t>
  </si>
  <si>
    <t>New York, N.Y : Raven Press, c1988.</t>
  </si>
  <si>
    <t>1995-06-20</t>
  </si>
  <si>
    <t>1989-02-17</t>
  </si>
  <si>
    <t>903481344:eng</t>
  </si>
  <si>
    <t>18537731</t>
  </si>
  <si>
    <t>991001120879702656</t>
  </si>
  <si>
    <t>2270010060002656</t>
  </si>
  <si>
    <t>30001001614454</t>
  </si>
  <si>
    <t>893374272</t>
  </si>
  <si>
    <t>QV 11 AA1 M5b 1962</t>
  </si>
  <si>
    <t>0                      QV 0011000AA 1                  M  5b          1962</t>
  </si>
  <si>
    <t>By their fruits : some historic contributions to the chemistry of life, with chapters by Selman A. Waksman and Vannevar Bush. [Ed. by Osgood Nichols]</t>
  </si>
  <si>
    <t>Merck Sharp &amp; Dohme.</t>
  </si>
  <si>
    <t>Rahway, N. J. : Merck, 1963, c1962.</t>
  </si>
  <si>
    <t>1963</t>
  </si>
  <si>
    <t xml:space="preserve">xx </t>
  </si>
  <si>
    <t>1996-02-19</t>
  </si>
  <si>
    <t>5609093431:eng</t>
  </si>
  <si>
    <t>14549965</t>
  </si>
  <si>
    <t>991000947949702656</t>
  </si>
  <si>
    <t>2263782890002656</t>
  </si>
  <si>
    <t>30001000190332</t>
  </si>
  <si>
    <t>893167970</t>
  </si>
  <si>
    <t>QV 11 AA1 W722c 1998</t>
  </si>
  <si>
    <t>0                      QV 0011000AA 1                  W  722c        1998</t>
  </si>
  <si>
    <t>A century of service and beyond : a history of one hundred years of leadership for independent pharmacy / by C. Fred Williams.</t>
  </si>
  <si>
    <t>Williams, C. Fred.</t>
  </si>
  <si>
    <t>Alexandria, VA : NCPA, c1998.</t>
  </si>
  <si>
    <t>vau</t>
  </si>
  <si>
    <t>2003-01-28</t>
  </si>
  <si>
    <t>1999-04-30</t>
  </si>
  <si>
    <t>435964471:eng</t>
  </si>
  <si>
    <t>40604657</t>
  </si>
  <si>
    <t>991001557589702656</t>
  </si>
  <si>
    <t>2256855490002656</t>
  </si>
  <si>
    <t>9780966806700</t>
  </si>
  <si>
    <t>30001004072155</t>
  </si>
  <si>
    <t>893465649</t>
  </si>
  <si>
    <t>QV 11.1 P974 1978</t>
  </si>
  <si>
    <t>0                      QV 0011100P  974         1978</t>
  </si>
  <si>
    <t>Psychopharmacology : a generation of progress / editors, Morris A. Lipton, Alberto DiMascio, Keith F. Killam.</t>
  </si>
  <si>
    <t>New York : Raven Press, 1981, c1978.</t>
  </si>
  <si>
    <t>1978</t>
  </si>
  <si>
    <t>2010-03-25</t>
  </si>
  <si>
    <t>889735138:eng</t>
  </si>
  <si>
    <t>3396533</t>
  </si>
  <si>
    <t>991000947829702656</t>
  </si>
  <si>
    <t>2267378790002656</t>
  </si>
  <si>
    <t>9780890041918</t>
  </si>
  <si>
    <t>30001000190274</t>
  </si>
  <si>
    <t>893648724</t>
  </si>
  <si>
    <t>QV 11.1 S671d 1985</t>
  </si>
  <si>
    <t>0                      QV 0011100S  671d        1985</t>
  </si>
  <si>
    <t>Drug discovery : the evolution of modern medicines / Walter Sneader.</t>
  </si>
  <si>
    <t>Sneader, Walter.</t>
  </si>
  <si>
    <t>Chichester ; New York : Wiley, c1985.</t>
  </si>
  <si>
    <t>A Wiley medical publication</t>
  </si>
  <si>
    <t>1993-07-07</t>
  </si>
  <si>
    <t>3144530392:eng</t>
  </si>
  <si>
    <t>11650496</t>
  </si>
  <si>
    <t>991000947679702656</t>
  </si>
  <si>
    <t>2260800700002656</t>
  </si>
  <si>
    <t>9780471904717</t>
  </si>
  <si>
    <t>30001000190266</t>
  </si>
  <si>
    <t>893465035</t>
  </si>
  <si>
    <t>QV 13 E56 2003</t>
  </si>
  <si>
    <t>0                      QV 0013000E  56          2003</t>
  </si>
  <si>
    <t>Encyclopedia of biopharmaceutical statistics / edited by Shein-Chung Chow.</t>
  </si>
  <si>
    <t>New York : Marcel Dekker, c2003.</t>
  </si>
  <si>
    <t>2nd ed., rev. and expanded.</t>
  </si>
  <si>
    <t>2009-08-14</t>
  </si>
  <si>
    <t>2004-09-29</t>
  </si>
  <si>
    <t>861747887:eng</t>
  </si>
  <si>
    <t>52109678</t>
  </si>
  <si>
    <t>991000398799702656</t>
  </si>
  <si>
    <t>2268825470002656</t>
  </si>
  <si>
    <t>9780824742614</t>
  </si>
  <si>
    <t>30001004810331</t>
  </si>
  <si>
    <t>893264210</t>
  </si>
  <si>
    <t>QV 13 L776 1987</t>
  </si>
  <si>
    <t>0                      QV 0013000L  776         1987</t>
  </si>
  <si>
    <t>Lithium encyclopedia for clinical practice / by James W. Jefferson ... [et al.].</t>
  </si>
  <si>
    <t>Washington, DC : American Psychiatric Press, c1987.</t>
  </si>
  <si>
    <t>1993-04-20</t>
  </si>
  <si>
    <t>373982017:eng</t>
  </si>
  <si>
    <t>14692695</t>
  </si>
  <si>
    <t>991000947719702656</t>
  </si>
  <si>
    <t>2259386470002656</t>
  </si>
  <si>
    <t>9780880482301</t>
  </si>
  <si>
    <t>30001000190258</t>
  </si>
  <si>
    <t>893727111</t>
  </si>
  <si>
    <t>QV 13 M347p 1990</t>
  </si>
  <si>
    <t>0                      QV 0013000M  347p        1990</t>
  </si>
  <si>
    <t>Pharmacological and chemical synonyms : a collection of names of drugs, pesticides and other compounds drawn from the medical literature of the world / compiled by E.E.J. Marler.</t>
  </si>
  <si>
    <t>Marler, E. E. J.</t>
  </si>
  <si>
    <t>Amsterdam ; New York : Elsevier, c1990.</t>
  </si>
  <si>
    <t>9th ed.</t>
  </si>
  <si>
    <t>1990-08-16</t>
  </si>
  <si>
    <t>6728863:eng</t>
  </si>
  <si>
    <t>22542134</t>
  </si>
  <si>
    <t>991001453649702656</t>
  </si>
  <si>
    <t>2269593610002656</t>
  </si>
  <si>
    <t>9780444904874</t>
  </si>
  <si>
    <t>30001001884180</t>
  </si>
  <si>
    <t>893546731</t>
  </si>
  <si>
    <t>QV 15 S979i 1992-93</t>
  </si>
  <si>
    <t>0                      QV 0015000S  979i        1992                                        -93</t>
  </si>
  <si>
    <t>Index nominum, international drug directory 1992/1993 = internationales Arzneistoff-und Arzneimittelverzeichnis 1992/93 = répertoire international des substances médicamenteuses et spécialitiés pharmaceutiques 1992/93 / edited by the Swiss Pharmaceutical Society.</t>
  </si>
  <si>
    <t>Stuttgart : Medpharm Scientific Publishers, c1992.</t>
  </si>
  <si>
    <t>[15th ed.]</t>
  </si>
  <si>
    <t xml:space="preserve">gw </t>
  </si>
  <si>
    <t>1992-11-05</t>
  </si>
  <si>
    <t>1992-10-20</t>
  </si>
  <si>
    <t>9323695733:eng</t>
  </si>
  <si>
    <t>26733640</t>
  </si>
  <si>
    <t>991001344199702656</t>
  </si>
  <si>
    <t>2272596610002656</t>
  </si>
  <si>
    <t>9783887630188</t>
  </si>
  <si>
    <t>30001002456467</t>
  </si>
  <si>
    <t>893377216</t>
  </si>
  <si>
    <t>QV 16 D186c 1990</t>
  </si>
  <si>
    <t>0                      QV 0016000D  186c        1990</t>
  </si>
  <si>
    <t>Clinical calculations : a unified approach / Joanne M. Daniels, Loretta M. Smith.</t>
  </si>
  <si>
    <t>Daniels, Joanne M.</t>
  </si>
  <si>
    <t>Albany, N.Y. : Delmar Publishers, c1990.</t>
  </si>
  <si>
    <t>2005-08-27</t>
  </si>
  <si>
    <t>1994-09-23</t>
  </si>
  <si>
    <t>911281:eng</t>
  </si>
  <si>
    <t>19672212</t>
  </si>
  <si>
    <t>991000680929702656</t>
  </si>
  <si>
    <t>2262604380002656</t>
  </si>
  <si>
    <t>9780827337978</t>
  </si>
  <si>
    <t>30001002697482</t>
  </si>
  <si>
    <t>893362786</t>
  </si>
  <si>
    <t>QV16 D794 1999</t>
  </si>
  <si>
    <t>0                      QV 0016000D  794         1999</t>
  </si>
  <si>
    <t>Drug prescribing in renal failure : dosing guidelines for adults / George R. Aronoff ... [et al.].</t>
  </si>
  <si>
    <t>Philadelphia, Pa. : American College of Physicians, c1999.</t>
  </si>
  <si>
    <t>1999</t>
  </si>
  <si>
    <t>2006-12-19</t>
  </si>
  <si>
    <t>2004-11-22</t>
  </si>
  <si>
    <t>54781156:eng</t>
  </si>
  <si>
    <t>39891402</t>
  </si>
  <si>
    <t>991000414209702656</t>
  </si>
  <si>
    <t>2261758540002656</t>
  </si>
  <si>
    <t>9780943126760</t>
  </si>
  <si>
    <t>30001004925626</t>
  </si>
  <si>
    <t>893370459</t>
  </si>
  <si>
    <t>QV 16 R863c 1976</t>
  </si>
  <si>
    <t>0                      QV 0016000R  863c        1976</t>
  </si>
  <si>
    <t>Calculations in pharmacy / Sue H. Rouse and M. George Webber.</t>
  </si>
  <si>
    <t>Rouse, Sue H.</t>
  </si>
  <si>
    <t>Philadelphia : Lippincott, c1976.</t>
  </si>
  <si>
    <t>1976</t>
  </si>
  <si>
    <t>2003-10-08</t>
  </si>
  <si>
    <t>1587572:eng</t>
  </si>
  <si>
    <t>1659685</t>
  </si>
  <si>
    <t>991000948529702656</t>
  </si>
  <si>
    <t>2256724440002656</t>
  </si>
  <si>
    <t>9780397520732</t>
  </si>
  <si>
    <t>30001000190530</t>
  </si>
  <si>
    <t>893467737</t>
  </si>
  <si>
    <t>QV 16 S874p 1986</t>
  </si>
  <si>
    <t>0                      QV 0016000S  874p        1986</t>
  </si>
  <si>
    <t>Pharmaceutical calculations / Mitchell J. Stoklosa and Howard C. Ansel.</t>
  </si>
  <si>
    <t>Stoklosa, Mitchell J.</t>
  </si>
  <si>
    <t>Philadelphia : Lea &amp; Febiger, c1986.</t>
  </si>
  <si>
    <t>2003-09-24</t>
  </si>
  <si>
    <t>1787946:eng</t>
  </si>
  <si>
    <t>12237530</t>
  </si>
  <si>
    <t>991000747399702656</t>
  </si>
  <si>
    <t>2268088500002656</t>
  </si>
  <si>
    <t>9780812110074</t>
  </si>
  <si>
    <t>30001000046153</t>
  </si>
  <si>
    <t>893161095</t>
  </si>
  <si>
    <t>QV 16 S874p 1991</t>
  </si>
  <si>
    <t>0                      QV 0016000S  874p        1991</t>
  </si>
  <si>
    <t>Philadelphia : Lea &amp; Febiger, c1991.</t>
  </si>
  <si>
    <t>1991-07-26</t>
  </si>
  <si>
    <t>22596271</t>
  </si>
  <si>
    <t>991000944289702656</t>
  </si>
  <si>
    <t>2262357920002656</t>
  </si>
  <si>
    <t>9780812113846</t>
  </si>
  <si>
    <t>30001002193342</t>
  </si>
  <si>
    <t>893815943</t>
  </si>
  <si>
    <t>QV 16 S874p 1996</t>
  </si>
  <si>
    <t>0                      QV 0016000S  874p        1996</t>
  </si>
  <si>
    <t>Pharmaceutical calculations.</t>
  </si>
  <si>
    <t>Baltimore : Williams &amp; Wilkins, c1996.</t>
  </si>
  <si>
    <t>10th ed. / Mitchell J. Stoklosa, Howard C. Ansel.</t>
  </si>
  <si>
    <t>2008-08-27</t>
  </si>
  <si>
    <t>32968804</t>
  </si>
  <si>
    <t>991000835919702656</t>
  </si>
  <si>
    <t>2262672040002656</t>
  </si>
  <si>
    <t>9780683080018</t>
  </si>
  <si>
    <t>30001003441815</t>
  </si>
  <si>
    <t>893731373</t>
  </si>
  <si>
    <t>QV 16 S936c 1903</t>
  </si>
  <si>
    <t>0                      QV 0016000S  936c        1903</t>
  </si>
  <si>
    <t>Course in pharmaceutical and chemical arithmetic : including weights and measures / by Julius William Sturmer.</t>
  </si>
  <si>
    <t>Sturmer, Julius William, 1870-1952.</t>
  </si>
  <si>
    <t>[Phiadelphia] : The author, c1903.</t>
  </si>
  <si>
    <t>1903</t>
  </si>
  <si>
    <t>3rd. ed., with answers.</t>
  </si>
  <si>
    <t>1991-09-20</t>
  </si>
  <si>
    <t>2423032:eng</t>
  </si>
  <si>
    <t>3754693</t>
  </si>
  <si>
    <t>991000948609702656</t>
  </si>
  <si>
    <t>2270724560002656</t>
  </si>
  <si>
    <t>30001000190571</t>
  </si>
  <si>
    <t>893551962</t>
  </si>
  <si>
    <t>QV 18 A813p 1994</t>
  </si>
  <si>
    <t>0                      QV 0018000A  813p        1994</t>
  </si>
  <si>
    <t>Principles of drug information and scientific literature evaluation / Frank J. Ascione, Carol Colvin Manifold, Mary A. Parenti.</t>
  </si>
  <si>
    <t>Ascione, Frank J., 1946-</t>
  </si>
  <si>
    <t>Hamilton, Ill. : Drug Intelligence Publication, c1994.</t>
  </si>
  <si>
    <t>ilu</t>
  </si>
  <si>
    <t>1999-09-28</t>
  </si>
  <si>
    <t>1998-01-27</t>
  </si>
  <si>
    <t>31234793:eng</t>
  </si>
  <si>
    <t>29358612</t>
  </si>
  <si>
    <t>991001283619702656</t>
  </si>
  <si>
    <t>2268321110002656</t>
  </si>
  <si>
    <t>9780914768524</t>
  </si>
  <si>
    <t>30001003720754</t>
  </si>
  <si>
    <t>893161851</t>
  </si>
  <si>
    <t>QV 18 A928d 1987</t>
  </si>
  <si>
    <t>0                      QV 0018000A  928d        1987</t>
  </si>
  <si>
    <t>Dosage calculation : method and workbook / Ann Aurigemma, Barbara J. Bohny.</t>
  </si>
  <si>
    <t>Aurigemma, Ann.</t>
  </si>
  <si>
    <t>New York : National League for Nursing, c1987.</t>
  </si>
  <si>
    <t>Pub. ; no. 20-2197.</t>
  </si>
  <si>
    <t>1997-10-15</t>
  </si>
  <si>
    <t>1993-02-19</t>
  </si>
  <si>
    <t>5813635:eng</t>
  </si>
  <si>
    <t>17951997</t>
  </si>
  <si>
    <t>991001233529702656</t>
  </si>
  <si>
    <t>2261082250002656</t>
  </si>
  <si>
    <t>9780887373824</t>
  </si>
  <si>
    <t>30001002339226</t>
  </si>
  <si>
    <t>893168079</t>
  </si>
  <si>
    <t>QV 18 B879b 1984</t>
  </si>
  <si>
    <t>0                      QV 0018000B  879b        1984</t>
  </si>
  <si>
    <t>Basic drug calculations / Meta Brown, Joyce L. Mulholland.</t>
  </si>
  <si>
    <t>Seltzer, Meta Brown.</t>
  </si>
  <si>
    <t>St. Louis : Mosby, c1984.</t>
  </si>
  <si>
    <t>1992-12-21</t>
  </si>
  <si>
    <t>15033209:eng</t>
  </si>
  <si>
    <t>9830792</t>
  </si>
  <si>
    <t>991000948769702656</t>
  </si>
  <si>
    <t>2255502040002656</t>
  </si>
  <si>
    <t>9780801608636</t>
  </si>
  <si>
    <t>30001000190613</t>
  </si>
  <si>
    <t>893826255</t>
  </si>
  <si>
    <t>QV 18 C796c 1989</t>
  </si>
  <si>
    <t>0                      QV 0018000C  796c        1989</t>
  </si>
  <si>
    <t>Clinical calculations for nurses : with basic mathematics review / Mary Jane Cordón.</t>
  </si>
  <si>
    <t>Cordón, Mary Jane.</t>
  </si>
  <si>
    <t>East Norwalk, Conn. : Appleton &amp; Lange, c1989.</t>
  </si>
  <si>
    <t>1993-10-15</t>
  </si>
  <si>
    <t>1989-11-21</t>
  </si>
  <si>
    <t>21473422:eng</t>
  </si>
  <si>
    <t>19722574</t>
  </si>
  <si>
    <t>991001375009702656</t>
  </si>
  <si>
    <t>2266093000002656</t>
  </si>
  <si>
    <t>9780838512142</t>
  </si>
  <si>
    <t>30001001798109</t>
  </si>
  <si>
    <t>893279028</t>
  </si>
  <si>
    <t>QV 18 C976m 1984</t>
  </si>
  <si>
    <t>0                      QV 0018000C  976m        1984</t>
  </si>
  <si>
    <t>Math for meds : a programmed text / Anna M. Curren, Laurie D. Munday.</t>
  </si>
  <si>
    <t>Curren, Anna M.</t>
  </si>
  <si>
    <t>San Diego, CA : Wallcur, c1984.</t>
  </si>
  <si>
    <t>1991-08-29</t>
  </si>
  <si>
    <t>1042326:eng</t>
  </si>
  <si>
    <t>10494099</t>
  </si>
  <si>
    <t>991000949169702656</t>
  </si>
  <si>
    <t>2261040400002656</t>
  </si>
  <si>
    <t>30001000190670</t>
  </si>
  <si>
    <t>893450631</t>
  </si>
  <si>
    <t>QV 18 G378p 1991</t>
  </si>
  <si>
    <t>0                      QV 0018000G  378p        1991</t>
  </si>
  <si>
    <t>Pharmacy examination review : 1000 multiple choice questions and explanatory answers / Robert J. Gerraughty, Joan M. Lausier, and Michele A. Danish.</t>
  </si>
  <si>
    <t>Gerraughty, Robert J., 1928-</t>
  </si>
  <si>
    <t>New York, N.Y. : Medical Examination Pub. Co., c1991.</t>
  </si>
  <si>
    <t>10th ed.</t>
  </si>
  <si>
    <t>2005-10-30</t>
  </si>
  <si>
    <t>1991-04-26</t>
  </si>
  <si>
    <t>2864356759:eng</t>
  </si>
  <si>
    <t>22837087</t>
  </si>
  <si>
    <t>991000934439702656</t>
  </si>
  <si>
    <t>2260765420002656</t>
  </si>
  <si>
    <t>9780444015587</t>
  </si>
  <si>
    <t>30001002190421</t>
  </si>
  <si>
    <t>893727101</t>
  </si>
  <si>
    <t>QV 18 H176a 1993</t>
  </si>
  <si>
    <t>0                      QV 0018000H  176a        1993</t>
  </si>
  <si>
    <t>Appleton &amp; Lange's review of pharmacy.</t>
  </si>
  <si>
    <t>Hall, Gary D.</t>
  </si>
  <si>
    <t>Norwalk, Conn. : Appleton &amp; Lange, c1993.</t>
  </si>
  <si>
    <t>5th ed. / Gary D. Hall, Barry S. Reiss.</t>
  </si>
  <si>
    <t>A &amp; L's review series</t>
  </si>
  <si>
    <t>2007-06-04</t>
  </si>
  <si>
    <t>1993-08-31</t>
  </si>
  <si>
    <t>40559:eng</t>
  </si>
  <si>
    <t>27311184</t>
  </si>
  <si>
    <t>991001511509702656</t>
  </si>
  <si>
    <t>2255806120002656</t>
  </si>
  <si>
    <t>9780838501627</t>
  </si>
  <si>
    <t>30001002600890</t>
  </si>
  <si>
    <t>893727718</t>
  </si>
  <si>
    <t>QV 18 N277c 1989</t>
  </si>
  <si>
    <t>0                      QV 0018000N  277c        1989</t>
  </si>
  <si>
    <t>A candidate's review guide to the National Association of Boards of Pharmacy Licensure Examination.</t>
  </si>
  <si>
    <t>National Association of Boards of Pharmacy.</t>
  </si>
  <si>
    <t>[Chicago] : National Association of Boards of Pharmacy, c1989.</t>
  </si>
  <si>
    <t>1995-04-30</t>
  </si>
  <si>
    <t>1989-04-13</t>
  </si>
  <si>
    <t>3855813969:eng</t>
  </si>
  <si>
    <t>19482264</t>
  </si>
  <si>
    <t>991001115529702656</t>
  </si>
  <si>
    <t>2262436310002656</t>
  </si>
  <si>
    <t>30001001613159</t>
  </si>
  <si>
    <t>893834568</t>
  </si>
  <si>
    <t>QV18 N277C 1996-97</t>
  </si>
  <si>
    <t>0                      QV 0018000N  277C        1996                                        -97</t>
  </si>
  <si>
    <t>A candidate's guide for the National Association of Boards of Pharmacy licensure examination / NABPLEX Review Committee.</t>
  </si>
  <si>
    <t>Chicago : National Association of Boards of Pharmacy, c1995.</t>
  </si>
  <si>
    <t>2006-09-15</t>
  </si>
  <si>
    <t>2002-11-19</t>
  </si>
  <si>
    <t>5612715766:eng</t>
  </si>
  <si>
    <t>35215031</t>
  </si>
  <si>
    <t>991000332529702656</t>
  </si>
  <si>
    <t>2255837080002656</t>
  </si>
  <si>
    <t>30001004445179</t>
  </si>
  <si>
    <t>893542262</t>
  </si>
  <si>
    <t>QV 18 N675c 1989</t>
  </si>
  <si>
    <t>0                      QV 0018000N  675c        1989</t>
  </si>
  <si>
    <t>Clinical problems in basic pharmacology / David W. Nierenberg, Roger P. Smith.</t>
  </si>
  <si>
    <t>Nierenberg, David W.</t>
  </si>
  <si>
    <t>St. Louis : Mosby, c1989.</t>
  </si>
  <si>
    <t>2001-09-14</t>
  </si>
  <si>
    <t>1988-12-28</t>
  </si>
  <si>
    <t>16968298:eng</t>
  </si>
  <si>
    <t>18136897</t>
  </si>
  <si>
    <t>991001112799702656</t>
  </si>
  <si>
    <t>2267992510002656</t>
  </si>
  <si>
    <t>9780801638602</t>
  </si>
  <si>
    <t>30001001612441</t>
  </si>
  <si>
    <t>893638042</t>
  </si>
  <si>
    <t>QV 18 P252r 1977</t>
  </si>
  <si>
    <t>0                      QV 0018000P  252r        1977</t>
  </si>
  <si>
    <t>Review mathematics for nurses and health professionals : a text-workbook including dosages and solutions / Lucille M. Parks.</t>
  </si>
  <si>
    <t>Parks, Lucille M.</t>
  </si>
  <si>
    <t>Menlo Park, Calif. : Cummings Pub. Co., c1977.</t>
  </si>
  <si>
    <t>1977</t>
  </si>
  <si>
    <t>1999-08-23</t>
  </si>
  <si>
    <t>9467100:eng</t>
  </si>
  <si>
    <t>3312385</t>
  </si>
  <si>
    <t>991000949779702656</t>
  </si>
  <si>
    <t>2270956710002656</t>
  </si>
  <si>
    <t>9780846548904</t>
  </si>
  <si>
    <t>30001000190753</t>
  </si>
  <si>
    <t>893736065</t>
  </si>
  <si>
    <t>QV 18 P5365 1991</t>
  </si>
  <si>
    <t>0                      QV 0018000P  5365        1991</t>
  </si>
  <si>
    <t>Pharmacology : PreTest self-assessment and review.</t>
  </si>
  <si>
    <t>New York : McGraw-Hill Inc., Health Professions Division, PreTest Series, c1991.</t>
  </si>
  <si>
    <t>6th ed. / senior editor, Joseph R. DiPalma ; contributing editors, Edward J. Barbieri ... [et. al.].</t>
  </si>
  <si>
    <t>cou</t>
  </si>
  <si>
    <t>2005-04-20</t>
  </si>
  <si>
    <t>1991-02-19</t>
  </si>
  <si>
    <t>3901001388:eng</t>
  </si>
  <si>
    <t>21078298</t>
  </si>
  <si>
    <t>991000821159702656</t>
  </si>
  <si>
    <t>2272702920002656</t>
  </si>
  <si>
    <t>9780070519794</t>
  </si>
  <si>
    <t>30001002087577</t>
  </si>
  <si>
    <t>893464766</t>
  </si>
  <si>
    <t>QV 18 P5366 1991</t>
  </si>
  <si>
    <t>0                      QV 0018000P  5366        1991</t>
  </si>
  <si>
    <t>Pharmacy practice exam / editors, Alan H. Mutnick, Paul F. Souney ; associate editors, Louise Glassner Cohen ... [et al.].</t>
  </si>
  <si>
    <t>Media, Pa. : Harwal Pub. Co., c1991.</t>
  </si>
  <si>
    <t>1992-09-21</t>
  </si>
  <si>
    <t>26661256:eng</t>
  </si>
  <si>
    <t>24471202</t>
  </si>
  <si>
    <t>991001344879702656</t>
  </si>
  <si>
    <t>2261995570002656</t>
  </si>
  <si>
    <t>9780683062526</t>
  </si>
  <si>
    <t>30001002456863</t>
  </si>
  <si>
    <t>893168143</t>
  </si>
  <si>
    <t>QV 18 P5375 1985</t>
  </si>
  <si>
    <t>0                      QV 0018000P  5375        1985</t>
  </si>
  <si>
    <t>Pharmacy review / Walter Singer ... [et al.].</t>
  </si>
  <si>
    <t>Norwalk, Conn. : Appleton-Century-Crofts, c1985.</t>
  </si>
  <si>
    <t xml:space="preserve">aa </t>
  </si>
  <si>
    <t>54114604:eng</t>
  </si>
  <si>
    <t>10949510</t>
  </si>
  <si>
    <t>991000747439702656</t>
  </si>
  <si>
    <t>2265164470002656</t>
  </si>
  <si>
    <t>9780838578407</t>
  </si>
  <si>
    <t>30001000046195</t>
  </si>
  <si>
    <t>893560502</t>
  </si>
  <si>
    <t>QV 18 P53751 1988</t>
  </si>
  <si>
    <t>0                      QV 0018000P  53751       1988</t>
  </si>
  <si>
    <t>Pharmacy review / [edited by] Leon Shargel.</t>
  </si>
  <si>
    <t>New York : Wiley ; Media, Pa. : Harwal Pub. Co., c1988.</t>
  </si>
  <si>
    <t>2007-12-07</t>
  </si>
  <si>
    <t>1990-01-23</t>
  </si>
  <si>
    <t>431851724:eng</t>
  </si>
  <si>
    <t>18816916</t>
  </si>
  <si>
    <t>991001386719702656</t>
  </si>
  <si>
    <t>2258374150002656</t>
  </si>
  <si>
    <t>9780471857006</t>
  </si>
  <si>
    <t>30001001799909</t>
  </si>
  <si>
    <t>893816346</t>
  </si>
  <si>
    <t>QV 18 R125 1995</t>
  </si>
  <si>
    <t>0                      QV 0018000R  125         1995</t>
  </si>
  <si>
    <t>Radcliff and Ogden's calculation of drug dosages : an interactive workbook / Sheila J. Ogden ; contributor, Angela G. Opsahl.</t>
  </si>
  <si>
    <t>Ogden, Sheila J., 1949-</t>
  </si>
  <si>
    <t>St. Louis, Mo. : Mosby-Year Book, c1995.</t>
  </si>
  <si>
    <t>2006-11-27</t>
  </si>
  <si>
    <t>25539618:eng</t>
  </si>
  <si>
    <t>30974794</t>
  </si>
  <si>
    <t>991001400249702656</t>
  </si>
  <si>
    <t>2259987490002656</t>
  </si>
  <si>
    <t>9780815170020</t>
  </si>
  <si>
    <t>30001003147727</t>
  </si>
  <si>
    <t>893557930</t>
  </si>
  <si>
    <t>QV 18 R125c 1991</t>
  </si>
  <si>
    <t>0                      QV 0018000R  125c        1991</t>
  </si>
  <si>
    <t>Calculation of drug dosages : a workbook / Ruth K. Radcliff, Sheila J. Ogden.</t>
  </si>
  <si>
    <t>Radcliff, Ruth K., 1925-</t>
  </si>
  <si>
    <t>St. Louis : Mosby-Year Book Inc., c1991.</t>
  </si>
  <si>
    <t>1909032844:eng</t>
  </si>
  <si>
    <t>22840570</t>
  </si>
  <si>
    <t>991000944189702656</t>
  </si>
  <si>
    <t>2256186390002656</t>
  </si>
  <si>
    <t>9780801652714</t>
  </si>
  <si>
    <t>30001002193284</t>
  </si>
  <si>
    <t>893273517</t>
  </si>
  <si>
    <t>QV 18 R5155m 1990</t>
  </si>
  <si>
    <t>0                      QV 0018000R  5155m       1990</t>
  </si>
  <si>
    <t>The mathematics of drugs and solutions with clinical applications / Judith Knight Richardson, Lloyd I. Richardson.</t>
  </si>
  <si>
    <t>Richardson, Judith Knight.</t>
  </si>
  <si>
    <t>St. Louis : C.V. Mosby, c1990.</t>
  </si>
  <si>
    <t>1990-08-17</t>
  </si>
  <si>
    <t>2373383:eng</t>
  </si>
  <si>
    <t>20671643</t>
  </si>
  <si>
    <t>991001453979702656</t>
  </si>
  <si>
    <t>2260288450002656</t>
  </si>
  <si>
    <t>9780801660498</t>
  </si>
  <si>
    <t>30001001884263</t>
  </si>
  <si>
    <t>893358622</t>
  </si>
  <si>
    <t>QV 18 S273m 1992</t>
  </si>
  <si>
    <t>0                      QV 0018000S  273m        1992</t>
  </si>
  <si>
    <t>Math &amp; meds for nurses : a programmed approach for calculations of drugs and solutions / Dolores F. Saxton, Norma Ercolano- O'Neill.</t>
  </si>
  <si>
    <t>Saxton, Dolores F.</t>
  </si>
  <si>
    <t>St. Louis, MO : GW Manning, c1992.</t>
  </si>
  <si>
    <t>1993-10-26</t>
  </si>
  <si>
    <t>1993-09-02</t>
  </si>
  <si>
    <t>1042327:eng</t>
  </si>
  <si>
    <t>28034700</t>
  </si>
  <si>
    <t>991001514239702656</t>
  </si>
  <si>
    <t>2270360000002656</t>
  </si>
  <si>
    <t>9781878060020</t>
  </si>
  <si>
    <t>30001002601492</t>
  </si>
  <si>
    <t>893369434</t>
  </si>
  <si>
    <t>QV 18 S428c 1982</t>
  </si>
  <si>
    <t>0                      QV 0018000S  428c        1982</t>
  </si>
  <si>
    <t>Calculations of medications : using the proportion : guided instruction in mathematics for nurses / Mary Ann Scott.</t>
  </si>
  <si>
    <t>Krisman-Scott, Mary Ann.</t>
  </si>
  <si>
    <t>Norwalk, CT : Appleton-Century-Crofts, c1982.</t>
  </si>
  <si>
    <t>1994-09-19</t>
  </si>
  <si>
    <t>11591132:eng</t>
  </si>
  <si>
    <t>7976904</t>
  </si>
  <si>
    <t>991000747489702656</t>
  </si>
  <si>
    <t>2262899880002656</t>
  </si>
  <si>
    <t>9780838510186</t>
  </si>
  <si>
    <t>30001000046203</t>
  </si>
  <si>
    <t>893637279</t>
  </si>
  <si>
    <t>QV 18 S912 1988</t>
  </si>
  <si>
    <t>0                      QV 0018000S  912         1988</t>
  </si>
  <si>
    <t>Strauss's pharmacy law examination review / Steven Strauss.</t>
  </si>
  <si>
    <t>Lancaster, Penn. : Technomic Publishing Co., c1988.</t>
  </si>
  <si>
    <t>2005-10-16</t>
  </si>
  <si>
    <t>1989-01-14</t>
  </si>
  <si>
    <t>3856274697:eng</t>
  </si>
  <si>
    <t>19020319</t>
  </si>
  <si>
    <t>991001389909702656</t>
  </si>
  <si>
    <t>2271124270002656</t>
  </si>
  <si>
    <t>9780877625674</t>
  </si>
  <si>
    <t>30001001800814</t>
  </si>
  <si>
    <t>893451127</t>
  </si>
  <si>
    <t>QV 18 T188s 1981</t>
  </si>
  <si>
    <t>0                      QV 0018000T  188s        1981</t>
  </si>
  <si>
    <t>Student guide to the PCAT, pharmacy college admission test : comprehensive manual for self study and review / David M. Tarlow.</t>
  </si>
  <si>
    <t>Tarlow, David M.</t>
  </si>
  <si>
    <t>St. Louis : Datar Pub. Co., c1981.</t>
  </si>
  <si>
    <t>1981</t>
  </si>
  <si>
    <t>2006-09-27</t>
  </si>
  <si>
    <t>1811350450:eng</t>
  </si>
  <si>
    <t>8081381</t>
  </si>
  <si>
    <t>991001548289702656</t>
  </si>
  <si>
    <t>2271042080002656</t>
  </si>
  <si>
    <t>30001000647661</t>
  </si>
  <si>
    <t>893832300</t>
  </si>
  <si>
    <t>QV18 T2535 1997</t>
  </si>
  <si>
    <t>0                      QV 0018000T  2535        1997</t>
  </si>
  <si>
    <t>Teaching and learning strategies in pharmacy ethics / Amy Marie Haddad, editor.</t>
  </si>
  <si>
    <t>New York : Pharmaceutical Products Press, c1997.</t>
  </si>
  <si>
    <t>2005-06-23</t>
  </si>
  <si>
    <t>1998-01-29</t>
  </si>
  <si>
    <t>604516:eng</t>
  </si>
  <si>
    <t>37640422</t>
  </si>
  <si>
    <t>991001294179702656</t>
  </si>
  <si>
    <t>2269227070002656</t>
  </si>
  <si>
    <t>9780789003782</t>
  </si>
  <si>
    <t>30001003740307</t>
  </si>
  <si>
    <t>893273997</t>
  </si>
  <si>
    <t>QV 18 W363p 1979</t>
  </si>
  <si>
    <t>0                      QV 0018000W  363p        1979</t>
  </si>
  <si>
    <t>Programmed mathematics of drugs and solutions / Mabel E. Weaver, Vera J. Koehler.</t>
  </si>
  <si>
    <t>Weaver, Mabel E.</t>
  </si>
  <si>
    <t>Philadelphia : Lippincott, 1979.</t>
  </si>
  <si>
    <t>1979</t>
  </si>
  <si>
    <t>1994-09-17</t>
  </si>
  <si>
    <t>1738478:eng</t>
  </si>
  <si>
    <t>4775092</t>
  </si>
  <si>
    <t>991001548319702656</t>
  </si>
  <si>
    <t>2260647480002656</t>
  </si>
  <si>
    <t>9780397542321</t>
  </si>
  <si>
    <t>30001000647695</t>
  </si>
  <si>
    <t>893643697</t>
  </si>
  <si>
    <t>QV 18 Z38p 1981</t>
  </si>
  <si>
    <t>0                      QV 0018000Z  38p         1981</t>
  </si>
  <si>
    <t>Pharmaceutical calculations / Joel L. Zatz.</t>
  </si>
  <si>
    <t>Zatz, Joel L., 1935-</t>
  </si>
  <si>
    <t>New York : Wiley, 1981.</t>
  </si>
  <si>
    <t>Wiley-Interscience publication</t>
  </si>
  <si>
    <t>2006-03-27</t>
  </si>
  <si>
    <t>3449176033:eng</t>
  </si>
  <si>
    <t>6707181</t>
  </si>
  <si>
    <t>991000950279702656</t>
  </si>
  <si>
    <t>2258136340002656</t>
  </si>
  <si>
    <t>9780471077572</t>
  </si>
  <si>
    <t>30001000190829</t>
  </si>
  <si>
    <t>893546235</t>
  </si>
  <si>
    <t>QV18.2 B879d 2004</t>
  </si>
  <si>
    <t>0                      QV 0018200B  879d        2004</t>
  </si>
  <si>
    <t>Drug calculations : process and problems for clinical practice / Meta Brown, Joyce M. Mulholland.</t>
  </si>
  <si>
    <t>St. Louis, Mo. : Mosby, 2003.</t>
  </si>
  <si>
    <t>7th ed.</t>
  </si>
  <si>
    <t>2009-01-18</t>
  </si>
  <si>
    <t>2004-10-25</t>
  </si>
  <si>
    <t>4757812580:eng</t>
  </si>
  <si>
    <t>54365391</t>
  </si>
  <si>
    <t>991000404099702656</t>
  </si>
  <si>
    <t>2258106950002656</t>
  </si>
  <si>
    <t>9780323025621</t>
  </si>
  <si>
    <t>30001004924066</t>
  </si>
  <si>
    <t>893370453</t>
  </si>
  <si>
    <t>QV 18.2 B879d 2008</t>
  </si>
  <si>
    <t>0                      QV 0018200B  879d        2008</t>
  </si>
  <si>
    <t>St. Louis, Mo. : Mosby/Elsevier, c2008.</t>
  </si>
  <si>
    <t>2008</t>
  </si>
  <si>
    <t>2008-08-21</t>
  </si>
  <si>
    <t>2008-08-20</t>
  </si>
  <si>
    <t>154760414</t>
  </si>
  <si>
    <t>991000910699702656</t>
  </si>
  <si>
    <t>2267014330002656</t>
  </si>
  <si>
    <t>9780323045766</t>
  </si>
  <si>
    <t>30001005302205</t>
  </si>
  <si>
    <t>893557408</t>
  </si>
  <si>
    <t>QV 18.2 C737 2001</t>
  </si>
  <si>
    <t>0                      QV 0018200C  737         2001</t>
  </si>
  <si>
    <t>Comprehensive pharmacy review / editors, Leon Shargel ... [et al.].</t>
  </si>
  <si>
    <t>Baltimore ; London : Williams &amp; Wilkins, c2001.</t>
  </si>
  <si>
    <t>2001</t>
  </si>
  <si>
    <t>2009-04-23</t>
  </si>
  <si>
    <t>2004-01-30</t>
  </si>
  <si>
    <t>5613860791:eng</t>
  </si>
  <si>
    <t>46496670</t>
  </si>
  <si>
    <t>991000365209702656</t>
  </si>
  <si>
    <t>2267218900002656</t>
  </si>
  <si>
    <t>9780781721479</t>
  </si>
  <si>
    <t>30001004218519</t>
  </si>
  <si>
    <t>893452067</t>
  </si>
  <si>
    <t>QV 18.2 H176L 2007</t>
  </si>
  <si>
    <t>0                      QV 0018200H  176L        2007</t>
  </si>
  <si>
    <t>Lange Q &amp; A pharmacy / Gary D. Hall, Barry S. Reiss.</t>
  </si>
  <si>
    <t>New York : McGraw-Hill, Medical, c2007.</t>
  </si>
  <si>
    <t>2007</t>
  </si>
  <si>
    <t>Lange Q&amp;A</t>
  </si>
  <si>
    <t>2010-03-21</t>
  </si>
  <si>
    <t>2008-08-11</t>
  </si>
  <si>
    <t>60394921:eng</t>
  </si>
  <si>
    <t>73994383</t>
  </si>
  <si>
    <t>991000907159702656</t>
  </si>
  <si>
    <t>2260701490002656</t>
  </si>
  <si>
    <t>9780071484459</t>
  </si>
  <si>
    <t>30001005294303</t>
  </si>
  <si>
    <t>893450603</t>
  </si>
  <si>
    <t>QV 18.2 M478 2009</t>
  </si>
  <si>
    <t>0                      QV 0018200M  478         2009</t>
  </si>
  <si>
    <t>McGraw-Hill's PCAT : pharmacy college admission test / George J. Hademenos ... [et al.].</t>
  </si>
  <si>
    <t>New York : McGraw-Hill, c2009.</t>
  </si>
  <si>
    <t>2010-10-07</t>
  </si>
  <si>
    <t>2010-01-07</t>
  </si>
  <si>
    <t>799995912:eng</t>
  </si>
  <si>
    <t>226279657</t>
  </si>
  <si>
    <t>991001554389702656</t>
  </si>
  <si>
    <t>2261163810002656</t>
  </si>
  <si>
    <t>9780071600453</t>
  </si>
  <si>
    <t>30001005366424</t>
  </si>
  <si>
    <t>893732158</t>
  </si>
  <si>
    <t>QV 18.2 P536 2002</t>
  </si>
  <si>
    <t>0                      QV 0018200P  536         2002</t>
  </si>
  <si>
    <t>Pharmacology : PreTest self-assessment and review / Arnold Stern ; student reviewers, Christopher A. Heck, Junda C. Woo.</t>
  </si>
  <si>
    <t>New York : McGraw-Hill, Medical Pub. Division, c2002.</t>
  </si>
  <si>
    <t>2002</t>
  </si>
  <si>
    <t>2002-10-16</t>
  </si>
  <si>
    <t>2002-10-09</t>
  </si>
  <si>
    <t>3134333936:eng</t>
  </si>
  <si>
    <t>46970649</t>
  </si>
  <si>
    <t>991000330449702656</t>
  </si>
  <si>
    <t>2257023120002656</t>
  </si>
  <si>
    <t>9780071367042</t>
  </si>
  <si>
    <t>30001004440832</t>
  </si>
  <si>
    <t>893542260</t>
  </si>
  <si>
    <t>QV18.2 P542 2001</t>
  </si>
  <si>
    <t>0                      QV 0018200P  542         2001</t>
  </si>
  <si>
    <t>Pharmacy review : pearls of wisdom / [edited by] Francisco Talavera, Eric Scholar.</t>
  </si>
  <si>
    <t>Lincoln, Neb. : Boston Medical Pub. Corp., 2001.</t>
  </si>
  <si>
    <t>nbu</t>
  </si>
  <si>
    <t>2008-04-27</t>
  </si>
  <si>
    <t>2001-11-13</t>
  </si>
  <si>
    <t>476073011:eng</t>
  </si>
  <si>
    <t>48125059</t>
  </si>
  <si>
    <t>991000293099702656</t>
  </si>
  <si>
    <t>2258520580002656</t>
  </si>
  <si>
    <t>9781584090359</t>
  </si>
  <si>
    <t>30001004235240</t>
  </si>
  <si>
    <t>893370311</t>
  </si>
  <si>
    <t>QV 18.2 R496p 1999</t>
  </si>
  <si>
    <t>0                      QV 0018200R  496p        1999</t>
  </si>
  <si>
    <t>Principles of pharmacology for medical assisting / Jane Rice.</t>
  </si>
  <si>
    <t>Rice, Jane.</t>
  </si>
  <si>
    <t>Albany, N.Y.: Delmar, c1999.</t>
  </si>
  <si>
    <t>2006-04-30</t>
  </si>
  <si>
    <t>1999-01-07</t>
  </si>
  <si>
    <t>990148:eng</t>
  </si>
  <si>
    <t>39202451</t>
  </si>
  <si>
    <t>991001549129702656</t>
  </si>
  <si>
    <t>2256461700002656</t>
  </si>
  <si>
    <t>9780766803251</t>
  </si>
  <si>
    <t>30001004037869</t>
  </si>
  <si>
    <t>893162144</t>
  </si>
  <si>
    <t>QV 20.5 A392n 1991</t>
  </si>
  <si>
    <t>0                      QV 0020500A  392n        1991</t>
  </si>
  <si>
    <t>New leads and targets in drug research : proceedings of the Alfred Benzon Symposium 33 held at the premises of the Royal Danish Academy of Sciences and Letters, Copenhagen, September 1-5, 1991 / edited by Povl Krogsgaard-Larsen, Søren Brøgger Christensen, Helmer Kofod.</t>
  </si>
  <si>
    <t>Alfred Benzon Symposium (33rd : 1991 : Copenhagen, Denmark)</t>
  </si>
  <si>
    <t>Copenhagen : Munksgaard, c1992.</t>
  </si>
  <si>
    <t xml:space="preserve">dk </t>
  </si>
  <si>
    <t>352327380:eng</t>
  </si>
  <si>
    <t>26638181</t>
  </si>
  <si>
    <t>991001511439702656</t>
  </si>
  <si>
    <t>2263362440002656</t>
  </si>
  <si>
    <t>9788716108104</t>
  </si>
  <si>
    <t>30001002600882</t>
  </si>
  <si>
    <t>893826814</t>
  </si>
  <si>
    <t>QV 20.5 B615 1975</t>
  </si>
  <si>
    <t>0                      QV 0020500B  615         1975</t>
  </si>
  <si>
    <t>Biomedical experimentation on prisoners : review of practices and problems and proposal of a new regulatory approach / by Albert R. Jonsen ... [et al.].</t>
  </si>
  <si>
    <t>-- San Francisco, Cal. : School of Medicine, University of California, 1975.</t>
  </si>
  <si>
    <t>Health Policy Program Discussion Paper, September 1975</t>
  </si>
  <si>
    <t>1991-12-17</t>
  </si>
  <si>
    <t>933945940:eng</t>
  </si>
  <si>
    <t>5000869</t>
  </si>
  <si>
    <t>991000950599702656</t>
  </si>
  <si>
    <t>2266198380002656</t>
  </si>
  <si>
    <t>30001000190878</t>
  </si>
  <si>
    <t>893358034</t>
  </si>
  <si>
    <t>QV21 B496c 2002</t>
  </si>
  <si>
    <t>0                      QV 0021000B  496c        2002</t>
  </si>
  <si>
    <t>Communication skills for pharmacists : building relationships, improving patient care / Bruce A. Berger.</t>
  </si>
  <si>
    <t>Berger, Bruce A.</t>
  </si>
  <si>
    <t>Washington, D.C. : American Pharmaceutical Association, c2002.</t>
  </si>
  <si>
    <t>dcu</t>
  </si>
  <si>
    <t>2003-05-22</t>
  </si>
  <si>
    <t>485411:eng</t>
  </si>
  <si>
    <t>50639318</t>
  </si>
  <si>
    <t>991000347439702656</t>
  </si>
  <si>
    <t>2263452820002656</t>
  </si>
  <si>
    <t>9781582120423</t>
  </si>
  <si>
    <t>30001004504306</t>
  </si>
  <si>
    <t>893359492</t>
  </si>
  <si>
    <t>QV21 B496c 2005</t>
  </si>
  <si>
    <t>0                      QV 0021000B  496c        2005</t>
  </si>
  <si>
    <t>Washington, D.C. : American Pharmacists Association, 2005.</t>
  </si>
  <si>
    <t>2008-11-12</t>
  </si>
  <si>
    <t>2006-08-22</t>
  </si>
  <si>
    <t>57514962</t>
  </si>
  <si>
    <t>991000529869702656</t>
  </si>
  <si>
    <t>2254883950002656</t>
  </si>
  <si>
    <t>9781582120805</t>
  </si>
  <si>
    <t>30001005170305</t>
  </si>
  <si>
    <t>893559708</t>
  </si>
  <si>
    <t>QV 21 B928e 1994</t>
  </si>
  <si>
    <t>0                      QV 0021000B  928e        1994</t>
  </si>
  <si>
    <t>Ethical responsibility in pharmacy practice / Robert A. Buerki, Louis D. Vottero.</t>
  </si>
  <si>
    <t>Buerki, Robert A.</t>
  </si>
  <si>
    <t>Madison, Wis. : American Institute of the History of Pharmacy, c1994.</t>
  </si>
  <si>
    <t>wiu</t>
  </si>
  <si>
    <t>2005-10-11</t>
  </si>
  <si>
    <t>1995-08-09</t>
  </si>
  <si>
    <t>7589599:eng</t>
  </si>
  <si>
    <t>31272352</t>
  </si>
  <si>
    <t>991001403449702656</t>
  </si>
  <si>
    <t>2260485910002656</t>
  </si>
  <si>
    <t>9780931292255</t>
  </si>
  <si>
    <t>30001003149186</t>
  </si>
  <si>
    <t>893727542</t>
  </si>
  <si>
    <t>QV 21 B961o 1959</t>
  </si>
  <si>
    <t>0                      QV 0021000B  961o        1959</t>
  </si>
  <si>
    <t>Orientation to pharmacy / Henry M. Burlage, Charles O. Lee, L. Wait Rising.</t>
  </si>
  <si>
    <t>Burlage, Henry M., 1897-1978.</t>
  </si>
  <si>
    <t>New York : McGraw-Hill, Blakiston Division, c1959.</t>
  </si>
  <si>
    <t>1959</t>
  </si>
  <si>
    <t>1988-01-18</t>
  </si>
  <si>
    <t>8476861:eng</t>
  </si>
  <si>
    <t>14618687</t>
  </si>
  <si>
    <t>991000950639702656</t>
  </si>
  <si>
    <t>2271271820002656</t>
  </si>
  <si>
    <t>30001000190902</t>
  </si>
  <si>
    <t>893643041</t>
  </si>
  <si>
    <t>QV 21.C437 1985</t>
  </si>
  <si>
    <t>0                      QV 0021000C  437         1985</t>
  </si>
  <si>
    <t>The Challenge of ethics in pharmacy practice : symposium / presented at a joint session of the American Institute of the History of Pharmacy and the APhA Academy of Pharmacy Practice ; Robert A. Buerki, chairman.</t>
  </si>
  <si>
    <t>Madison, Wis. : American Institute of the History of Pharmacy, 1985.</t>
  </si>
  <si>
    <t>Publication ; no. 8 (new ser.)</t>
  </si>
  <si>
    <t>2004-02-04</t>
  </si>
  <si>
    <t>23379914:eng</t>
  </si>
  <si>
    <t>21483167</t>
  </si>
  <si>
    <t>991000222339702656</t>
  </si>
  <si>
    <t>2261721660002656</t>
  </si>
  <si>
    <t>9780931292156</t>
  </si>
  <si>
    <t>30001000046237</t>
  </si>
  <si>
    <t>893821924</t>
  </si>
  <si>
    <t>QV21 C577p 2004</t>
  </si>
  <si>
    <t>0                      QV 0021000C  577p        2004</t>
  </si>
  <si>
    <t>Pharmaceutical care practice : the clinician's guide / Robert J. Cipolle, Linda M. Strand, Peter C. Morley.</t>
  </si>
  <si>
    <t>Cipolle, Robert J.</t>
  </si>
  <si>
    <t>New York : McGraw-Hill, Medical Pub. Division, c2004.</t>
  </si>
  <si>
    <t>2006-08-31</t>
  </si>
  <si>
    <t>2004-11-16</t>
  </si>
  <si>
    <t>5343065319:eng</t>
  </si>
  <si>
    <t>53286287</t>
  </si>
  <si>
    <t>991000411289702656</t>
  </si>
  <si>
    <t>2257284910002656</t>
  </si>
  <si>
    <t>9780071362597</t>
  </si>
  <si>
    <t>30001004925295</t>
  </si>
  <si>
    <t>893354282</t>
  </si>
  <si>
    <t>QV 21 C7345 1989</t>
  </si>
  <si>
    <t>0                      QV 0021000C  7345        1989</t>
  </si>
  <si>
    <t>Communication skills in pharmacy practice : a practical guide for students and practitioners / [edited by] William N. Tindall, Robert S. Beardsley, Carole L. Kimberlin.</t>
  </si>
  <si>
    <t>Philadelphia : Lea &amp; Febiger, c1989.</t>
  </si>
  <si>
    <t>1989-07-29</t>
  </si>
  <si>
    <t>4923476460:eng</t>
  </si>
  <si>
    <t>19723746</t>
  </si>
  <si>
    <t>991001312779702656</t>
  </si>
  <si>
    <t>2261804850002656</t>
  </si>
  <si>
    <t>9780812112580</t>
  </si>
  <si>
    <t>30001001751488</t>
  </si>
  <si>
    <t>893541246</t>
  </si>
  <si>
    <t>QV 21 C7348 1994</t>
  </si>
  <si>
    <t>0                      QV 0021000C  7348        1994</t>
  </si>
  <si>
    <t>Philadelphia : Lea &amp; Febiger, c1994.</t>
  </si>
  <si>
    <t>2006-06-05</t>
  </si>
  <si>
    <t>28673250</t>
  </si>
  <si>
    <t>991000501689702656</t>
  </si>
  <si>
    <t>2271728660002656</t>
  </si>
  <si>
    <t>9780812116335</t>
  </si>
  <si>
    <t>30001002568907</t>
  </si>
  <si>
    <t>893354594</t>
  </si>
  <si>
    <t>QV 21 D413p 1959</t>
  </si>
  <si>
    <t>0                      QV 0021000D  413p        1959</t>
  </si>
  <si>
    <t>The profession of pharmacy : an introductory textbook / Richard A. Deno, Thomas D. Rowe, Donald C. Brodie.</t>
  </si>
  <si>
    <t>Deno, Richard A. (Richard Anthony), 1906-</t>
  </si>
  <si>
    <t>Philadelphia : Lippincott, c1959.</t>
  </si>
  <si>
    <t>303405769:eng</t>
  </si>
  <si>
    <t>1457951</t>
  </si>
  <si>
    <t>991000950869702656</t>
  </si>
  <si>
    <t>2257144320002656</t>
  </si>
  <si>
    <t>30001000190951</t>
  </si>
  <si>
    <t>893731554</t>
  </si>
  <si>
    <t>QV 21 E84 1996</t>
  </si>
  <si>
    <t>0                      QV 0021000E  84          1996</t>
  </si>
  <si>
    <t>Ethical dimensions of pharmaceutical care / Amy Marie Haddad, Robert A. Buerki, editors.</t>
  </si>
  <si>
    <t>New York : Pharmaceutical Products Press, c1996.</t>
  </si>
  <si>
    <t>2002-07-08</t>
  </si>
  <si>
    <t>1998-01-16</t>
  </si>
  <si>
    <t>354593647:eng</t>
  </si>
  <si>
    <t>34576828</t>
  </si>
  <si>
    <t>991000503819702656</t>
  </si>
  <si>
    <t>2271714830002656</t>
  </si>
  <si>
    <t>9781560248354</t>
  </si>
  <si>
    <t>30001003664861</t>
  </si>
  <si>
    <t>893112401</t>
  </si>
  <si>
    <t>QV 21 G562 1998</t>
  </si>
  <si>
    <t>0                      QV 0021000G  562         1998</t>
  </si>
  <si>
    <t>Global visions of women pharmacists : speeches from an international forum / editors, Mary J. Berg, Marianne R. Rollings.</t>
  </si>
  <si>
    <t>Richmond, VA : Leadership International Library, 1998.</t>
  </si>
  <si>
    <t>2002-06-25</t>
  </si>
  <si>
    <t>1103624124:eng</t>
  </si>
  <si>
    <t>40535052</t>
  </si>
  <si>
    <t>991000317879702656</t>
  </si>
  <si>
    <t>2271325220002656</t>
  </si>
  <si>
    <t>30001004071868</t>
  </si>
  <si>
    <t>893269349</t>
  </si>
  <si>
    <t>QV 21 K67e 1973</t>
  </si>
  <si>
    <t>0                      QV 0021000K  67e         1973</t>
  </si>
  <si>
    <t>Evaluating pharmacists and their activities : a review of methods and findings / By David A. Knapp, Mickey C. Smith.</t>
  </si>
  <si>
    <t>Knapp, David Allan.</t>
  </si>
  <si>
    <t>Washington : American Society of Hospital Pharmacists Research and Education Foundation, c1973.</t>
  </si>
  <si>
    <t>1973</t>
  </si>
  <si>
    <t>2000-06-02</t>
  </si>
  <si>
    <t>1784890:eng</t>
  </si>
  <si>
    <t>690803</t>
  </si>
  <si>
    <t>991000490729702656</t>
  </si>
  <si>
    <t>2260723760002656</t>
  </si>
  <si>
    <t>30001000190969</t>
  </si>
  <si>
    <t>893275246</t>
  </si>
  <si>
    <t>QV 21 S412i 1951</t>
  </si>
  <si>
    <t>0                      QV 0021000S  412i        1951</t>
  </si>
  <si>
    <t>The interests of pharmacists.</t>
  </si>
  <si>
    <t>Schwebel, Milton.</t>
  </si>
  <si>
    <t>New York : King's Crown Press, 1951.</t>
  </si>
  <si>
    <t>1951</t>
  </si>
  <si>
    <t>4925310:eng</t>
  </si>
  <si>
    <t>2338793</t>
  </si>
  <si>
    <t>991000490759702656</t>
  </si>
  <si>
    <t>2256470300002656</t>
  </si>
  <si>
    <t>30001000190977</t>
  </si>
  <si>
    <t>893733049</t>
  </si>
  <si>
    <t>QV 25 B324a 1987</t>
  </si>
  <si>
    <t>0                      QV 0025000B  324a        1987</t>
  </si>
  <si>
    <t>Analytical procedures for therapeutic drug monitoring and emergency toxicology / Randall C. Baselt.</t>
  </si>
  <si>
    <t>Baselt, Randall C.</t>
  </si>
  <si>
    <t>Littleton, Mass. : PSG Pub. Co., c1987.</t>
  </si>
  <si>
    <t>1989-11-06</t>
  </si>
  <si>
    <t>1988-01-05</t>
  </si>
  <si>
    <t>9089203:eng</t>
  </si>
  <si>
    <t>15084540</t>
  </si>
  <si>
    <t>991001534999702656</t>
  </si>
  <si>
    <t>2265539080002656</t>
  </si>
  <si>
    <t>9780884167228</t>
  </si>
  <si>
    <t>30001000622581</t>
  </si>
  <si>
    <t>893732149</t>
  </si>
  <si>
    <t>QV 25 S997h 1990-91</t>
  </si>
  <si>
    <t>0                      QV 0025000S  997h        1990                                        -91</t>
  </si>
  <si>
    <t>HPLC in pharmaceutical analysis / author, Gábor Szepesi.</t>
  </si>
  <si>
    <t>V. 1</t>
  </si>
  <si>
    <t>Szepesi, Gábor, 1939-</t>
  </si>
  <si>
    <t>Boca Raton, Fla. : CRC Press, c1990-c1991.</t>
  </si>
  <si>
    <t>flu</t>
  </si>
  <si>
    <t>1999-01-15</t>
  </si>
  <si>
    <t>1999-06-22</t>
  </si>
  <si>
    <t>1991-03-02</t>
  </si>
  <si>
    <t>21976021:eng</t>
  </si>
  <si>
    <t>20800068</t>
  </si>
  <si>
    <t>991000824479702656</t>
  </si>
  <si>
    <t>2257094740002656</t>
  </si>
  <si>
    <t>9780849369988</t>
  </si>
  <si>
    <t>30001002088310</t>
  </si>
  <si>
    <t>893120495</t>
  </si>
  <si>
    <t>V. 2</t>
  </si>
  <si>
    <t>30001002088328</t>
  </si>
  <si>
    <t>893133843</t>
  </si>
  <si>
    <t>QV 25 T469d 1990</t>
  </si>
  <si>
    <t>0                      QV 0025000T  469d        1990</t>
  </si>
  <si>
    <t>Drug bioscreening : drug evaluation techniques in pharmacology / Emmanuel B. Thompson.</t>
  </si>
  <si>
    <t>Thompson, Emmanuel B.</t>
  </si>
  <si>
    <t>New York : VCH, c1990.</t>
  </si>
  <si>
    <t>1992-04-07</t>
  </si>
  <si>
    <t>22535948:eng</t>
  </si>
  <si>
    <t>20799575</t>
  </si>
  <si>
    <t>991001300729702656</t>
  </si>
  <si>
    <t>2259656330002656</t>
  </si>
  <si>
    <t>9780895737304</t>
  </si>
  <si>
    <t>30001002411652</t>
  </si>
  <si>
    <t>893649079</t>
  </si>
  <si>
    <t>QV 28 S316p 1942</t>
  </si>
  <si>
    <t>0                      QV 0028000S  316p        1942</t>
  </si>
  <si>
    <t>Pictorial life history of the apothecary chemist Carl Wilhelm Scheele / by George Urdang.</t>
  </si>
  <si>
    <t>Urdang, George, 1882-1960.</t>
  </si>
  <si>
    <t>[Madison, Wis. : American institute of the history of pharmacy, 1942]</t>
  </si>
  <si>
    <t>1942</t>
  </si>
  <si>
    <t>1991-11-26</t>
  </si>
  <si>
    <t>12739497:eng</t>
  </si>
  <si>
    <t>3864589</t>
  </si>
  <si>
    <t>991001153609702656</t>
  </si>
  <si>
    <t>2271780720002656</t>
  </si>
  <si>
    <t>30001002301697</t>
  </si>
  <si>
    <t>893161719</t>
  </si>
  <si>
    <t>QV 32 AA1 F2 1974</t>
  </si>
  <si>
    <t>0                      QV 0032000AA 1                  F  2           1974</t>
  </si>
  <si>
    <t>Federal and state laws pertaining to methadone / [By J.C. Cobb, ... [et al.].</t>
  </si>
  <si>
    <t>Rockville, Md. : National Institute on Drug Abuse, [1974].</t>
  </si>
  <si>
    <t>1974</t>
  </si>
  <si>
    <t>DHEW publication ; no. (ADM) 74-62</t>
  </si>
  <si>
    <t>2003-04-11</t>
  </si>
  <si>
    <t>1990-12-12</t>
  </si>
  <si>
    <t>8960869595:eng</t>
  </si>
  <si>
    <t>1010431</t>
  </si>
  <si>
    <t>991000812219702656</t>
  </si>
  <si>
    <t>2259254810002656</t>
  </si>
  <si>
    <t>30001002085076</t>
  </si>
  <si>
    <t>893278248</t>
  </si>
  <si>
    <t>QV 32 AA1 H3L 1971</t>
  </si>
  <si>
    <t>0                      QV 0032000AA 1                  H  3L          1971</t>
  </si>
  <si>
    <t>Law for the pharmacy student / William E. Hassan, Jr.</t>
  </si>
  <si>
    <t>Hassan, William E.</t>
  </si>
  <si>
    <t>Philadelphia : Lea &amp; Febiger, 1971.</t>
  </si>
  <si>
    <t>1971</t>
  </si>
  <si>
    <t>1989-01-09</t>
  </si>
  <si>
    <t>1988-03-01</t>
  </si>
  <si>
    <t>1258729:eng</t>
  </si>
  <si>
    <t>203089</t>
  </si>
  <si>
    <t>991000951609702656</t>
  </si>
  <si>
    <t>2256059840002656</t>
  </si>
  <si>
    <t>30001000191264</t>
  </si>
  <si>
    <t>893637859</t>
  </si>
  <si>
    <t>QV 32 P536 1992</t>
  </si>
  <si>
    <t>0                      QV 0032000P  536         1992</t>
  </si>
  <si>
    <t>Pharmacy legislation regulations guidelines for long-term care : a resource for the consultant pharmacist.</t>
  </si>
  <si>
    <t>Arlington, VA : American Society of Consultant Pharmacists, c1992.</t>
  </si>
  <si>
    <t>1995-10-27</t>
  </si>
  <si>
    <t>1992-03-31</t>
  </si>
  <si>
    <t>4167061842:eng</t>
  </si>
  <si>
    <t>26268992</t>
  </si>
  <si>
    <t>991001298659702656</t>
  </si>
  <si>
    <t>2268889860002656</t>
  </si>
  <si>
    <t>30001002410985</t>
  </si>
  <si>
    <t>893284659</t>
  </si>
  <si>
    <t>QV 33 AA1 A2p 1997</t>
  </si>
  <si>
    <t>0                      QV 0033000AA 1                  A  2p          1997</t>
  </si>
  <si>
    <t>Pharmacy practice and the law / Richard R. Abood, David B. Brushwood.</t>
  </si>
  <si>
    <t>Abood, Richard R.</t>
  </si>
  <si>
    <t>Gaithersburg, Md. : Aspen, c1997.</t>
  </si>
  <si>
    <t>2003-04-23</t>
  </si>
  <si>
    <t>1997-09-23</t>
  </si>
  <si>
    <t>1997-12-19</t>
  </si>
  <si>
    <t>10610041:eng</t>
  </si>
  <si>
    <t>36848137</t>
  </si>
  <si>
    <t>991001136389702656</t>
  </si>
  <si>
    <t>2259182230002656</t>
  </si>
  <si>
    <t>9780834209152</t>
  </si>
  <si>
    <t>30001003626357</t>
  </si>
  <si>
    <t>893148893</t>
  </si>
  <si>
    <t>2000-12-06</t>
  </si>
  <si>
    <t>30001003669159</t>
  </si>
  <si>
    <t>893161701</t>
  </si>
  <si>
    <t>QV 33 AA1 D3p 1984</t>
  </si>
  <si>
    <t>0                      QV 0033000AA 1                  D  3p          1984</t>
  </si>
  <si>
    <t>Pharmacy and the law / Carl T. DeMarco.</t>
  </si>
  <si>
    <t>DeMarco, Carl T.</t>
  </si>
  <si>
    <t>Rockville, Md. : Aspen Systems Corp., c1984.</t>
  </si>
  <si>
    <t>1994-05-19</t>
  </si>
  <si>
    <t>2738440:eng</t>
  </si>
  <si>
    <t>10557638</t>
  </si>
  <si>
    <t>991000951769702656</t>
  </si>
  <si>
    <t>2258910460002656</t>
  </si>
  <si>
    <t>9780894435911</t>
  </si>
  <si>
    <t>30001000191322</t>
  </si>
  <si>
    <t>893278517</t>
  </si>
  <si>
    <t>QV 33 AA1 N6h 1986</t>
  </si>
  <si>
    <t>0                      QV 0033000AA 1                  N  6h          1986</t>
  </si>
  <si>
    <t>Handbook of federal drug law / James Robert Nielsen.</t>
  </si>
  <si>
    <t>Nielsen, James Robert.</t>
  </si>
  <si>
    <t>1987-10-20</t>
  </si>
  <si>
    <t>5015569:eng</t>
  </si>
  <si>
    <t>12418611</t>
  </si>
  <si>
    <t>991001528569702656</t>
  </si>
  <si>
    <t>2261354470002656</t>
  </si>
  <si>
    <t>9780812109979</t>
  </si>
  <si>
    <t>30001000620759</t>
  </si>
  <si>
    <t>893552605</t>
  </si>
  <si>
    <t>QV 33 AA1 N6h 1992</t>
  </si>
  <si>
    <t>0                      QV 0033000AA 1                  N  6h          1992</t>
  </si>
  <si>
    <t>Philadelphia : Lea &amp; Febiger, c1992.</t>
  </si>
  <si>
    <t>2003-05-23</t>
  </si>
  <si>
    <t>1993-01-19</t>
  </si>
  <si>
    <t>24669804</t>
  </si>
  <si>
    <t>991001434329702656</t>
  </si>
  <si>
    <t>2263878230002656</t>
  </si>
  <si>
    <t>9780812114393</t>
  </si>
  <si>
    <t>30001002530543</t>
  </si>
  <si>
    <t>893161988</t>
  </si>
  <si>
    <t>QV33 AA1 R35 2001</t>
  </si>
  <si>
    <t>0                      QV 0033000AA 1                  R  35          2001</t>
  </si>
  <si>
    <t>Regulatory toxicololgy / [edited by] Shayne C. Gad.</t>
  </si>
  <si>
    <t>London ; New York : Taylor &amp; Francis, 2001.</t>
  </si>
  <si>
    <t>2006-01-25</t>
  </si>
  <si>
    <t>2003-06-06</t>
  </si>
  <si>
    <t>863969068:eng</t>
  </si>
  <si>
    <t>45420161</t>
  </si>
  <si>
    <t>991000349169702656</t>
  </si>
  <si>
    <t>2256322700002656</t>
  </si>
  <si>
    <t>9780415239196</t>
  </si>
  <si>
    <t>30001004502482</t>
  </si>
  <si>
    <t>893822085</t>
  </si>
  <si>
    <t>QV 34 H236 1966 v.18</t>
  </si>
  <si>
    <t>0                      QV 0034000H  236         1966                                        v.18</t>
  </si>
  <si>
    <t>Histamine and anti-histaminics / contributors, S.G.. Alivisatos ... [et al.] ; sub-editor, Mauricio Rocha e Silva in collaboration with Hanna A. Rothschild.</t>
  </si>
  <si>
    <t>V. 18</t>
  </si>
  <si>
    <t>Berlin ; New York : Springer-Verlag, 1966.</t>
  </si>
  <si>
    <t>1966</t>
  </si>
  <si>
    <t>Handbook of experimental pharmacology : New series ; v. 18.</t>
  </si>
  <si>
    <t>2005-08-30</t>
  </si>
  <si>
    <t>1988-03-03</t>
  </si>
  <si>
    <t>3769857306:eng</t>
  </si>
  <si>
    <t>3515687</t>
  </si>
  <si>
    <t>991000951849702656</t>
  </si>
  <si>
    <t>2271933480002656</t>
  </si>
  <si>
    <t>30001000191447</t>
  </si>
  <si>
    <t>893134117</t>
  </si>
  <si>
    <t>QV 34 H236 1971</t>
  </si>
  <si>
    <t>0                      QV 0034000H  236         1971</t>
  </si>
  <si>
    <t>Concepts in biochemical pharmacology / Contributors: W.P. Argy Editors: B.B. Brodie and J.R. Gillette. Assistant editor: Helen S. Ackerman.</t>
  </si>
  <si>
    <t>V. 28 PT. 2</t>
  </si>
  <si>
    <t>Berlin, New York : Springer-Verlag, 1971-</t>
  </si>
  <si>
    <t>Handbuch der experimentellen Pharmakologie. Handbook of experimental pharmacology. New series, v. XXVIII, 1</t>
  </si>
  <si>
    <t>1997-10-11</t>
  </si>
  <si>
    <t>4020044131:eng</t>
  </si>
  <si>
    <t>155228</t>
  </si>
  <si>
    <t>991000951809702656</t>
  </si>
  <si>
    <t>2256674920002656</t>
  </si>
  <si>
    <t>30001000191439</t>
  </si>
  <si>
    <t>893460159</t>
  </si>
  <si>
    <t>V. 28 PT. 1</t>
  </si>
  <si>
    <t>30001000191421</t>
  </si>
  <si>
    <t>893460160</t>
  </si>
  <si>
    <t>QV 38 A512b 1978</t>
  </si>
  <si>
    <t>0                      QV 0038000A  512b        1978</t>
  </si>
  <si>
    <t>The bioavailability of drug products, 1978 : a series of monographs and supplementary information compiled and prepared by the APhA Bioavailability Project and designed to assist pharmacy and medical practitioners in evaluating the bioavailability of important drug products.</t>
  </si>
  <si>
    <t>American Pharmaceutical Association.</t>
  </si>
  <si>
    <t>Washington, D.C. : American Pharmaceutical Association, c1978.</t>
  </si>
  <si>
    <t>-- Cumulative ed. --</t>
  </si>
  <si>
    <t>2001-04-27</t>
  </si>
  <si>
    <t>1988-01-28</t>
  </si>
  <si>
    <t>2865272226:eng</t>
  </si>
  <si>
    <t>3851970</t>
  </si>
  <si>
    <t>991000951969702656</t>
  </si>
  <si>
    <t>2269079980002656</t>
  </si>
  <si>
    <t>9780917730184</t>
  </si>
  <si>
    <t>30001000191603</t>
  </si>
  <si>
    <t>893450634</t>
  </si>
  <si>
    <t>QV38 A947a 2003</t>
  </si>
  <si>
    <t>0                      QV 0038000A  947a        2003</t>
  </si>
  <si>
    <t>Absorption and drug development : solubility, permeability, and charge state / Alex Avdeef.</t>
  </si>
  <si>
    <t>Avdeef, Alex.</t>
  </si>
  <si>
    <t>Hoboken, N.J. : Wiley-Interscience, c2003.</t>
  </si>
  <si>
    <t>nju</t>
  </si>
  <si>
    <t>2009-11-12</t>
  </si>
  <si>
    <t>836397320:eng</t>
  </si>
  <si>
    <t>52295258</t>
  </si>
  <si>
    <t>991000411019702656</t>
  </si>
  <si>
    <t>2268520510002656</t>
  </si>
  <si>
    <t>9780471423652</t>
  </si>
  <si>
    <t>30001004925386</t>
  </si>
  <si>
    <t>893723438</t>
  </si>
  <si>
    <t>QV 38 B615a 1990</t>
  </si>
  <si>
    <t>0                      QV 0038000B  615a        1990</t>
  </si>
  <si>
    <t>Advanced methods of pharmacokinetic and pharmacodynamic systems analysis / edited by David Z. D'Argenio.</t>
  </si>
  <si>
    <t>Biomedical Simulations Resource Workshop on Advanced Methods of Pharmacokinetic and Pharmacodynamic Systems Analysis (1990 : Marina del Rey, Calif.)</t>
  </si>
  <si>
    <t>New York : Plenum Press, c1991.</t>
  </si>
  <si>
    <t>1996-01-25</t>
  </si>
  <si>
    <t>1991-11-18</t>
  </si>
  <si>
    <t>2864352969:eng</t>
  </si>
  <si>
    <t>24065077</t>
  </si>
  <si>
    <t>991001021499702656</t>
  </si>
  <si>
    <t>2263933230002656</t>
  </si>
  <si>
    <t>9780306440281</t>
  </si>
  <si>
    <t>30001002241828</t>
  </si>
  <si>
    <t>893632668</t>
  </si>
  <si>
    <t>QV 38 B775p 1986</t>
  </si>
  <si>
    <t>0                      QV 0038000B  775p        1986</t>
  </si>
  <si>
    <t>Pharmacokinetics for the non-mathematical / D.W.A. Bourne, E.J. Triggs, and M.J. Eadie.</t>
  </si>
  <si>
    <t>Bourne, D. W. A. (David W. A.), 1946-</t>
  </si>
  <si>
    <t>Lancaster ; Boston : MTP Press, c1986.</t>
  </si>
  <si>
    <t>2005-03-24</t>
  </si>
  <si>
    <t>2029069:eng</t>
  </si>
  <si>
    <t>12977848</t>
  </si>
  <si>
    <t>991000951929702656</t>
  </si>
  <si>
    <t>2270906800002656</t>
  </si>
  <si>
    <t>9780852007129</t>
  </si>
  <si>
    <t>30001000191520</t>
  </si>
  <si>
    <t>893284169</t>
  </si>
  <si>
    <t>QV 38 B854d 1994</t>
  </si>
  <si>
    <t>0                      QV 0038000B  854d        1994</t>
  </si>
  <si>
    <t>Drugs in pregnancy and lactation : a reference guide to fetal and neonatal risk / Gerald G. Briggs, Roger K. Freeman, Sumner J. Yaffe.</t>
  </si>
  <si>
    <t>Briggs, Gerald G.</t>
  </si>
  <si>
    <t>Baltimore : Williams &amp; Wilkins, c1994.</t>
  </si>
  <si>
    <t>2001-06-19</t>
  </si>
  <si>
    <t>1994-05-25</t>
  </si>
  <si>
    <t>793832335:eng</t>
  </si>
  <si>
    <t>30376139</t>
  </si>
  <si>
    <t>991001194779702656</t>
  </si>
  <si>
    <t>2259417500002656</t>
  </si>
  <si>
    <t>9780683010602</t>
  </si>
  <si>
    <t>30001002984179</t>
  </si>
  <si>
    <t>893450935</t>
  </si>
  <si>
    <t>QV 38 B854d 1998</t>
  </si>
  <si>
    <t>0                      QV 0038000B  854d        1998</t>
  </si>
  <si>
    <t>Baltimore : Williams &amp; Wilkins, c1998.</t>
  </si>
  <si>
    <t>1999-05-04</t>
  </si>
  <si>
    <t>1998-10-29</t>
  </si>
  <si>
    <t>38016987</t>
  </si>
  <si>
    <t>991000666659702656</t>
  </si>
  <si>
    <t>2266950200002656</t>
  </si>
  <si>
    <t>9780683302622</t>
  </si>
  <si>
    <t>30001004036358</t>
  </si>
  <si>
    <t>893357311</t>
  </si>
  <si>
    <t>QV 38 C641 1989</t>
  </si>
  <si>
    <t>0                      QV 0038000C  641         1989</t>
  </si>
  <si>
    <t>Clinical pharmacokinetics : Drug data handbook 1989.</t>
  </si>
  <si>
    <t>Auckland, New Zealand : ADIS Press, c1989.</t>
  </si>
  <si>
    <t>1989-04-12</t>
  </si>
  <si>
    <t>2452465082:eng</t>
  </si>
  <si>
    <t>19497025</t>
  </si>
  <si>
    <t>991001282539702656</t>
  </si>
  <si>
    <t>2268708880002656</t>
  </si>
  <si>
    <t>30001001706235</t>
  </si>
  <si>
    <t>893638180</t>
  </si>
  <si>
    <t>QV 38 C6413 1988</t>
  </si>
  <si>
    <t>0                      QV 0038000C  6413        1988</t>
  </si>
  <si>
    <t>Clinical pharmacology and nursing / [edited by] Charold L. Baer, Bradley R. Williams.</t>
  </si>
  <si>
    <t>Springhouse, Pa. : Springhouse Pub. Co., c1988.</t>
  </si>
  <si>
    <t>1988-07-08</t>
  </si>
  <si>
    <t>394931701:eng</t>
  </si>
  <si>
    <t>16950645</t>
  </si>
  <si>
    <t>991001417319702656</t>
  </si>
  <si>
    <t>2262944940002656</t>
  </si>
  <si>
    <t>9780874341379</t>
  </si>
  <si>
    <t>30001001181124</t>
  </si>
  <si>
    <t>893638299</t>
  </si>
  <si>
    <t>QV 38 C6417 1985</t>
  </si>
  <si>
    <t>0                      QV 0038000C  6417        1985</t>
  </si>
  <si>
    <t>Clinical pharmacology and therapeutics in nursing.</t>
  </si>
  <si>
    <t>New York : McGraw-Hill, c1985.</t>
  </si>
  <si>
    <t>2nd ed. / [edited by] Mathew B. Wiener, Ginette A. Pepper.</t>
  </si>
  <si>
    <t>1989-11-20</t>
  </si>
  <si>
    <t>1988-10-26</t>
  </si>
  <si>
    <t>54264185:eng</t>
  </si>
  <si>
    <t>11470058</t>
  </si>
  <si>
    <t>991001102529702656</t>
  </si>
  <si>
    <t>2267751640002656</t>
  </si>
  <si>
    <t>9780070701632</t>
  </si>
  <si>
    <t>30001001610015</t>
  </si>
  <si>
    <t>893377105</t>
  </si>
  <si>
    <t>QV 38 C855m 1994</t>
  </si>
  <si>
    <t>0                      QV 0038000C  855m        1994</t>
  </si>
  <si>
    <t>Molecular mechanisms of drug action / Christopher J. Coulson.</t>
  </si>
  <si>
    <t>Coulson, Christopher J.</t>
  </si>
  <si>
    <t>London ; Bristol, Pa. : Taylor &amp; Francis, c1994.</t>
  </si>
  <si>
    <t>1997-11-29</t>
  </si>
  <si>
    <t>1995-02-22</t>
  </si>
  <si>
    <t>9231695:eng</t>
  </si>
  <si>
    <t>28802065</t>
  </si>
  <si>
    <t>991001396399702656</t>
  </si>
  <si>
    <t>2257448950002656</t>
  </si>
  <si>
    <t>9780748400683</t>
  </si>
  <si>
    <t>30001003146141</t>
  </si>
  <si>
    <t>893284750</t>
  </si>
  <si>
    <t>QV 38 C976d 1980</t>
  </si>
  <si>
    <t>0                      QV 0038000C  976d        1980</t>
  </si>
  <si>
    <t>Drug disposition and pharmacokinetics : with a consideration of pharmacological and clinical relationships / Stephen H. Curry.</t>
  </si>
  <si>
    <t>Curry, Stephen H.</t>
  </si>
  <si>
    <t>Oxford ; Boston : Blackwell Scientific, 1980.</t>
  </si>
  <si>
    <t>1980</t>
  </si>
  <si>
    <t>1989-11-03</t>
  </si>
  <si>
    <t>2272931:eng</t>
  </si>
  <si>
    <t>7736884</t>
  </si>
  <si>
    <t>991001097489702656</t>
  </si>
  <si>
    <t>2262956870002656</t>
  </si>
  <si>
    <t>9780632006397</t>
  </si>
  <si>
    <t>30001000268492</t>
  </si>
  <si>
    <t>893820899</t>
  </si>
  <si>
    <t>QV 38 D7967f 2001</t>
  </si>
  <si>
    <t>0                      QV 0038000D  7967f       2001</t>
  </si>
  <si>
    <t>The forensic pharmacology of drugs of abuse / Olaf H. Drummer ; with a contribution by Morris Odell.</t>
  </si>
  <si>
    <t>Drummer, Olaf H.</t>
  </si>
  <si>
    <t>London : Arnold ; New York : Oxford University Press [distributor], 2001.</t>
  </si>
  <si>
    <t>2003-01-27</t>
  </si>
  <si>
    <t>2003-01-24</t>
  </si>
  <si>
    <t>37503096:eng</t>
  </si>
  <si>
    <t>48127583</t>
  </si>
  <si>
    <t>991000336329702656</t>
  </si>
  <si>
    <t>2256846670002656</t>
  </si>
  <si>
    <t>9780340762578</t>
  </si>
  <si>
    <t>30001004571818</t>
  </si>
  <si>
    <t>893122997</t>
  </si>
  <si>
    <t>QV38 E24p 2000</t>
  </si>
  <si>
    <t>0                      QV 0038000E  24p         2000</t>
  </si>
  <si>
    <t>Pharmacology for the primary care provider / Marilyn Winterton Edmunds, Maren Stewart Mayhew.</t>
  </si>
  <si>
    <t>Edmunds, Marilyn W.</t>
  </si>
  <si>
    <t>St. Louis, Mo. : Mosby, c2000.</t>
  </si>
  <si>
    <t>2000</t>
  </si>
  <si>
    <t>2002-10-17</t>
  </si>
  <si>
    <t>2002-06-26</t>
  </si>
  <si>
    <t>1004930:eng</t>
  </si>
  <si>
    <t>42621166</t>
  </si>
  <si>
    <t>991000318459702656</t>
  </si>
  <si>
    <t>2258381430002656</t>
  </si>
  <si>
    <t>9780815130925</t>
  </si>
  <si>
    <t>30001004239754</t>
  </si>
  <si>
    <t>893461341</t>
  </si>
  <si>
    <t>QV 38 E774 1998</t>
  </si>
  <si>
    <t>0                      QV 0038000E  774         1998</t>
  </si>
  <si>
    <t>Essentials of clinical pharmacology in nursing / [edited by] Bradley R. Williams, Charold L. Baer.</t>
  </si>
  <si>
    <t>Springhouse, Pa. : Springhouse Corp., c1998.</t>
  </si>
  <si>
    <t>2001-08-07</t>
  </si>
  <si>
    <t>1999-11-04</t>
  </si>
  <si>
    <t>3856356309:eng</t>
  </si>
  <si>
    <t>37513083</t>
  </si>
  <si>
    <t>991000485609702656</t>
  </si>
  <si>
    <t>2269638600002656</t>
  </si>
  <si>
    <t>9780874349313</t>
  </si>
  <si>
    <t>30001004015873</t>
  </si>
  <si>
    <t>893644463</t>
  </si>
  <si>
    <t>QV 38 E78 1989</t>
  </si>
  <si>
    <t>0                      QV 0038000E  78          1989</t>
  </si>
  <si>
    <t>Essentials of pharmacology / [edited by] P. Michael Conn, G.F. Gebhart.</t>
  </si>
  <si>
    <t>Philadelphia : Davis, c1989.</t>
  </si>
  <si>
    <t>Essentials of medical education series</t>
  </si>
  <si>
    <t>1999-08-08</t>
  </si>
  <si>
    <t>55183498:eng</t>
  </si>
  <si>
    <t>19264310</t>
  </si>
  <si>
    <t>991001367009702656</t>
  </si>
  <si>
    <t>2259499010002656</t>
  </si>
  <si>
    <t>9780803619739</t>
  </si>
  <si>
    <t>30001001797267</t>
  </si>
  <si>
    <t>893455725</t>
  </si>
  <si>
    <t>QV 38 F726 1990</t>
  </si>
  <si>
    <t>0                      QV 0038000F  726         1990</t>
  </si>
  <si>
    <t>Formulation factors in adverse reactions / edited by A.T. Florence and E.G. Salole.</t>
  </si>
  <si>
    <t>London ; Boston : Wright, c1990.</t>
  </si>
  <si>
    <t>Topics in pharmacy ; v. 1</t>
  </si>
  <si>
    <t>1990-08-14</t>
  </si>
  <si>
    <t>354589401:eng</t>
  </si>
  <si>
    <t>19399895</t>
  </si>
  <si>
    <t>991001452799702656</t>
  </si>
  <si>
    <t>2261698140002656</t>
  </si>
  <si>
    <t>9780723609230</t>
  </si>
  <si>
    <t>30001001883737</t>
  </si>
  <si>
    <t>893561037</t>
  </si>
  <si>
    <t>QV 38 G437p 1975</t>
  </si>
  <si>
    <t>0                      QV 0038000G  437p        1975</t>
  </si>
  <si>
    <t>Pharmacokinetics / Milo Gibaldi, Donald Perrier.</t>
  </si>
  <si>
    <t>Gibaldi, Milo.</t>
  </si>
  <si>
    <t>New York : M. Dekker, c1975.</t>
  </si>
  <si>
    <t>Drugs and the pharmaceutical sciences ; v. 1</t>
  </si>
  <si>
    <t>2003-05-24</t>
  </si>
  <si>
    <t>1988-03-02</t>
  </si>
  <si>
    <t>491287:eng</t>
  </si>
  <si>
    <t>1916715</t>
  </si>
  <si>
    <t>991000952139702656</t>
  </si>
  <si>
    <t>2255473230002656</t>
  </si>
  <si>
    <t>30001000191736</t>
  </si>
  <si>
    <t>893161557</t>
  </si>
  <si>
    <t>QV38 G448i 1986</t>
  </si>
  <si>
    <t>0                      QV 0038000G  448i        1986</t>
  </si>
  <si>
    <t>Introduction to drug metabolism / G. Gordon Gibson and Paul Skett.</t>
  </si>
  <si>
    <t>Gibson, G. Gordon.</t>
  </si>
  <si>
    <t>London ; New York : Chapman and Hall, 1986.</t>
  </si>
  <si>
    <t>2000-11-28</t>
  </si>
  <si>
    <t>1987-08-27</t>
  </si>
  <si>
    <t>745643:eng</t>
  </si>
  <si>
    <t>12313526</t>
  </si>
  <si>
    <t>991001486789702656</t>
  </si>
  <si>
    <t>2271872300002656</t>
  </si>
  <si>
    <t>9780412263903</t>
  </si>
  <si>
    <t>30001000575342</t>
  </si>
  <si>
    <t>893460635</t>
  </si>
  <si>
    <t>QV 38 H2364 1983</t>
  </si>
  <si>
    <t>0                      QV 0038000H  2364        1983</t>
  </si>
  <si>
    <t>Handbook of clinical pharmacokinetics / editors, Milo Gibaldi and Laurie Prescott.</t>
  </si>
  <si>
    <t>New York : ADIS Health Science Press, c1983.</t>
  </si>
  <si>
    <t>1994-01-20</t>
  </si>
  <si>
    <t>365502883:eng</t>
  </si>
  <si>
    <t>10273601</t>
  </si>
  <si>
    <t>991000952509702656</t>
  </si>
  <si>
    <t>2271828260002656</t>
  </si>
  <si>
    <t>9780867920048</t>
  </si>
  <si>
    <t>30001000192122</t>
  </si>
  <si>
    <t>893736067</t>
  </si>
  <si>
    <t>QV 38 H251d 1985</t>
  </si>
  <si>
    <t>0                      QV 0038000H  251d        1985</t>
  </si>
  <si>
    <t>Drug interactions : clinical significance of drug-drug interactions / Philip D. Hansten.</t>
  </si>
  <si>
    <t>Hansten, Philip D.</t>
  </si>
  <si>
    <t>Philadelphia : Lea &amp; Febiger, c1985.</t>
  </si>
  <si>
    <t>1992-03-16</t>
  </si>
  <si>
    <t>1990-10-16</t>
  </si>
  <si>
    <t>10349538162:eng</t>
  </si>
  <si>
    <t>11090172</t>
  </si>
  <si>
    <t>991000747659702656</t>
  </si>
  <si>
    <t>2259648250002656</t>
  </si>
  <si>
    <t>9780812109443</t>
  </si>
  <si>
    <t>30001000046344</t>
  </si>
  <si>
    <t>893726655</t>
  </si>
  <si>
    <t>QV 38 H917 1993</t>
  </si>
  <si>
    <t>0                      QV 0038000H  917         1993</t>
  </si>
  <si>
    <t>Human drug metabolism : from molecular biology to man / edited by Elizabeth H. Jeffery.</t>
  </si>
  <si>
    <t>Boca Raton : CRC Press, c1993.</t>
  </si>
  <si>
    <t>Pharmacology and toxicology</t>
  </si>
  <si>
    <t>2004-08-20</t>
  </si>
  <si>
    <t>806855051:eng</t>
  </si>
  <si>
    <t>26098903</t>
  </si>
  <si>
    <t>991001512099702656</t>
  </si>
  <si>
    <t>2266775560002656</t>
  </si>
  <si>
    <t>9780849378102</t>
  </si>
  <si>
    <t>30001002601005</t>
  </si>
  <si>
    <t>893121584</t>
  </si>
  <si>
    <t>QV 38 I61 1997</t>
  </si>
  <si>
    <t>0                      QV 0038000I  61          1997</t>
  </si>
  <si>
    <t>Integrated pharmacology / by Clive P. Page ... [et al.]</t>
  </si>
  <si>
    <t>London : Mosby, c1997.</t>
  </si>
  <si>
    <t>2003-11-09</t>
  </si>
  <si>
    <t>1997-09-10</t>
  </si>
  <si>
    <t>54144171:eng</t>
  </si>
  <si>
    <t>37732035</t>
  </si>
  <si>
    <t>991001559389702656</t>
  </si>
  <si>
    <t>2261436280002656</t>
  </si>
  <si>
    <t>9780723425564</t>
  </si>
  <si>
    <t>30001003605815</t>
  </si>
  <si>
    <t>893268642</t>
  </si>
  <si>
    <t>QV 38 J54p 2006</t>
  </si>
  <si>
    <t>0                      QV 0038000J  54p         2006</t>
  </si>
  <si>
    <t>Pharmacology and drug administration for imaging technologists / Steven C. Jensen, Michael P. Peppers.</t>
  </si>
  <si>
    <t>Jensen, Steven C.</t>
  </si>
  <si>
    <t>St. Louis : Mosby/Elsevier, c2006.</t>
  </si>
  <si>
    <t>2006-11-16</t>
  </si>
  <si>
    <t>2006-09-14</t>
  </si>
  <si>
    <t>2762400:eng</t>
  </si>
  <si>
    <t>62234893</t>
  </si>
  <si>
    <t>991001743169702656</t>
  </si>
  <si>
    <t>2264000690002656</t>
  </si>
  <si>
    <t>9780323030755</t>
  </si>
  <si>
    <t>30001005175148</t>
  </si>
  <si>
    <t>893821648</t>
  </si>
  <si>
    <t>QV 38 J65 1993</t>
  </si>
  <si>
    <t>0                      QV 0038000J  65          1993</t>
  </si>
  <si>
    <t>The Johns Hopkins handbook of drugs : for the 100 major medical disorders of people over the age of 50 : with a special expanded table of contents organized by disorder / medical editor, Simeon Margolis ; prepared by the editors of the Johns Hopkins medical letter health after 50.</t>
  </si>
  <si>
    <t>New York : Rebus : Distributed by Random House, c1993.</t>
  </si>
  <si>
    <t>1994-02-28</t>
  </si>
  <si>
    <t>1994-02-18</t>
  </si>
  <si>
    <t>382051:eng</t>
  </si>
  <si>
    <t>27812393</t>
  </si>
  <si>
    <t>991000552829702656</t>
  </si>
  <si>
    <t>2258187830002656</t>
  </si>
  <si>
    <t>9780929661070</t>
  </si>
  <si>
    <t>30001002671503</t>
  </si>
  <si>
    <t>893463537</t>
  </si>
  <si>
    <t>QV 38 K33p 1987</t>
  </si>
  <si>
    <t>0                      QV 0038000K  33p         1987</t>
  </si>
  <si>
    <t>Pharmacologic analysis of drug-receptor interaction / Terrence P. Kenakin.</t>
  </si>
  <si>
    <t>Kenakin, Terrence P.</t>
  </si>
  <si>
    <t>New York : Raven Press, c1987.</t>
  </si>
  <si>
    <t>2006-10-02</t>
  </si>
  <si>
    <t>1987-10-21</t>
  </si>
  <si>
    <t>350065:eng</t>
  </si>
  <si>
    <t>15661034</t>
  </si>
  <si>
    <t>991001528529702656</t>
  </si>
  <si>
    <t>2270529370002656</t>
  </si>
  <si>
    <t>9780881672770</t>
  </si>
  <si>
    <t>30001000620734</t>
  </si>
  <si>
    <t>893558072</t>
  </si>
  <si>
    <t>QV 38 L379e 1964</t>
  </si>
  <si>
    <t>0                      QV 0038000L  379e        1964</t>
  </si>
  <si>
    <t>Evaluation of drug activities : pharmacometrics / edited by D.R. Laurence and A.L. Bacharach.</t>
  </si>
  <si>
    <t>Laurence, D. R. (Desmond Roger) editor.</t>
  </si>
  <si>
    <t>London, New York : Academic Press, 1964.</t>
  </si>
  <si>
    <t>1964</t>
  </si>
  <si>
    <t>1991-04-12</t>
  </si>
  <si>
    <t>1991-05-08</t>
  </si>
  <si>
    <t>1988-03-25</t>
  </si>
  <si>
    <t>346542132:eng</t>
  </si>
  <si>
    <t>595025</t>
  </si>
  <si>
    <t>991000952469702656</t>
  </si>
  <si>
    <t>2272346220002656</t>
  </si>
  <si>
    <t>30001000192015</t>
  </si>
  <si>
    <t>893363576</t>
  </si>
  <si>
    <t>30001000192007</t>
  </si>
  <si>
    <t>893368926</t>
  </si>
  <si>
    <t>QV 38 L473o 1980 v.2</t>
  </si>
  <si>
    <t>0                      QV 0038000L  473o        1980                                        v.2</t>
  </si>
  <si>
    <t>The organic chemistry of drug synthesis : Volume 2 / Daniel Lednicer, Lester A. Mitscher.</t>
  </si>
  <si>
    <t>Lednicer, Daniel, 1929-</t>
  </si>
  <si>
    <t>New York : Wiley, c1980.</t>
  </si>
  <si>
    <t>1989-02-24</t>
  </si>
  <si>
    <t>10792638871:eng</t>
  </si>
  <si>
    <t>2388302</t>
  </si>
  <si>
    <t>991000952429702656</t>
  </si>
  <si>
    <t>2259227850002656</t>
  </si>
  <si>
    <t>30001000191991</t>
  </si>
  <si>
    <t>893560784</t>
  </si>
  <si>
    <t>QV 38 L665 1983</t>
  </si>
  <si>
    <t>0                      QV 0038000L  665         1983</t>
  </si>
  <si>
    <t>Pharmacology : drug actions and reactions / Ruth R. Levine ; foreword by Byron B. Clark.</t>
  </si>
  <si>
    <t>Levine, Ruth R.</t>
  </si>
  <si>
    <t>Boston, Mass. : Little, Brown, c1983.</t>
  </si>
  <si>
    <t>2003-06-30</t>
  </si>
  <si>
    <t>1652529:eng</t>
  </si>
  <si>
    <t>9729530</t>
  </si>
  <si>
    <t>991000952389702656</t>
  </si>
  <si>
    <t>2264836490002656</t>
  </si>
  <si>
    <t>9780316522229</t>
  </si>
  <si>
    <t>30001000191959</t>
  </si>
  <si>
    <t>893284171</t>
  </si>
  <si>
    <t>QV38 L665p 2005</t>
  </si>
  <si>
    <t>0                      QV 0038000L  665p        2005</t>
  </si>
  <si>
    <t>Levine's pharmacology : drug actions and reactions.</t>
  </si>
  <si>
    <t>Walsh, Carol T.</t>
  </si>
  <si>
    <t>London : Taylor &amp; Francis, 2005.</t>
  </si>
  <si>
    <t>7th ed. / Carol T. Walsh, Rochelle D. Schwarz-Bloom.</t>
  </si>
  <si>
    <t>2006-06-25</t>
  </si>
  <si>
    <t>2005-02-03</t>
  </si>
  <si>
    <t>2872497195:eng</t>
  </si>
  <si>
    <t>57256484</t>
  </si>
  <si>
    <t>991000425919702656</t>
  </si>
  <si>
    <t>2267542340002656</t>
  </si>
  <si>
    <t>9781842142554</t>
  </si>
  <si>
    <t>30001004927226</t>
  </si>
  <si>
    <t>893558807</t>
  </si>
  <si>
    <t>QV38 M592 1976 PT. 2</t>
  </si>
  <si>
    <t>0                      QV 0038000M  592         1976                                        PT. 2</t>
  </si>
  <si>
    <t>Methods in receptor research / edited by Melvin Blecher.</t>
  </si>
  <si>
    <t>PT. 2*</t>
  </si>
  <si>
    <t>New York : M. Dekker, 1976-</t>
  </si>
  <si>
    <t>Methods in molecular biology ; v. 9</t>
  </si>
  <si>
    <t>2002-04-08</t>
  </si>
  <si>
    <t>1991-03-05</t>
  </si>
  <si>
    <t>3863884748:eng</t>
  </si>
  <si>
    <t>2437968</t>
  </si>
  <si>
    <t>991000952349702656</t>
  </si>
  <si>
    <t>2263414780002656</t>
  </si>
  <si>
    <t>9780824764142</t>
  </si>
  <si>
    <t>30001000191926</t>
  </si>
  <si>
    <t>893287134</t>
  </si>
  <si>
    <t>QV 38 M612s 1952</t>
  </si>
  <si>
    <t>0                      QV 0038000M  612s        1952</t>
  </si>
  <si>
    <t>Side effects of drugs / Translated by Ph. Vuijsje and W. Mulhall Corbet.</t>
  </si>
  <si>
    <t>Meyler, L.</t>
  </si>
  <si>
    <t>Amsterdam ; Houston : Elsevier Pub. Co., c1952.</t>
  </si>
  <si>
    <t>1952</t>
  </si>
  <si>
    <t>1991-10-29</t>
  </si>
  <si>
    <t>4783688673:eng</t>
  </si>
  <si>
    <t>4732796</t>
  </si>
  <si>
    <t>991000952959702656</t>
  </si>
  <si>
    <t>2262311560002656</t>
  </si>
  <si>
    <t>30001000192452</t>
  </si>
  <si>
    <t>893560785</t>
  </si>
  <si>
    <t>QV 38 M613t 1985</t>
  </si>
  <si>
    <t>0                      QV 0038000M  613t        1985</t>
  </si>
  <si>
    <t>The therapeutic equivalence of drug products : a second look / Marvin C. Meyer.</t>
  </si>
  <si>
    <t>Meyer, Marvin C.</t>
  </si>
  <si>
    <t>[Chattanooga, Tenn.] : University of Tennessee, Center for the Health Sciences, College of Pharmacy, [1985]</t>
  </si>
  <si>
    <t>tnu</t>
  </si>
  <si>
    <t>1993-03-23</t>
  </si>
  <si>
    <t>430419064:eng</t>
  </si>
  <si>
    <t>12831981</t>
  </si>
  <si>
    <t>991000952929702656</t>
  </si>
  <si>
    <t>2265162740002656</t>
  </si>
  <si>
    <t>30001000192437</t>
  </si>
  <si>
    <t>893134122</t>
  </si>
  <si>
    <t>QV 38 MO167T 1976 v.9</t>
  </si>
  <si>
    <t>0                      QV 0038000MO 167T        1976                                        v.9</t>
  </si>
  <si>
    <t>Hormone-receptor interaction : molecular aspects / edited by Gerald S. Levey.</t>
  </si>
  <si>
    <t>V. 9</t>
  </si>
  <si>
    <t>New York : Dekker, c1976.</t>
  </si>
  <si>
    <t>Modern pharmacology-toxicology ; v. 9</t>
  </si>
  <si>
    <t>1993-03-01</t>
  </si>
  <si>
    <t>1988-02-04</t>
  </si>
  <si>
    <t>803097708:eng</t>
  </si>
  <si>
    <t>2586624</t>
  </si>
  <si>
    <t>991000952869702656</t>
  </si>
  <si>
    <t>2264004280002656</t>
  </si>
  <si>
    <t>9780824764388</t>
  </si>
  <si>
    <t>30001000192395</t>
  </si>
  <si>
    <t>893161559</t>
  </si>
  <si>
    <t>QV 38 MO167T 1978 v.11</t>
  </si>
  <si>
    <t>0                      QV 0038000MO 167T        1978                                        v.11</t>
  </si>
  <si>
    <t>Receptors in pharmacology / [edited by] John R. Smythies, Ronald J. Bradley.</t>
  </si>
  <si>
    <t>V.11</t>
  </si>
  <si>
    <t>New York : Dekker, c1978.</t>
  </si>
  <si>
    <t>Modern pharmacology-toxicology ; v. 11</t>
  </si>
  <si>
    <t>2008-05-25</t>
  </si>
  <si>
    <t>364432150:eng</t>
  </si>
  <si>
    <t>3517612</t>
  </si>
  <si>
    <t>991000952829702656</t>
  </si>
  <si>
    <t>2271215460002656</t>
  </si>
  <si>
    <t>9780824765460</t>
  </si>
  <si>
    <t>30001000192387</t>
  </si>
  <si>
    <t>893368927</t>
  </si>
  <si>
    <t>QV 38 MO167T 1982 v.20</t>
  </si>
  <si>
    <t>0                      QV 0038000MO 167T        1982                                        v.20</t>
  </si>
  <si>
    <t>Endorphins : chemistry, physiology, pharmacology, and clinical relevance / edited by Jeffrey B. Malick, Robert M.S. Bell.</t>
  </si>
  <si>
    <t>V. 20</t>
  </si>
  <si>
    <t>New York : Dekker, c1982.</t>
  </si>
  <si>
    <t>Modern pharmacology-toxicology ; v. 20</t>
  </si>
  <si>
    <t>1991-06-17</t>
  </si>
  <si>
    <t>982659596:eng</t>
  </si>
  <si>
    <t>8169519</t>
  </si>
  <si>
    <t>991000747689702656</t>
  </si>
  <si>
    <t>2265213040002656</t>
  </si>
  <si>
    <t>9780824716875</t>
  </si>
  <si>
    <t>30001000046351</t>
  </si>
  <si>
    <t>893540388</t>
  </si>
  <si>
    <t>QV 38 N812 1994</t>
  </si>
  <si>
    <t>0                      QV 0038000N  812         1994</t>
  </si>
  <si>
    <t>Noncompliance with medications : an economic tragedy with important implications for health care reform : a report / by The Task Force for Compliance.</t>
  </si>
  <si>
    <t>Baltimore, Md. : The Task Force for Compliance, 1994</t>
  </si>
  <si>
    <t>2009-07-31</t>
  </si>
  <si>
    <t>1995-02-28</t>
  </si>
  <si>
    <t>1151754150:eng</t>
  </si>
  <si>
    <t>31594309</t>
  </si>
  <si>
    <t>991000687609702656</t>
  </si>
  <si>
    <t>2261623050002656</t>
  </si>
  <si>
    <t>30001002699405</t>
  </si>
  <si>
    <t>893825382</t>
  </si>
  <si>
    <t>QV 38 P5315 1991</t>
  </si>
  <si>
    <t>0                      QV 0038000P  5315        1991</t>
  </si>
  <si>
    <t>Pharmaceutical bioequivalence / edited by Peter G. Welling, Francis L.S. Tse, Shrikant V. Dighe.</t>
  </si>
  <si>
    <t>New York : Dekker, c1991.</t>
  </si>
  <si>
    <t>Drugs and the pharmaceutical sciences ; v. 48</t>
  </si>
  <si>
    <t>2004-12-21</t>
  </si>
  <si>
    <t>1991-10-30</t>
  </si>
  <si>
    <t>354617336:eng</t>
  </si>
  <si>
    <t>23973699</t>
  </si>
  <si>
    <t>991000948169702656</t>
  </si>
  <si>
    <t>2265417290002656</t>
  </si>
  <si>
    <t>9780824784843</t>
  </si>
  <si>
    <t>30001002194373</t>
  </si>
  <si>
    <t>893831772</t>
  </si>
  <si>
    <t>QV38 P5319 2005</t>
  </si>
  <si>
    <t>0                      QV 0038000P  5319        2005</t>
  </si>
  <si>
    <t>Pharmacogenomics / [edited by] Werner Kalow, Urs A. Meyer, Rachel F. Tyndale.</t>
  </si>
  <si>
    <t>Boca Raton : Taylor &amp; Francis, 2005.</t>
  </si>
  <si>
    <t>Drugs and the pharmaceutical sciences ; 156</t>
  </si>
  <si>
    <t>2010-08-29</t>
  </si>
  <si>
    <t>2006-04-06</t>
  </si>
  <si>
    <t>864040764:eng</t>
  </si>
  <si>
    <t>60825584</t>
  </si>
  <si>
    <t>991000472619702656</t>
  </si>
  <si>
    <t>2269010490002656</t>
  </si>
  <si>
    <t>9781574448788</t>
  </si>
  <si>
    <t>30001005127123</t>
  </si>
  <si>
    <t>893728451</t>
  </si>
  <si>
    <t>QV 38 P5355 1994</t>
  </si>
  <si>
    <t>0                      QV 0038000P  5355        1994</t>
  </si>
  <si>
    <t>The Pharmacologic approach to the critically ill patient / editor, Bart Chernow ; associate editors, John W. Holaday, Gary P. Zaloga, Arno L. Zaritsky ; editorial assistant, Lisa Daniel.</t>
  </si>
  <si>
    <t>Baltimore, MD : Williams &amp; Wilkins, c1994.</t>
  </si>
  <si>
    <t>1997-05-05</t>
  </si>
  <si>
    <t>1994-01-11</t>
  </si>
  <si>
    <t>353700961:eng</t>
  </si>
  <si>
    <t>28678521</t>
  </si>
  <si>
    <t>991000649389702656</t>
  </si>
  <si>
    <t>2267167270002656</t>
  </si>
  <si>
    <t>9780683015249</t>
  </si>
  <si>
    <t>30001002690792</t>
  </si>
  <si>
    <t>893160726</t>
  </si>
  <si>
    <t>QV 38 P536 1977-81</t>
  </si>
  <si>
    <t>0                      QV 0038000P  536         1977                                        -81</t>
  </si>
  <si>
    <t>Pharmacological and biochemical properties of drug substances / Morton E. Goldberg, editor.</t>
  </si>
  <si>
    <t>Washington : American Pharmaceutical Association, Academy of Pharmaceutical Sciences, c1977-1981.</t>
  </si>
  <si>
    <t>2007-02-04</t>
  </si>
  <si>
    <t>1987-12-11</t>
  </si>
  <si>
    <t>1989-07-21</t>
  </si>
  <si>
    <t>356026183:eng</t>
  </si>
  <si>
    <t>3710703</t>
  </si>
  <si>
    <t>991001254869702656</t>
  </si>
  <si>
    <t>2263897030002656</t>
  </si>
  <si>
    <t>9780917330179</t>
  </si>
  <si>
    <t>30001000369555</t>
  </si>
  <si>
    <t>893268248</t>
  </si>
  <si>
    <t>30001000369548</t>
  </si>
  <si>
    <t>893273937</t>
  </si>
  <si>
    <t>V. 3</t>
  </si>
  <si>
    <t>30001001679960</t>
  </si>
  <si>
    <t>893284605</t>
  </si>
  <si>
    <t>QV 38 P698b 1977</t>
  </si>
  <si>
    <t>0                      QV 0038000P  698b        1977</t>
  </si>
  <si>
    <t>Basic concepts in biopharmaceutics : an introduction / Fotios M. Plakogiannis and Anthony J. Cutie.</t>
  </si>
  <si>
    <t>Plakogiannis, Fotios M.</t>
  </si>
  <si>
    <t>-- Brooklyn, N. Y. : Brooklyn Medical Press, 1977.</t>
  </si>
  <si>
    <t>1998-04-29</t>
  </si>
  <si>
    <t>9253912:eng</t>
  </si>
  <si>
    <t>3304014</t>
  </si>
  <si>
    <t>991000952749702656</t>
  </si>
  <si>
    <t>2266880860002656</t>
  </si>
  <si>
    <t>30001000192312</t>
  </si>
  <si>
    <t>893632527</t>
  </si>
  <si>
    <t>QV 38 P957 1989</t>
  </si>
  <si>
    <t>0                      QV 0038000P  957         1989</t>
  </si>
  <si>
    <t>Principles of medical pharmacology.</t>
  </si>
  <si>
    <t>Toronto ; Philadelphia : Decker ; Saint Louis, Mo. : Mosby, [U.S. distributor], c1989.</t>
  </si>
  <si>
    <t>5th ed. / [edited by] Harold Kalant, Walter H.E. Roschlau.</t>
  </si>
  <si>
    <t>onc</t>
  </si>
  <si>
    <t>2008-06-17</t>
  </si>
  <si>
    <t>1989-11-18</t>
  </si>
  <si>
    <t>354633638:eng</t>
  </si>
  <si>
    <t>20161509</t>
  </si>
  <si>
    <t>991001367579702656</t>
  </si>
  <si>
    <t>2271518590002656</t>
  </si>
  <si>
    <t>9781556641251</t>
  </si>
  <si>
    <t>30001001797341</t>
  </si>
  <si>
    <t>893284731</t>
  </si>
  <si>
    <t>QV 38 P957 1990</t>
  </si>
  <si>
    <t>0                      QV 0038000P  957         1990</t>
  </si>
  <si>
    <t>Principles of drug action : the basis of pharmacology.</t>
  </si>
  <si>
    <t>New York : Churchill Livingstone, c1990.</t>
  </si>
  <si>
    <t>3rd ed. / edited by William B. Pratt, Palmer Taylor.</t>
  </si>
  <si>
    <t>2004-09-07</t>
  </si>
  <si>
    <t>807715018:eng</t>
  </si>
  <si>
    <t>21226640</t>
  </si>
  <si>
    <t>991000821779702656</t>
  </si>
  <si>
    <t>2271240580002656</t>
  </si>
  <si>
    <t>9780443086762</t>
  </si>
  <si>
    <t>30001002087627</t>
  </si>
  <si>
    <t>893648277</t>
  </si>
  <si>
    <t>QV 38 PR524E 1976 v.10</t>
  </si>
  <si>
    <t>0                      QV 0038000PR 524E        1976                                        v.10</t>
  </si>
  <si>
    <t>Patient compliance / edited by Louis Lasagna.</t>
  </si>
  <si>
    <t>V. 10</t>
  </si>
  <si>
    <t>Mount Kisco, N.Y. : Futura Pub. Co., c1976.</t>
  </si>
  <si>
    <t>Principles and techniques of human research and therapeutics ; v. 10.</t>
  </si>
  <si>
    <t>1996-02-22</t>
  </si>
  <si>
    <t>1988-01-09</t>
  </si>
  <si>
    <t>54135046:eng</t>
  </si>
  <si>
    <t>2486308</t>
  </si>
  <si>
    <t>991000984879702656</t>
  </si>
  <si>
    <t>2260930830002656</t>
  </si>
  <si>
    <t>9780879930813</t>
  </si>
  <si>
    <t>30001000216483</t>
  </si>
  <si>
    <t>893637913</t>
  </si>
  <si>
    <t>QV 38 R236 1990</t>
  </si>
  <si>
    <t>0                      QV 0038000R  236         1990</t>
  </si>
  <si>
    <t>Rational therapeutics : a clinical pharmacologic guide for the health professional / edited by Roger L. Williams, D. Craig Brater, Joyce Mordenti.</t>
  </si>
  <si>
    <t>V. 16</t>
  </si>
  <si>
    <t>New York : M. Dekker, c1990.</t>
  </si>
  <si>
    <t>Clinical pharmacology ; v. 16</t>
  </si>
  <si>
    <t>1995-12-11</t>
  </si>
  <si>
    <t>1990-07-03</t>
  </si>
  <si>
    <t>795540680:eng</t>
  </si>
  <si>
    <t>20491813</t>
  </si>
  <si>
    <t>991001451099702656</t>
  </si>
  <si>
    <t>2267700300002656</t>
  </si>
  <si>
    <t>9780824779467</t>
  </si>
  <si>
    <t>30001001882994</t>
  </si>
  <si>
    <t>893821227</t>
  </si>
  <si>
    <t>QV 38 R29435 1999</t>
  </si>
  <si>
    <t>0                      QV 0038000R  29435       1999</t>
  </si>
  <si>
    <t>Receptor binding techniques / edited by Mary Keen.</t>
  </si>
  <si>
    <t>Totowa, N.J. : Humana Press, c1999.</t>
  </si>
  <si>
    <t>Methods in molecular biology ; v. 106</t>
  </si>
  <si>
    <t>2008-05-05</t>
  </si>
  <si>
    <t>2000-02-18</t>
  </si>
  <si>
    <t>138847712:eng</t>
  </si>
  <si>
    <t>40120334</t>
  </si>
  <si>
    <t>991001406419702656</t>
  </si>
  <si>
    <t>2264405060002656</t>
  </si>
  <si>
    <t>9780896035300</t>
  </si>
  <si>
    <t>30001003820653</t>
  </si>
  <si>
    <t>893134528</t>
  </si>
  <si>
    <t>QV 38 R295</t>
  </si>
  <si>
    <t>0                      QV 0038000R  295</t>
  </si>
  <si>
    <t>The Receptors : a comprehensive treatise / edited by R. D. O'Brien.</t>
  </si>
  <si>
    <t>-- New York : Plenum Press, c1979-</t>
  </si>
  <si>
    <t>1988-04-18</t>
  </si>
  <si>
    <t>3857501970:eng</t>
  </si>
  <si>
    <t>4503551</t>
  </si>
  <si>
    <t>991000952719702656</t>
  </si>
  <si>
    <t>2265266120002656</t>
  </si>
  <si>
    <t>9780306401008</t>
  </si>
  <si>
    <t>30001000192270</t>
  </si>
  <si>
    <t>893820756</t>
  </si>
  <si>
    <t>QV 38 R612h 1980</t>
  </si>
  <si>
    <t>0                      QV 0038000R  612h        1980</t>
  </si>
  <si>
    <t>Handbook of basic pharmacokinetics / by W.A. Ritschel.</t>
  </si>
  <si>
    <t>Ritschel, W. A. (Wolfgang A.)</t>
  </si>
  <si>
    <t>Hamilton, Ill. : Drug Intelligence Publications, c1980.</t>
  </si>
  <si>
    <t>2006-08-20</t>
  </si>
  <si>
    <t>945350:eng</t>
  </si>
  <si>
    <t>8051174</t>
  </si>
  <si>
    <t>991000952679702656</t>
  </si>
  <si>
    <t>2268276380002656</t>
  </si>
  <si>
    <t>9780914768340</t>
  </si>
  <si>
    <t>30001000192254</t>
  </si>
  <si>
    <t>893736068</t>
  </si>
  <si>
    <t>QV 38 R628i 2000</t>
  </si>
  <si>
    <t>0                      QV 0038000R  628i        2000</t>
  </si>
  <si>
    <t>Introductory clinical pharmacology / Sally S. Roach, Jeanne C. Scherer.</t>
  </si>
  <si>
    <t>Roach, Sally S.</t>
  </si>
  <si>
    <t>Philadelphia : Lippincott, c2000.</t>
  </si>
  <si>
    <t>2006-07-03</t>
  </si>
  <si>
    <t>2000-02-08</t>
  </si>
  <si>
    <t>41326409</t>
  </si>
  <si>
    <t>991001412279702656</t>
  </si>
  <si>
    <t>2264813840002656</t>
  </si>
  <si>
    <t>9780781716376</t>
  </si>
  <si>
    <t>30001003832385</t>
  </si>
  <si>
    <t>893741104</t>
  </si>
  <si>
    <t>QV 38 R698d 1989</t>
  </si>
  <si>
    <t>0                      QV 0038000R  698d        1989</t>
  </si>
  <si>
    <t>Diet and drug interactions / Daphne A. Roe.</t>
  </si>
  <si>
    <t>Roe, Daphne A., 1923-</t>
  </si>
  <si>
    <t>New York : Van Nostrand Reinhold Co., c1988.</t>
  </si>
  <si>
    <t>1997-09-24</t>
  </si>
  <si>
    <t>1989-02-07</t>
  </si>
  <si>
    <t>15385109:eng</t>
  </si>
  <si>
    <t>17650456</t>
  </si>
  <si>
    <t>991001121329702656</t>
  </si>
  <si>
    <t>2259906500002656</t>
  </si>
  <si>
    <t>9780442204877</t>
  </si>
  <si>
    <t>30001001614538</t>
  </si>
  <si>
    <t>893363786</t>
  </si>
  <si>
    <t>QV 38 S257h 1989</t>
  </si>
  <si>
    <t>0                      QV 0038000S  257h        1989</t>
  </si>
  <si>
    <t>Human drug kinetics : a course of simulated experiments / L. Saunders, D. Ingram, S.H.D. Jackson.</t>
  </si>
  <si>
    <t>Saunders, Leonard.</t>
  </si>
  <si>
    <t>Oxford, England ; New York : IRL Press, c1989.</t>
  </si>
  <si>
    <t>2002-04-15</t>
  </si>
  <si>
    <t>365203224:eng</t>
  </si>
  <si>
    <t>18833905</t>
  </si>
  <si>
    <t>991001361149702656</t>
  </si>
  <si>
    <t>2258633530002656</t>
  </si>
  <si>
    <t>9780199630387</t>
  </si>
  <si>
    <t>30001001796731</t>
  </si>
  <si>
    <t>893826682</t>
  </si>
  <si>
    <t>QV 38 S416 1986</t>
  </si>
  <si>
    <t>0                      QV 0038000S  416         1986</t>
  </si>
  <si>
    <t>The scientific basis of clinical pharmacology : principles and examples / [edited by] Reynold Spector.</t>
  </si>
  <si>
    <t>Boston : Little, Brown, c1986.</t>
  </si>
  <si>
    <t>1995-09-10</t>
  </si>
  <si>
    <t>5368441:eng</t>
  </si>
  <si>
    <t>12852855</t>
  </si>
  <si>
    <t>991000952639702656</t>
  </si>
  <si>
    <t>2257812680002656</t>
  </si>
  <si>
    <t>9780316805827</t>
  </si>
  <si>
    <t>30001000192239</t>
  </si>
  <si>
    <t>893455308</t>
  </si>
  <si>
    <t>QV 38 S531a 1985</t>
  </si>
  <si>
    <t>0                      QV 0038000S  531a        1985</t>
  </si>
  <si>
    <t>Applied biopharmaceutics and pharmacokinetics / Leon Shargel, Andrew B.C. Yu.</t>
  </si>
  <si>
    <t>Shargel, Leon, 1941-</t>
  </si>
  <si>
    <t>2010-09-22</t>
  </si>
  <si>
    <t>4926928282:eng</t>
  </si>
  <si>
    <t>11677391</t>
  </si>
  <si>
    <t>991000747719702656</t>
  </si>
  <si>
    <t>2261264350002656</t>
  </si>
  <si>
    <t>9780838501061</t>
  </si>
  <si>
    <t>30001000046369</t>
  </si>
  <si>
    <t>893368425</t>
  </si>
  <si>
    <t>QV 38 S985c 1974</t>
  </si>
  <si>
    <t>0                      QV 0038000S  985c        1974</t>
  </si>
  <si>
    <t>Clinical pharmacokinetics : a symposium / [edited by Gerhard Levy].</t>
  </si>
  <si>
    <t>Symposium on Clinical Pharmacokinetics (1974 : New Orleans, La.)</t>
  </si>
  <si>
    <t>-- [Washington] : American Pharmaceutical Association, Academy of Pharmaceutical Sciences, 1974.</t>
  </si>
  <si>
    <t>1994-10-06</t>
  </si>
  <si>
    <t>8612264:eng</t>
  </si>
  <si>
    <t>3255329</t>
  </si>
  <si>
    <t>991000952999702656</t>
  </si>
  <si>
    <t>2272448160002656</t>
  </si>
  <si>
    <t>30001000192460</t>
  </si>
  <si>
    <t>893278519</t>
  </si>
  <si>
    <t>QV 38 T1855 1991</t>
  </si>
  <si>
    <t>0                      QV 0038000T  1855        1991</t>
  </si>
  <si>
    <t>Targeting of drugs 3 : the challenge of peptides and proteins / edited by Gregory Gregoriadis and Alexander T. Florence, and George Poste.</t>
  </si>
  <si>
    <t>New York : Plenum Press, c1992.</t>
  </si>
  <si>
    <t>NATO ASI series. Series A, Life sciences ; v. 238</t>
  </si>
  <si>
    <t>1998-03-23</t>
  </si>
  <si>
    <t>807242774:eng</t>
  </si>
  <si>
    <t>27227749</t>
  </si>
  <si>
    <t>991001511379702656</t>
  </si>
  <si>
    <t>2265817590002656</t>
  </si>
  <si>
    <t>9780306444005</t>
  </si>
  <si>
    <t>30001002600874</t>
  </si>
  <si>
    <t>893162094</t>
  </si>
  <si>
    <t>QV 38 T355 1985</t>
  </si>
  <si>
    <t>0                      QV 0038000T  355         1985</t>
  </si>
  <si>
    <t>Textbook of adverse drug reactions / edited by D.M. Davies.</t>
  </si>
  <si>
    <t>Oxford ; New York : Oxford University Press, 1987 reprint, c1985.</t>
  </si>
  <si>
    <t>Oxford medical publications</t>
  </si>
  <si>
    <t>2003-07-15</t>
  </si>
  <si>
    <t>1989-03-10</t>
  </si>
  <si>
    <t>54174025:eng</t>
  </si>
  <si>
    <t>12558288</t>
  </si>
  <si>
    <t>991001241209702656</t>
  </si>
  <si>
    <t>2267013370002656</t>
  </si>
  <si>
    <t>9780192614797</t>
  </si>
  <si>
    <t>30001001675703</t>
  </si>
  <si>
    <t>893284591</t>
  </si>
  <si>
    <t>QV 38 T355 1991</t>
  </si>
  <si>
    <t>0                      QV 0038000T  355         1991</t>
  </si>
  <si>
    <t>Oxford [Oxfordshire] ; New York : Oxford University Press, c1991.</t>
  </si>
  <si>
    <t>2002-08-14</t>
  </si>
  <si>
    <t>1991-11-12</t>
  </si>
  <si>
    <t>26128781</t>
  </si>
  <si>
    <t>991001021049702656</t>
  </si>
  <si>
    <t>2261852330002656</t>
  </si>
  <si>
    <t>9780192620453</t>
  </si>
  <si>
    <t>30001002241745</t>
  </si>
  <si>
    <t>893820853</t>
  </si>
  <si>
    <t>QV 38 W277c 1983</t>
  </si>
  <si>
    <t>0                      QV 0038000W  277c        1983</t>
  </si>
  <si>
    <t>Clinical pharmacokinetics : a modern approach to individualized drug therapy / by Joseph Wartak.</t>
  </si>
  <si>
    <t>Wartak, Joseph.</t>
  </si>
  <si>
    <t>New York : Praeger, c1983.</t>
  </si>
  <si>
    <t>Clinical pharmacology and therapeutics series ; v. 2</t>
  </si>
  <si>
    <t>1992-09-27</t>
  </si>
  <si>
    <t>365413612:eng</t>
  </si>
  <si>
    <t>8846301</t>
  </si>
  <si>
    <t>991000953069702656</t>
  </si>
  <si>
    <t>2270109300002656</t>
  </si>
  <si>
    <t>9780030626524</t>
  </si>
  <si>
    <t>30001000192601</t>
  </si>
  <si>
    <t>893560786</t>
  </si>
  <si>
    <t>QV 38 W786b 1994</t>
  </si>
  <si>
    <t>0                      QV 0038000W  786b        1994</t>
  </si>
  <si>
    <t>Basic clinical pharmacokinetics / Michael E. Winter ; edited by Mary Anne Koda-Kimble, Lloyd Y. Young.</t>
  </si>
  <si>
    <t>Winter, Michael E.</t>
  </si>
  <si>
    <t>Vancouver, WA : Applied Therapeutics, c1994.</t>
  </si>
  <si>
    <t>wau</t>
  </si>
  <si>
    <t>2007-07-30</t>
  </si>
  <si>
    <t>1995-01-05</t>
  </si>
  <si>
    <t>766715:eng</t>
  </si>
  <si>
    <t>30964072</t>
  </si>
  <si>
    <t>991000684219702656</t>
  </si>
  <si>
    <t>2268100090002656</t>
  </si>
  <si>
    <t>9780915486229</t>
  </si>
  <si>
    <t>30001002698530</t>
  </si>
  <si>
    <t>893267144</t>
  </si>
  <si>
    <t>QV 38.3 C752c 1979</t>
  </si>
  <si>
    <t>0                      QV 0038300C  752c        1979</t>
  </si>
  <si>
    <t>Chemical stability of pharmaceuticals : a handbook for pharmacists / Kenneth A. Connors, Gordon L. Amidon, Lloyd Kennon.</t>
  </si>
  <si>
    <t>Connors, Kenneth A. (Kenneth Antonio), 1932-</t>
  </si>
  <si>
    <t>-- New York : Wiley, c1979.</t>
  </si>
  <si>
    <t>1994-07-05</t>
  </si>
  <si>
    <t>1988-03-23</t>
  </si>
  <si>
    <t>5469100:eng</t>
  </si>
  <si>
    <t>3649703</t>
  </si>
  <si>
    <t>991001483269702656</t>
  </si>
  <si>
    <t>2255870160002656</t>
  </si>
  <si>
    <t>9780471026532</t>
  </si>
  <si>
    <t>30001000572737</t>
  </si>
  <si>
    <t>893741184</t>
  </si>
  <si>
    <t>QV 39 A798a 2009</t>
  </si>
  <si>
    <t>0                      QV 0039000A  798a        2009</t>
  </si>
  <si>
    <t>Antiepileptic drugs : a clinician's manual / Ali A. Asadi-Pooya, Michael R. Sperling.</t>
  </si>
  <si>
    <t>Asadi-Pooya, Ali A., 1973-</t>
  </si>
  <si>
    <t>Oxford ; New York : Oxford University Press, c2009.</t>
  </si>
  <si>
    <t>Oxford American neurology library</t>
  </si>
  <si>
    <t>2009-06-30</t>
  </si>
  <si>
    <t>2009-06-29</t>
  </si>
  <si>
    <t>908541659:eng</t>
  </si>
  <si>
    <t>180195560</t>
  </si>
  <si>
    <t>991001474979702656</t>
  </si>
  <si>
    <t>2254900380002656</t>
  </si>
  <si>
    <t>9780195343403</t>
  </si>
  <si>
    <t>30001004918076</t>
  </si>
  <si>
    <t>893121527</t>
  </si>
  <si>
    <t>QV 39 B477m 1985</t>
  </si>
  <si>
    <t>0                      QV 0039000B  477m        1985</t>
  </si>
  <si>
    <t>Medical pharmacology / Peter J. Bentley.</t>
  </si>
  <si>
    <t>[New Hyde Park, N.Y.] : Medical Examination Pub. Co., c1985.</t>
  </si>
  <si>
    <t>1991-01-18</t>
  </si>
  <si>
    <t>1988-01-11</t>
  </si>
  <si>
    <t>12082491</t>
  </si>
  <si>
    <t>991000914749702656</t>
  </si>
  <si>
    <t>2262488400002656</t>
  </si>
  <si>
    <t>9780874887631</t>
  </si>
  <si>
    <t>30001000179111</t>
  </si>
  <si>
    <t>893374090</t>
  </si>
  <si>
    <t>QV 39 C594h 1999</t>
  </si>
  <si>
    <t>0                      QV 0039000C  594h        1999</t>
  </si>
  <si>
    <t>Handbook of nitrous oxide and oxygen sedation / Morris S. Clark, Ann L. Brunick.</t>
  </si>
  <si>
    <t>Clark, Morris S.</t>
  </si>
  <si>
    <t>St. Louis, Mo. : Mosby, c1999.</t>
  </si>
  <si>
    <t>2006-03-29</t>
  </si>
  <si>
    <t>1999-09-03</t>
  </si>
  <si>
    <t>679578:eng</t>
  </si>
  <si>
    <t>39282366</t>
  </si>
  <si>
    <t>991001564959702656</t>
  </si>
  <si>
    <t>2264774700002656</t>
  </si>
  <si>
    <t>9780815183938</t>
  </si>
  <si>
    <t>30001004012656</t>
  </si>
  <si>
    <t>893468024</t>
  </si>
  <si>
    <t>QV39 C594h 2003</t>
  </si>
  <si>
    <t>0                      QV 0039000C  594h        2003</t>
  </si>
  <si>
    <t>Handbook of nitrous oxide and oxygen sedation / Morris Clark, Ann Brunick.</t>
  </si>
  <si>
    <t>St. Louis, Mo. : Mosby, c2003.</t>
  </si>
  <si>
    <t>2010-07-14</t>
  </si>
  <si>
    <t>51811294</t>
  </si>
  <si>
    <t>991000377319702656</t>
  </si>
  <si>
    <t>2255054910002656</t>
  </si>
  <si>
    <t>9780323019774</t>
  </si>
  <si>
    <t>30001004922078</t>
  </si>
  <si>
    <t>893827435</t>
  </si>
  <si>
    <t>QV 39 C6415 1988</t>
  </si>
  <si>
    <t>0                      QV 0039000C  6415        1988</t>
  </si>
  <si>
    <t>Clinical pharmacology, '88/'89 / edited by Bertram G. Katzung.</t>
  </si>
  <si>
    <t>Norwalk, Conn. : Appleton &amp; Lange, c1988.</t>
  </si>
  <si>
    <t>Lange clinical manual</t>
  </si>
  <si>
    <t>1993-01-24</t>
  </si>
  <si>
    <t>1989-02-04</t>
  </si>
  <si>
    <t>55083709:eng</t>
  </si>
  <si>
    <t>17727920</t>
  </si>
  <si>
    <t>991001117079702656</t>
  </si>
  <si>
    <t>2264018860002656</t>
  </si>
  <si>
    <t>30001001613555</t>
  </si>
  <si>
    <t>893736220</t>
  </si>
  <si>
    <t>QV 39 C761m 1992</t>
  </si>
  <si>
    <t>0                      QV 0039000C  761m        1992</t>
  </si>
  <si>
    <t>Manual of antibiotics and infectious diseases / John E. Conte, Jr., Steven L. Barriere.</t>
  </si>
  <si>
    <t>Conte, John E.</t>
  </si>
  <si>
    <t>1068850:eng</t>
  </si>
  <si>
    <t>24068929</t>
  </si>
  <si>
    <t>991001301279702656</t>
  </si>
  <si>
    <t>2261664110002656</t>
  </si>
  <si>
    <t>9780812114737</t>
  </si>
  <si>
    <t>30001002411876</t>
  </si>
  <si>
    <t>893834633</t>
  </si>
  <si>
    <t>QV 39 D575h 1996</t>
  </si>
  <si>
    <t>0                      QV 0039000D  575h        1996</t>
  </si>
  <si>
    <t>Handbook of commonly prescribed drugs / G. John DiGregorio, Edward J. Barbieri.</t>
  </si>
  <si>
    <t>DiGregorio, G. John.</t>
  </si>
  <si>
    <t>West Chester, PA : Medical Surveillance Inc., 1996.</t>
  </si>
  <si>
    <t>11th ed.</t>
  </si>
  <si>
    <t>2005-12-01</t>
  </si>
  <si>
    <t>1998-08-04</t>
  </si>
  <si>
    <t>659199:eng</t>
  </si>
  <si>
    <t>35112777</t>
  </si>
  <si>
    <t>991001047479702656</t>
  </si>
  <si>
    <t>2270996800002656</t>
  </si>
  <si>
    <t>9780942447217</t>
  </si>
  <si>
    <t>30001003585041</t>
  </si>
  <si>
    <t>893168013</t>
  </si>
  <si>
    <t>QV 39 D771h 1987</t>
  </si>
  <si>
    <t>0                      QV 0039000D  771h        1987</t>
  </si>
  <si>
    <t>Handbook of poisoning : prevention, diagnosis &amp; treatment / Robert H. Dreisbach, William O. Robertson.</t>
  </si>
  <si>
    <t>Dreisbach, Robert H. (Robert Hastings), 1916-</t>
  </si>
  <si>
    <t>Norwalk, Conn. : Appleton &amp; Lange, c1987.</t>
  </si>
  <si>
    <t>12th ed.</t>
  </si>
  <si>
    <t>A Concise medical library for practitioner and student.</t>
  </si>
  <si>
    <t>1996-10-20</t>
  </si>
  <si>
    <t>1987-08-21</t>
  </si>
  <si>
    <t>515285:eng</t>
  </si>
  <si>
    <t>16709934</t>
  </si>
  <si>
    <t>991000587099702656</t>
  </si>
  <si>
    <t>2271629260002656</t>
  </si>
  <si>
    <t>9780838536438</t>
  </si>
  <si>
    <t>30001000353823</t>
  </si>
  <si>
    <t>893550498</t>
  </si>
  <si>
    <t>QV39 D781 2003</t>
  </si>
  <si>
    <t>0                      QV 0039000D  781         2003</t>
  </si>
  <si>
    <t>Drug information handbook for the allied health professional with indication/therapeutic category index / Leonard L. Lance, senior editor ; Charles F. Lacy, editor.</t>
  </si>
  <si>
    <t>Hudson, OH : Lexi-Comp, Inc. ; [Washington, D.C.] : American Pharmaceutical Association, c2003.</t>
  </si>
  <si>
    <t>ohu</t>
  </si>
  <si>
    <t>Drug information series (Lexi-Comp, Inc.)</t>
  </si>
  <si>
    <t>2007-12-04</t>
  </si>
  <si>
    <t>2004-04-02</t>
  </si>
  <si>
    <t>3858172551:eng</t>
  </si>
  <si>
    <t>52256509</t>
  </si>
  <si>
    <t>991000369619702656</t>
  </si>
  <si>
    <t>2262306620002656</t>
  </si>
  <si>
    <t>9781591950516</t>
  </si>
  <si>
    <t>30001004507069</t>
  </si>
  <si>
    <t>893461436</t>
  </si>
  <si>
    <t>QV 39 D79365 1992</t>
  </si>
  <si>
    <t>0                      QV 0039000D  79365       1992</t>
  </si>
  <si>
    <t>Drug handbook : a nursing process approach / R. Alfaro-LeFevre ... [et al.].</t>
  </si>
  <si>
    <t>Redwood City, Calif. : Addison-Wesley Nursing, c1992.</t>
  </si>
  <si>
    <t>1992-04-23</t>
  </si>
  <si>
    <t>26086756:eng</t>
  </si>
  <si>
    <t>24504209</t>
  </si>
  <si>
    <t>991001302849702656</t>
  </si>
  <si>
    <t>2265449560002656</t>
  </si>
  <si>
    <t>9780201092783</t>
  </si>
  <si>
    <t>30001002412510</t>
  </si>
  <si>
    <t>893451064</t>
  </si>
  <si>
    <t>QV 39 D7942 1996</t>
  </si>
  <si>
    <t>0                      QV 0039000D  7942        1996</t>
  </si>
  <si>
    <t>Drug information : a guide for pharmacists / Patrick M. Malone ... [et al.] ; with a foreword by William G. Troutman.</t>
  </si>
  <si>
    <t>Stamford, CT : Appleton &amp; Lange, c1996.</t>
  </si>
  <si>
    <t>2003-01-29</t>
  </si>
  <si>
    <t>1996-08-30</t>
  </si>
  <si>
    <t>4927343165:eng</t>
  </si>
  <si>
    <t>34903263</t>
  </si>
  <si>
    <t>991000835219702656</t>
  </si>
  <si>
    <t>2259864490002656</t>
  </si>
  <si>
    <t>9780838580653</t>
  </si>
  <si>
    <t>30001003441526</t>
  </si>
  <si>
    <t>893161313</t>
  </si>
  <si>
    <t>QV 39 E53 1998</t>
  </si>
  <si>
    <t>0                      QV 0039000E  53          1998</t>
  </si>
  <si>
    <t>Emergency toxicology / edited by Peter Viccellio ; [section editors], Tod Bania ... [et al.].</t>
  </si>
  <si>
    <t>Philadelphia : Lippincott-Raven, c1998.</t>
  </si>
  <si>
    <t>2001-07-31</t>
  </si>
  <si>
    <t>1998-12-18</t>
  </si>
  <si>
    <t>56263384:eng</t>
  </si>
  <si>
    <t>38562329</t>
  </si>
  <si>
    <t>991001562689702656</t>
  </si>
  <si>
    <t>2265760860002656</t>
  </si>
  <si>
    <t>9780316902373</t>
  </si>
  <si>
    <t>30001004037638</t>
  </si>
  <si>
    <t>893541513</t>
  </si>
  <si>
    <t>QV 39 F198 1991</t>
  </si>
  <si>
    <t>0                      QV 0039000F  198         1991</t>
  </si>
  <si>
    <t>The Family practice drug handbook / Allan J. Ellsworth ... [et al.].</t>
  </si>
  <si>
    <t>1998-01-06</t>
  </si>
  <si>
    <t>1992-04-29</t>
  </si>
  <si>
    <t>20954259:eng</t>
  </si>
  <si>
    <t>22381554</t>
  </si>
  <si>
    <t>991001303949702656</t>
  </si>
  <si>
    <t>2258474500002656</t>
  </si>
  <si>
    <t>9780815131540</t>
  </si>
  <si>
    <t>30001002412908</t>
  </si>
  <si>
    <t>893546562</t>
  </si>
  <si>
    <t>QV 39 H2358 1988</t>
  </si>
  <si>
    <t>0                      QV 0039000H  2358        1988</t>
  </si>
  <si>
    <t>Handbook of clinical drug data.</t>
  </si>
  <si>
    <t>Hamilton, Ill. : Drug Intelligence Publications, c1988.</t>
  </si>
  <si>
    <t>6th ed. / editors, James E. Knoben, Philip O. Anderson ; assistant editors, Larry J. Davis, William G. Troutman.</t>
  </si>
  <si>
    <t>1992-09-17</t>
  </si>
  <si>
    <t>1988-07-06</t>
  </si>
  <si>
    <t>864076723:eng</t>
  </si>
  <si>
    <t>17805418</t>
  </si>
  <si>
    <t>991001416529702656</t>
  </si>
  <si>
    <t>2263041020002656</t>
  </si>
  <si>
    <t>9780914768463</t>
  </si>
  <si>
    <t>30001001180811</t>
  </si>
  <si>
    <t>893731987</t>
  </si>
  <si>
    <t>QV 39 H2358 1993</t>
  </si>
  <si>
    <t>0                      QV 0039000H  2358        1993</t>
  </si>
  <si>
    <t>Handbook of clinical drug data / editors, James E. Knoben, Philip O. Anderson ; associate editor, William G. Troutman : assistant editor, Larry J. Davis.</t>
  </si>
  <si>
    <t>Hamilton, Ill. : Drug Intelligence Publications, c1993..</t>
  </si>
  <si>
    <t>1998-10-15</t>
  </si>
  <si>
    <t>1993-01-21</t>
  </si>
  <si>
    <t>26396582</t>
  </si>
  <si>
    <t>991001434779702656</t>
  </si>
  <si>
    <t>2256930550002656</t>
  </si>
  <si>
    <t>9780914768517</t>
  </si>
  <si>
    <t>30001002530667</t>
  </si>
  <si>
    <t>893149205</t>
  </si>
  <si>
    <t>QV39 H23636 2004</t>
  </si>
  <si>
    <t>0                      QV 0039000H  23636       2004</t>
  </si>
  <si>
    <t>Handbook of drug-nutrient interactions / edited by Joseph I. Boullata, and Vincent T. Armenti ; foreword by Margaret Malone.</t>
  </si>
  <si>
    <t>Totowa, N.J. : Humana Press, c2004.</t>
  </si>
  <si>
    <t>Nutrition and health</t>
  </si>
  <si>
    <t>2005-10-28</t>
  </si>
  <si>
    <t>905820183:eng</t>
  </si>
  <si>
    <t>53091284</t>
  </si>
  <si>
    <t>991000446459702656</t>
  </si>
  <si>
    <t>2257019770002656</t>
  </si>
  <si>
    <t>9781588292490</t>
  </si>
  <si>
    <t>30001004913838</t>
  </si>
  <si>
    <t>893354368</t>
  </si>
  <si>
    <t>QV 39 H23642 1992</t>
  </si>
  <si>
    <t>0                      QV 0039000H  23642       1992</t>
  </si>
  <si>
    <t>Handbook of psychotropic drugs.</t>
  </si>
  <si>
    <t>Springhouse, Pa. : Springhouse Corporation, c1992.</t>
  </si>
  <si>
    <t>1992-12-23</t>
  </si>
  <si>
    <t>3856882491:eng</t>
  </si>
  <si>
    <t>24792441</t>
  </si>
  <si>
    <t>991001352309702656</t>
  </si>
  <si>
    <t>2261442840002656</t>
  </si>
  <si>
    <t>9780874343915</t>
  </si>
  <si>
    <t>30001002459859</t>
  </si>
  <si>
    <t>893643517</t>
  </si>
  <si>
    <t>QV 39 H262h 1992</t>
  </si>
  <si>
    <t>0                      QV 0039000H  262h        1992</t>
  </si>
  <si>
    <t>Handbook of drug therapy in rheumatic disease : pharmacology and clinical aspects / Joe G. Hardin, Jr., Gesina L. Longenecker.</t>
  </si>
  <si>
    <t>Hardin, Joe G., 1937-</t>
  </si>
  <si>
    <t>Boston : Little, Brown, c1992.</t>
  </si>
  <si>
    <t>1992-02-18</t>
  </si>
  <si>
    <t>26593064:eng</t>
  </si>
  <si>
    <t>24373246</t>
  </si>
  <si>
    <t>991001036039702656</t>
  </si>
  <si>
    <t>2268687570002656</t>
  </si>
  <si>
    <t>9780316346047</t>
  </si>
  <si>
    <t>30001002244756</t>
  </si>
  <si>
    <t>893820873</t>
  </si>
  <si>
    <t>QV 39 K185z 2009</t>
  </si>
  <si>
    <t>0                      QV 0039000K  185z        2009</t>
  </si>
  <si>
    <t>2009 Lippincott's nursing drug guide / Amy M. Karch.</t>
  </si>
  <si>
    <t>Karch, Amy Morrison, 1949-</t>
  </si>
  <si>
    <t>Philadelphia : Lippincott Williams &amp; Wilkens, c2009.</t>
  </si>
  <si>
    <t>2010-10-20</t>
  </si>
  <si>
    <t>2009-04-28</t>
  </si>
  <si>
    <t>9323128061:eng</t>
  </si>
  <si>
    <t>181600919</t>
  </si>
  <si>
    <t>991001457459702656</t>
  </si>
  <si>
    <t>2260682680002656</t>
  </si>
  <si>
    <t>9780781792882</t>
  </si>
  <si>
    <t>30001004915874</t>
  </si>
  <si>
    <t>893649218</t>
  </si>
  <si>
    <t>QV 39 L675h 1991</t>
  </si>
  <si>
    <t>0                      QV 0039000L  675h        1991</t>
  </si>
  <si>
    <t>Hazardous chemicals desk reference / Richard J. Lewis, Sr.</t>
  </si>
  <si>
    <t>Lewis, Richard J., Sr., 1939-2018.</t>
  </si>
  <si>
    <t>New York : Van Nostrand Reinhold, c1991.</t>
  </si>
  <si>
    <t>2006-11-02</t>
  </si>
  <si>
    <t>1992-11-20</t>
  </si>
  <si>
    <t>135912:eng</t>
  </si>
  <si>
    <t>22451060</t>
  </si>
  <si>
    <t>991001347459702656</t>
  </si>
  <si>
    <t>2259871040002656</t>
  </si>
  <si>
    <t>9780442004972</t>
  </si>
  <si>
    <t>30001002457838</t>
  </si>
  <si>
    <t>893727491</t>
  </si>
  <si>
    <t>QV 39 L848e 1987</t>
  </si>
  <si>
    <t>0                      QV 0039000L  848e        1987</t>
  </si>
  <si>
    <t>The essential guide to prescription drugs / James W. Long.</t>
  </si>
  <si>
    <t>Long, James W.</t>
  </si>
  <si>
    <t>New York : Harper &amp; Row, c1987.</t>
  </si>
  <si>
    <t>2000-04-06</t>
  </si>
  <si>
    <t>1987-11-20</t>
  </si>
  <si>
    <t>4917389460:eng</t>
  </si>
  <si>
    <t>15055055</t>
  </si>
  <si>
    <t>991000586609702656</t>
  </si>
  <si>
    <t>2260843840002656</t>
  </si>
  <si>
    <t>9780060960377</t>
  </si>
  <si>
    <t>30001000005019</t>
  </si>
  <si>
    <t>893458929</t>
  </si>
  <si>
    <t>QV 39 M744a 1996</t>
  </si>
  <si>
    <t>0                      QV 0039000M  744a        1996</t>
  </si>
  <si>
    <t>Antibiotic selection in obstetrics and gynecology / Gilles R.G. Monif.</t>
  </si>
  <si>
    <t>Monif, Gilles R. G.</t>
  </si>
  <si>
    <t>Omaha : IDI Publications, [New York?] : Distributed by Parthenon Pub., c1996.</t>
  </si>
  <si>
    <t>2004-02-01</t>
  </si>
  <si>
    <t>1997-02-18</t>
  </si>
  <si>
    <t>35016491:eng</t>
  </si>
  <si>
    <t>35562195</t>
  </si>
  <si>
    <t>991000964339702656</t>
  </si>
  <si>
    <t>2259962510002656</t>
  </si>
  <si>
    <t>30001003539204</t>
  </si>
  <si>
    <t>893815957</t>
  </si>
  <si>
    <t>QV39 M8941 2008</t>
  </si>
  <si>
    <t>0                      QV 0039000M  8941        2008</t>
  </si>
  <si>
    <t>Mosby's 2008 nursing drug reference / Linda Skidmore-Roth.</t>
  </si>
  <si>
    <t>Skidmore-Roth, Linda.</t>
  </si>
  <si>
    <t>St. Louis, Mo. ; London : Elsevier Mosby, 2007.</t>
  </si>
  <si>
    <t>2007-11-19</t>
  </si>
  <si>
    <t>3859117901:eng</t>
  </si>
  <si>
    <t>495870776</t>
  </si>
  <si>
    <t>991001753319702656</t>
  </si>
  <si>
    <t>2271513560002656</t>
  </si>
  <si>
    <t>9780323047005</t>
  </si>
  <si>
    <t>30001005270774</t>
  </si>
  <si>
    <t>893285176</t>
  </si>
  <si>
    <t>QV39 N854c 2004</t>
  </si>
  <si>
    <t>0                      QV 0039000N  854c        2004</t>
  </si>
  <si>
    <t>Clinical research coordinator handbook / Deborrah Norris.</t>
  </si>
  <si>
    <t>Norris, Deborrah.</t>
  </si>
  <si>
    <t>Medford, N.J. : Plexus Pub., c2004.</t>
  </si>
  <si>
    <t>2005-02-08</t>
  </si>
  <si>
    <t>2005-02-04</t>
  </si>
  <si>
    <t>743172:eng</t>
  </si>
  <si>
    <t>53038749</t>
  </si>
  <si>
    <t>991000426569702656</t>
  </si>
  <si>
    <t>2271236800002656</t>
  </si>
  <si>
    <t>9780937548547</t>
  </si>
  <si>
    <t>30001004927341</t>
  </si>
  <si>
    <t>893558808</t>
  </si>
  <si>
    <t>QV 39 N97478 2010</t>
  </si>
  <si>
    <t>0                      QV 0039000N  97478       2010</t>
  </si>
  <si>
    <t>2010 nursing spectrum drug handbook / Patricia Dwyer Schull.</t>
  </si>
  <si>
    <t>New York : McGraw-Hill Medical ; London : McGraw-Hill [distributor], 2009.</t>
  </si>
  <si>
    <t>2009-08-10</t>
  </si>
  <si>
    <t>259913939:eng</t>
  </si>
  <si>
    <t>441176531</t>
  </si>
  <si>
    <t>991001484809702656</t>
  </si>
  <si>
    <t>2271523980002656</t>
  </si>
  <si>
    <t>9780071622783</t>
  </si>
  <si>
    <t>30001004918704</t>
  </si>
  <si>
    <t>893134626</t>
  </si>
  <si>
    <t>QV 39 O56p 1995</t>
  </si>
  <si>
    <t>0                      QV 0039000O  56p         1995</t>
  </si>
  <si>
    <t>The pain drugs handbook / Sota Omoigui.</t>
  </si>
  <si>
    <t>Omoigui, Sota.</t>
  </si>
  <si>
    <t>St. Louis : Mosby, c1995.</t>
  </si>
  <si>
    <t>2006-10-05</t>
  </si>
  <si>
    <t>25422652:eng</t>
  </si>
  <si>
    <t>31075186</t>
  </si>
  <si>
    <t>991000835849702656</t>
  </si>
  <si>
    <t>2269321350002656</t>
  </si>
  <si>
    <t>9780815165057</t>
  </si>
  <si>
    <t>30001003441765</t>
  </si>
  <si>
    <t>893283913</t>
  </si>
  <si>
    <t>QV39 P464p 1997</t>
  </si>
  <si>
    <t>0                      QV 0039000P  464p        1997</t>
  </si>
  <si>
    <t>Psychotropic drug handbook / Paul J. Perry, Bruce Alexander, Barry I. Liskow.</t>
  </si>
  <si>
    <t>Perry, Paul J.</t>
  </si>
  <si>
    <t>Washington, DC : American Psychiatric Press, c1997.</t>
  </si>
  <si>
    <t>5425039:eng</t>
  </si>
  <si>
    <t>34974268</t>
  </si>
  <si>
    <t>991001250889702656</t>
  </si>
  <si>
    <t>2264719650002656</t>
  </si>
  <si>
    <t>9780880488518</t>
  </si>
  <si>
    <t>30001003682848</t>
  </si>
  <si>
    <t>893834615</t>
  </si>
  <si>
    <t>QV 39 P5355 1992</t>
  </si>
  <si>
    <t>0                      QV 0039000P  5355        1992</t>
  </si>
  <si>
    <t>Pharmacology / edited by Theoharis C. Theoharides.</t>
  </si>
  <si>
    <t>Boston: Little, Brown, c1992.</t>
  </si>
  <si>
    <t>2002-11-26</t>
  </si>
  <si>
    <t>1992-04-28</t>
  </si>
  <si>
    <t>55525300:eng</t>
  </si>
  <si>
    <t>24793598</t>
  </si>
  <si>
    <t>991001303189702656</t>
  </si>
  <si>
    <t>2258430690002656</t>
  </si>
  <si>
    <t>9780316839358</t>
  </si>
  <si>
    <t>30001002412676</t>
  </si>
  <si>
    <t>893546560</t>
  </si>
  <si>
    <t>QV 39 P895 1999</t>
  </si>
  <si>
    <t>0                      QV 0039000P  895         1999</t>
  </si>
  <si>
    <t>Practitioner's guide to psychoactive drugs for children and adolescents / edited by John Scott Werry and Michael G. Aman.</t>
  </si>
  <si>
    <t>New York : Plenum Medical Book Co., c1999.</t>
  </si>
  <si>
    <t>1999-03-22</t>
  </si>
  <si>
    <t>1999-03-19</t>
  </si>
  <si>
    <t>350339919:eng</t>
  </si>
  <si>
    <t>39465437</t>
  </si>
  <si>
    <t>991001420489702656</t>
  </si>
  <si>
    <t>2267309750002656</t>
  </si>
  <si>
    <t>9780306458859</t>
  </si>
  <si>
    <t>30001003854132</t>
  </si>
  <si>
    <t>893736563</t>
  </si>
  <si>
    <t>QV39 R612h 2004</t>
  </si>
  <si>
    <t>0                      QV 0039000R  612h        2004</t>
  </si>
  <si>
    <t>Handbook of basic pharmacokinetics-- including clinical applications / Wolfgang A. Ritschel, Gregory L. Kearns.</t>
  </si>
  <si>
    <t>Washington, D.C. : American Pharmacists Association, c2004.</t>
  </si>
  <si>
    <t>2004-11-02</t>
  </si>
  <si>
    <t>2004-11-01</t>
  </si>
  <si>
    <t>53896589</t>
  </si>
  <si>
    <t>991000405709702656</t>
  </si>
  <si>
    <t>2272759880002656</t>
  </si>
  <si>
    <t>9781582120546</t>
  </si>
  <si>
    <t>30001004924355</t>
  </si>
  <si>
    <t>893811463</t>
  </si>
  <si>
    <t>QV 39 S528g 1992</t>
  </si>
  <si>
    <t>0                      QV 0039000S  528g        1992</t>
  </si>
  <si>
    <t>Govoni &amp; Hayes drugs and nursing implications / Margaret T. Shannon, Billie Ann Wilson, with Carolyn L. Stang.</t>
  </si>
  <si>
    <t>Shannon, Margaret T.</t>
  </si>
  <si>
    <t>Norwalk, CT : Appleton &amp; Lange, c1992.</t>
  </si>
  <si>
    <t>2001-02-26</t>
  </si>
  <si>
    <t>1992-05-29</t>
  </si>
  <si>
    <t>28374030:eng</t>
  </si>
  <si>
    <t>25594272</t>
  </si>
  <si>
    <t>991001304939702656</t>
  </si>
  <si>
    <t>2259844620002656</t>
  </si>
  <si>
    <t>30001002413393</t>
  </si>
  <si>
    <t>893740980</t>
  </si>
  <si>
    <t>QV39 S872h 2006</t>
  </si>
  <si>
    <t>0                      QV 0039000S  872h        2006</t>
  </si>
  <si>
    <t>Handbook of pharmacology &amp; physiology in anesthetic practice / by Robert K. Stoelting, Simon C. Hillier.</t>
  </si>
  <si>
    <t>Stoelting, Robert K.</t>
  </si>
  <si>
    <t>Philadelphia : Lippincott Williams &amp; Wilkins, c2006.</t>
  </si>
  <si>
    <t>2006-11-01</t>
  </si>
  <si>
    <t>2006-10-27</t>
  </si>
  <si>
    <t>3902102613:eng</t>
  </si>
  <si>
    <t>60697124</t>
  </si>
  <si>
    <t>991000561529702656</t>
  </si>
  <si>
    <t>2269729530002656</t>
  </si>
  <si>
    <t>9780781757850</t>
  </si>
  <si>
    <t>30001005176849</t>
  </si>
  <si>
    <t>893550300</t>
  </si>
  <si>
    <t>QV 39 T749d 1990</t>
  </si>
  <si>
    <t>0                      QV 0039000T  749d        1990</t>
  </si>
  <si>
    <t>Drug guide for psychiatric nursing / Mary C. Townsend, in consultation with Virginia Farley French.</t>
  </si>
  <si>
    <t>Townsend, Mary C., 1941-</t>
  </si>
  <si>
    <t>Philadelphia : F.A. Davis Co., c1990.</t>
  </si>
  <si>
    <t>1990-08-07</t>
  </si>
  <si>
    <t>22382967:eng</t>
  </si>
  <si>
    <t>20823488</t>
  </si>
  <si>
    <t>991001451809702656</t>
  </si>
  <si>
    <t>2263205750002656</t>
  </si>
  <si>
    <t>9780803685833</t>
  </si>
  <si>
    <t>30001001883307</t>
  </si>
  <si>
    <t>893816427</t>
  </si>
  <si>
    <t>QV 39 V184d 1996</t>
  </si>
  <si>
    <t>0                      QV 0039000V  184d        1996</t>
  </si>
  <si>
    <t>Davis's guide to IV medications / April Hazard Vallerand, Judith Hopfer Deglin.</t>
  </si>
  <si>
    <t>Vallerand, April Hazard.</t>
  </si>
  <si>
    <t>Philadelphia : F.A. Davis, c1996.</t>
  </si>
  <si>
    <t>1996-06-24</t>
  </si>
  <si>
    <t>30313324:eng</t>
  </si>
  <si>
    <t>32970360</t>
  </si>
  <si>
    <t>991000833139702656</t>
  </si>
  <si>
    <t>2269291660002656</t>
  </si>
  <si>
    <t>9780803600928</t>
  </si>
  <si>
    <t>30001003440148</t>
  </si>
  <si>
    <t>893551804</t>
  </si>
  <si>
    <t>QV 39 W746n 2003</t>
  </si>
  <si>
    <t>0                      QV 0039000W  746n        2003</t>
  </si>
  <si>
    <t>Nurses drug guide 2003 / Billie Ann Wilson, Margaret T. Shannon, Carolyn L. Stang.</t>
  </si>
  <si>
    <t>Wilson, Billie Ann.</t>
  </si>
  <si>
    <t>Upper Saddle River, N.J. : Prentice Hall, c2003.</t>
  </si>
  <si>
    <t>2006-09-03</t>
  </si>
  <si>
    <t>2006-08-28</t>
  </si>
  <si>
    <t>657531:eng</t>
  </si>
  <si>
    <t>50573710</t>
  </si>
  <si>
    <t>991000531949702656</t>
  </si>
  <si>
    <t>2267703700002656</t>
  </si>
  <si>
    <t>9780130978721</t>
  </si>
  <si>
    <t>30001005120292</t>
  </si>
  <si>
    <t>893281814</t>
  </si>
  <si>
    <t>QV39 W746n 2007</t>
  </si>
  <si>
    <t>0                      QV 0039000W  746n        2007</t>
  </si>
  <si>
    <t>Springhouse nurse's drug guide 2007.</t>
  </si>
  <si>
    <t>Philadelphia ; London : Lippincott Williams &amp; Wilkins, 2006.</t>
  </si>
  <si>
    <t>2008-01-24</t>
  </si>
  <si>
    <t>3813924649:eng</t>
  </si>
  <si>
    <t>67872770</t>
  </si>
  <si>
    <t>991000674239702656</t>
  </si>
  <si>
    <t>2267060050002656</t>
  </si>
  <si>
    <t>9781582559322</t>
  </si>
  <si>
    <t>30001005169901</t>
  </si>
  <si>
    <t>893730935</t>
  </si>
  <si>
    <t>QV50 A191 2000</t>
  </si>
  <si>
    <t>0                      QV 0050000A  191         2000</t>
  </si>
  <si>
    <t>ADA guide to dental therapeutics.</t>
  </si>
  <si>
    <t>Chicago, Ill. : ADA Pub., c2000.</t>
  </si>
  <si>
    <t>2005-04-06</t>
  </si>
  <si>
    <t>56282610:eng</t>
  </si>
  <si>
    <t>45076423</t>
  </si>
  <si>
    <t>991000307669702656</t>
  </si>
  <si>
    <t>2272320860002656</t>
  </si>
  <si>
    <t>9781891748011</t>
  </si>
  <si>
    <t>30001004237220</t>
  </si>
  <si>
    <t>893732726</t>
  </si>
  <si>
    <t>QV 50 B261d 1990</t>
  </si>
  <si>
    <t>0                      QV 0050000B  261d        1990</t>
  </si>
  <si>
    <t>Drug dosage in laboratory animals : a handbook / R.E. Borchard, C.D. Barnes, L.G. Eltherington.</t>
  </si>
  <si>
    <t>Borchard, Ronald E.</t>
  </si>
  <si>
    <t>Caldwell, N.J. : Telford Press, 1991 printing, c1990.</t>
  </si>
  <si>
    <t>3rd ed. rev. and enl.</t>
  </si>
  <si>
    <t>2004-08-10</t>
  </si>
  <si>
    <t>1991-12-03</t>
  </si>
  <si>
    <t>4918713073:eng</t>
  </si>
  <si>
    <t>20490694</t>
  </si>
  <si>
    <t>991001024329702656</t>
  </si>
  <si>
    <t>2257483680002656</t>
  </si>
  <si>
    <t>9780936923192</t>
  </si>
  <si>
    <t>30001002242396</t>
  </si>
  <si>
    <t>893648838</t>
  </si>
  <si>
    <t>QV 50 C383b 1995</t>
  </si>
  <si>
    <t>0                      QV 0050000C  383b        1995</t>
  </si>
  <si>
    <t>Basic pharmacology and clinical drug use in dentistry / R.A. Cawson, R.G. Spector, Ann M. Skelly.</t>
  </si>
  <si>
    <t>Cawson, R. A.</t>
  </si>
  <si>
    <t>Edinburgh ; New York : Churchill Livingstone, 1995.</t>
  </si>
  <si>
    <t>stk</t>
  </si>
  <si>
    <t>Dental series</t>
  </si>
  <si>
    <t>2005-04-21</t>
  </si>
  <si>
    <t>1998-03-19</t>
  </si>
  <si>
    <t>24138742:eng</t>
  </si>
  <si>
    <t>30737804</t>
  </si>
  <si>
    <t>991001271289702656</t>
  </si>
  <si>
    <t>2266612760002656</t>
  </si>
  <si>
    <t>9780443051074</t>
  </si>
  <si>
    <t>30001003694785</t>
  </si>
  <si>
    <t>893643380</t>
  </si>
  <si>
    <t>QV 50 C383c 1985</t>
  </si>
  <si>
    <t>0                      QV 0050000C  383c        1985</t>
  </si>
  <si>
    <t>Clinical pharmacology in dentistry / R.A. Cawson, R.G. Spector.</t>
  </si>
  <si>
    <t>Edinburgh ; New York : Churchill Livingstone, c1985.</t>
  </si>
  <si>
    <t>Churchill Livingstone dental series</t>
  </si>
  <si>
    <t>1992-08-31</t>
  </si>
  <si>
    <t>2300607:eng</t>
  </si>
  <si>
    <t>10878372</t>
  </si>
  <si>
    <t>991000953209702656</t>
  </si>
  <si>
    <t>2271425500002656</t>
  </si>
  <si>
    <t>9780044332794</t>
  </si>
  <si>
    <t>30001000192700</t>
  </si>
  <si>
    <t>893560787</t>
  </si>
  <si>
    <t>QV 50 C42c 2008</t>
  </si>
  <si>
    <t>0                      QV 0050000C  42c         2008</t>
  </si>
  <si>
    <t>Clinician's guide : pharmacology in dental medicine / Jeffrey M. Casiglia, Peter L. Jacobsen.</t>
  </si>
  <si>
    <t>Casiglia, Jeffrey M.</t>
  </si>
  <si>
    <t>Hamilton, Ontario : B. C. Decker, 2008.</t>
  </si>
  <si>
    <t>Clinicians' guides</t>
  </si>
  <si>
    <t>2008-09-10</t>
  </si>
  <si>
    <t>2008-09-08</t>
  </si>
  <si>
    <t>131547651:eng</t>
  </si>
  <si>
    <t>244814875</t>
  </si>
  <si>
    <t>991000916349702656</t>
  </si>
  <si>
    <t>2264955930002656</t>
  </si>
  <si>
    <t>9781550093278</t>
  </si>
  <si>
    <t>30001005303773</t>
  </si>
  <si>
    <t>893557410</t>
  </si>
  <si>
    <t>QV 50 C566c 1984</t>
  </si>
  <si>
    <t>0                      QV 0050000C  566c        1984</t>
  </si>
  <si>
    <t>Clinical pharmacology for dental professionals / Sebastian G. Ciancio, Priscilla C. Bourgault.</t>
  </si>
  <si>
    <t>Ciancio, Sebastian G., 1937-</t>
  </si>
  <si>
    <t>Littleton, Mass. : PSG Pub. Co., c1984.</t>
  </si>
  <si>
    <t>1995-12-07</t>
  </si>
  <si>
    <t>2893893:eng</t>
  </si>
  <si>
    <t>10752640</t>
  </si>
  <si>
    <t>991000953249702656</t>
  </si>
  <si>
    <t>2263650440002656</t>
  </si>
  <si>
    <t>9780884164838</t>
  </si>
  <si>
    <t>30001000192734</t>
  </si>
  <si>
    <t>893546239</t>
  </si>
  <si>
    <t>QV 50 C641 1988</t>
  </si>
  <si>
    <t>0                      QV 0050000C  641         1988</t>
  </si>
  <si>
    <t>Clinical pharmacology in dental practice / [edited by] Sam V. Holroyd, Richard L. Wynn, Barbara Requa-Clark.</t>
  </si>
  <si>
    <t>1995-09-07</t>
  </si>
  <si>
    <t>1988-02-17</t>
  </si>
  <si>
    <t>365489822:eng</t>
  </si>
  <si>
    <t>16227161</t>
  </si>
  <si>
    <t>991001539859702656</t>
  </si>
  <si>
    <t>2261986290002656</t>
  </si>
  <si>
    <t>9780801622601</t>
  </si>
  <si>
    <t>30001000624645</t>
  </si>
  <si>
    <t>893541489</t>
  </si>
  <si>
    <t>QV50 M71835 1996</t>
  </si>
  <si>
    <t>0                      QV 0050000M  71835       1996</t>
  </si>
  <si>
    <t>Molecular diagnosis of genetic diseases / edited by Rob Elles.</t>
  </si>
  <si>
    <t>Totowa, N.J. : Humana Press, c1996.</t>
  </si>
  <si>
    <t>Methods in molecular medicine</t>
  </si>
  <si>
    <t>2001-04-07</t>
  </si>
  <si>
    <t>1997-02-14</t>
  </si>
  <si>
    <t>4917862005:eng</t>
  </si>
  <si>
    <t>34724611</t>
  </si>
  <si>
    <t>991001558899702656</t>
  </si>
  <si>
    <t>2258291980002656</t>
  </si>
  <si>
    <t>9780896033467</t>
  </si>
  <si>
    <t>30001003474600</t>
  </si>
  <si>
    <t>893546819</t>
  </si>
  <si>
    <t>QV 50 N397p 1985</t>
  </si>
  <si>
    <t>0                      QV 0050000N  397p        1985</t>
  </si>
  <si>
    <t>Pharmacology and therapeutics for dentistry / Enid A. Neidle, Donald C. Kroeger, John A. Yagiela.</t>
  </si>
  <si>
    <t>Neidle, Enid Anne.</t>
  </si>
  <si>
    <t>2002-09-08</t>
  </si>
  <si>
    <t>3107575:eng</t>
  </si>
  <si>
    <t>10711747</t>
  </si>
  <si>
    <t>991000747759702656</t>
  </si>
  <si>
    <t>2259062250002656</t>
  </si>
  <si>
    <t>9780801637438</t>
  </si>
  <si>
    <t>30001000046401</t>
  </si>
  <si>
    <t>893148213</t>
  </si>
  <si>
    <t>QV 50 N397p 1989</t>
  </si>
  <si>
    <t>0                      QV 0050000N  397p        1989</t>
  </si>
  <si>
    <t>Pharmacology and therapeutics for dentistry / Enid A. Neidle, John A. Yagiela.</t>
  </si>
  <si>
    <t>2006-02-28</t>
  </si>
  <si>
    <t>18558213</t>
  </si>
  <si>
    <t>991001312459702656</t>
  </si>
  <si>
    <t>2262961390002656</t>
  </si>
  <si>
    <t>9780801632624</t>
  </si>
  <si>
    <t>30001001751280</t>
  </si>
  <si>
    <t>893736456</t>
  </si>
  <si>
    <t>QV 50 N397p 1998</t>
  </si>
  <si>
    <t>0                      QV 0050000N  397p        1998</t>
  </si>
  <si>
    <t>Pharmacology and therapeutics for dentistry / [edited by] John A. Yagiela, Enid A. Neidle, Frank J. Dowd.</t>
  </si>
  <si>
    <t>2010-03-16</t>
  </si>
  <si>
    <t>41017283</t>
  </si>
  <si>
    <t>991001293969702656</t>
  </si>
  <si>
    <t>2271982690002656</t>
  </si>
  <si>
    <t>9780801679629</t>
  </si>
  <si>
    <t>30001003740257</t>
  </si>
  <si>
    <t>893273996</t>
  </si>
  <si>
    <t>QV 50 O48s 1991</t>
  </si>
  <si>
    <t>0                      QV 0050000O  48s         1991</t>
  </si>
  <si>
    <t>Studies on the kinetics of fluoride in human saliva and its effects on plaque acidogenicity / by Anette Oliveby.</t>
  </si>
  <si>
    <t>Oliveby, Anette.</t>
  </si>
  <si>
    <t>Stockholm : Kongl. Carolinska Medico Chirurgiska Institutet, 1991.</t>
  </si>
  <si>
    <t xml:space="preserve">sw </t>
  </si>
  <si>
    <t>1991-07-01</t>
  </si>
  <si>
    <t>25903487:eng</t>
  </si>
  <si>
    <t>24041830</t>
  </si>
  <si>
    <t>991000942599702656</t>
  </si>
  <si>
    <t>2264119380002656</t>
  </si>
  <si>
    <t>9789162802936</t>
  </si>
  <si>
    <t>30001002192963</t>
  </si>
  <si>
    <t>893637853</t>
  </si>
  <si>
    <t>QV 50 P164c 1973</t>
  </si>
  <si>
    <t>0                      QV 0050000P  164c        1973</t>
  </si>
  <si>
    <t>Clinical drug therapy in dental practice / Thomas J. Pallasch.</t>
  </si>
  <si>
    <t>Pallasch, Thomas J.</t>
  </si>
  <si>
    <t>Philadelphia : Lea &amp; Febiger, 1973.</t>
  </si>
  <si>
    <t>2002-10-21</t>
  </si>
  <si>
    <t>1634813:eng</t>
  </si>
  <si>
    <t>659042</t>
  </si>
  <si>
    <t>991000953329702656</t>
  </si>
  <si>
    <t>2260690020002656</t>
  </si>
  <si>
    <t>30001000192825</t>
  </si>
  <si>
    <t>893450648</t>
  </si>
  <si>
    <t>QV 50 P164p 1980</t>
  </si>
  <si>
    <t>0                      QV 0050000P  164p        1980</t>
  </si>
  <si>
    <t>Pharmacology for dental students and practitioners / Thomas J. Pallasch.</t>
  </si>
  <si>
    <t>Philadelphia : Lea &amp; Febiger, 1980.</t>
  </si>
  <si>
    <t>1992-09-25</t>
  </si>
  <si>
    <t>16413188:eng</t>
  </si>
  <si>
    <t>5171251</t>
  </si>
  <si>
    <t>991000953349702656</t>
  </si>
  <si>
    <t>2258763280002656</t>
  </si>
  <si>
    <t>9780812106893</t>
  </si>
  <si>
    <t>30001000192833</t>
  </si>
  <si>
    <t>893450649</t>
  </si>
  <si>
    <t>QV 50 P164s 1974</t>
  </si>
  <si>
    <t>0                      QV 0050000P  164s        1974</t>
  </si>
  <si>
    <t>Synopsis of pharmacology for students in dentistry / Thomas J. Pallasch and Richard M. Oksas.</t>
  </si>
  <si>
    <t>-- Philadelphia : Lea &amp; Febiger, 1974.</t>
  </si>
  <si>
    <t>1988-01-19</t>
  </si>
  <si>
    <t>1855544:eng</t>
  </si>
  <si>
    <t>914911</t>
  </si>
  <si>
    <t>991001003019702656</t>
  </si>
  <si>
    <t>2262560160002656</t>
  </si>
  <si>
    <t>9780812104936</t>
  </si>
  <si>
    <t>30001000900193</t>
  </si>
  <si>
    <t>893287160</t>
  </si>
  <si>
    <t>QV 50 S521d 1999</t>
  </si>
  <si>
    <t>0                      QV 0050000S  521d        1999</t>
  </si>
  <si>
    <t>Pharmacology and dental therapeutics / Robin A. Seymour, John G. Meechan, and Michael S. Yates.</t>
  </si>
  <si>
    <t>Seymour, R. A.</t>
  </si>
  <si>
    <t>Oxford ; New York : Oxford University Press, 1999.</t>
  </si>
  <si>
    <t>2008-09-20</t>
  </si>
  <si>
    <t>2002-05-10</t>
  </si>
  <si>
    <t>341214373:eng</t>
  </si>
  <si>
    <t>48381103</t>
  </si>
  <si>
    <t>991000331259702656</t>
  </si>
  <si>
    <t>2268806220002656</t>
  </si>
  <si>
    <t>30001004237915</t>
  </si>
  <si>
    <t>893741687</t>
  </si>
  <si>
    <t>QV 50 S797c 1984</t>
  </si>
  <si>
    <t>0                      QV 0050000S  797c        1984</t>
  </si>
  <si>
    <t>Clinical uses of fluorides / a State of the Art Conference on the Uses of Fluorides in Clinical Dentistry ; edited by Stephen H.Y. Wei.</t>
  </si>
  <si>
    <t>State of the Art Conference on the Uses of Fluorides in Clinical Dentistry (1984 : San Francisco, Calif.)</t>
  </si>
  <si>
    <t>1989-03-01</t>
  </si>
  <si>
    <t>836675561:eng</t>
  </si>
  <si>
    <t>11068408</t>
  </si>
  <si>
    <t>991000953419702656</t>
  </si>
  <si>
    <t>2261659570002656</t>
  </si>
  <si>
    <t>9780812109702</t>
  </si>
  <si>
    <t>30001000192866</t>
  </si>
  <si>
    <t>893134123</t>
  </si>
  <si>
    <t>QV 50 W239t 1994</t>
  </si>
  <si>
    <t>0                      QV 0050000W  239t        1994</t>
  </si>
  <si>
    <t>Textbook of dental pharmacology and therapeutics / J.G. Walton, John W. Thompson, and Robin A. Seymour.</t>
  </si>
  <si>
    <t>Walton, J. G.</t>
  </si>
  <si>
    <t>Oxford ; New York : Oxford University Press, c1994.</t>
  </si>
  <si>
    <t>2002-01-10</t>
  </si>
  <si>
    <t>1995-04-21</t>
  </si>
  <si>
    <t>17607076:eng</t>
  </si>
  <si>
    <t>29877093</t>
  </si>
  <si>
    <t>991001399349702656</t>
  </si>
  <si>
    <t>2257930330002656</t>
  </si>
  <si>
    <t>9780192625069</t>
  </si>
  <si>
    <t>30001003147438</t>
  </si>
  <si>
    <t>893826706</t>
  </si>
  <si>
    <t>QV55 A161c 2007</t>
  </si>
  <si>
    <t>0                      QV 0055000A  161c        2007</t>
  </si>
  <si>
    <t>Clinical drug therapy : rationales for nursing practice / Anne Collins Abrams, Carol Barnett Lammon, Sandra Smith Pennington ; consultant, Tracey L. Goldsmith.</t>
  </si>
  <si>
    <t>Abrams, Anne Collins.</t>
  </si>
  <si>
    <t>Philadelphia : Lippincott Williams &amp; Wilkins, c2007.</t>
  </si>
  <si>
    <t>2006-04-05</t>
  </si>
  <si>
    <t>538738:eng</t>
  </si>
  <si>
    <t>62078260</t>
  </si>
  <si>
    <t>991001738049702656</t>
  </si>
  <si>
    <t>2265648700002656</t>
  </si>
  <si>
    <t>9780781762632</t>
  </si>
  <si>
    <t>30001005127172</t>
  </si>
  <si>
    <t>893552710</t>
  </si>
  <si>
    <t>QV 55 D575h 1993</t>
  </si>
  <si>
    <t>0                      QV 0055000D  575h        1993</t>
  </si>
  <si>
    <t>West Chester, PA : Medical Surveillance Inc., c1993.</t>
  </si>
  <si>
    <t>28233351</t>
  </si>
  <si>
    <t>991001511619702656</t>
  </si>
  <si>
    <t>2261747370002656</t>
  </si>
  <si>
    <t>9780942447026</t>
  </si>
  <si>
    <t>30001002600916</t>
  </si>
  <si>
    <t>893741215</t>
  </si>
  <si>
    <t>QV 55 D7945 1982</t>
  </si>
  <si>
    <t>0                      QV 0055000D  7945        1982</t>
  </si>
  <si>
    <t>Drugs.</t>
  </si>
  <si>
    <t>Springhouse, Pa. : Intermed Communications, amended reprint, 1983, c1982.</t>
  </si>
  <si>
    <t>The Nurse's reference library</t>
  </si>
  <si>
    <t>1989-11-29</t>
  </si>
  <si>
    <t>54480932:eng</t>
  </si>
  <si>
    <t>8114411</t>
  </si>
  <si>
    <t>991000747899702656</t>
  </si>
  <si>
    <t>2268984420002656</t>
  </si>
  <si>
    <t>9780916730383</t>
  </si>
  <si>
    <t>30001000046435</t>
  </si>
  <si>
    <t>893545786</t>
  </si>
  <si>
    <t>QV 55 F184 1982</t>
  </si>
  <si>
    <t>0                      QV 0055000F  184         1982</t>
  </si>
  <si>
    <t>Falconer's The drug, the nurse, the patient.</t>
  </si>
  <si>
    <t>Philadelphia : Saunders, c1982.</t>
  </si>
  <si>
    <t>7th ed. / Eleanor Sheridan, H. Robert Patterson, Edward A. Gustafson.</t>
  </si>
  <si>
    <t>1994-08-24</t>
  </si>
  <si>
    <t>54457806:eng</t>
  </si>
  <si>
    <t>7733325</t>
  </si>
  <si>
    <t>991001176859702656</t>
  </si>
  <si>
    <t>2257059480002656</t>
  </si>
  <si>
    <t>30001000976110</t>
  </si>
  <si>
    <t>893460324</t>
  </si>
  <si>
    <t>QV 55 H2365 1993</t>
  </si>
  <si>
    <t>0                      QV 0055000H  2365        1993</t>
  </si>
  <si>
    <t>Handbook of commonly prescribed geriatric drugs / G. John DiGregorio, Edward J. Barbieri, Michael C. Kennedy, Andrew P. Ferko.</t>
  </si>
  <si>
    <t>3857507980:eng</t>
  </si>
  <si>
    <t>28581559</t>
  </si>
  <si>
    <t>991001511649702656</t>
  </si>
  <si>
    <t>2261761920002656</t>
  </si>
  <si>
    <t>9780942447019</t>
  </si>
  <si>
    <t>30001002600924</t>
  </si>
  <si>
    <t>893736670</t>
  </si>
  <si>
    <t>QV 55 H2464 1983</t>
  </si>
  <si>
    <t>0                      QV 0055000H  2464        1983</t>
  </si>
  <si>
    <t>Handbook of clinical drug data / editors, James E. Knoben, Philip O. Anderson ; assistant editor, Larry J. Davis ; contributing editors, William D. Ball, William G. Troutman.</t>
  </si>
  <si>
    <t>Hamilton, Ill. : Drug Intelligence Publications, c1983.</t>
  </si>
  <si>
    <t>1999-08-30</t>
  </si>
  <si>
    <t>9043234</t>
  </si>
  <si>
    <t>991000747939702656</t>
  </si>
  <si>
    <t>2266727380002656</t>
  </si>
  <si>
    <t>9780914768418</t>
  </si>
  <si>
    <t>30001000046450</t>
  </si>
  <si>
    <t>893731050</t>
  </si>
  <si>
    <t>QV 55 H2466 2003</t>
  </si>
  <si>
    <t>0                      QV 0055000H  2466        2003</t>
  </si>
  <si>
    <t>Handbook of pharmaceutical biotechnology / Jay P. Rho, Stan G. Louie, editors.</t>
  </si>
  <si>
    <t>New York : Pharmaceutical Products Press, c2003.</t>
  </si>
  <si>
    <t>2009-05-22</t>
  </si>
  <si>
    <t>2009-05-21</t>
  </si>
  <si>
    <t>366717232:eng</t>
  </si>
  <si>
    <t>48383568</t>
  </si>
  <si>
    <t>991001464179702656</t>
  </si>
  <si>
    <t>2271896330002656</t>
  </si>
  <si>
    <t>9780789001528</t>
  </si>
  <si>
    <t>30001004916732</t>
  </si>
  <si>
    <t>893732046</t>
  </si>
  <si>
    <t>QV 55 I606 1987p</t>
  </si>
  <si>
    <t>0                      QV 0055000I  606         1987p</t>
  </si>
  <si>
    <t>Polymers in medicine III : proceedings of the Third International Conference on Polymers in Medicine, Porto Cervo, Italy, June 9-13, 1987 / edited by Claudio Migliaresi ... [et al.].</t>
  </si>
  <si>
    <t>International Conference on Polymers in Medicine (3rd : 1987 : Porto Cervo, Italy)</t>
  </si>
  <si>
    <t>New York, NY : Elsevier Science Publishers, c1988.</t>
  </si>
  <si>
    <t>Progress in biomedical engineering ; 5</t>
  </si>
  <si>
    <t>1989-08-11</t>
  </si>
  <si>
    <t>1988-12-23</t>
  </si>
  <si>
    <t>423173647:eng</t>
  </si>
  <si>
    <t>18258255</t>
  </si>
  <si>
    <t>991001111769702656</t>
  </si>
  <si>
    <t>2263340080002656</t>
  </si>
  <si>
    <t>9780444430038</t>
  </si>
  <si>
    <t>30001001612227</t>
  </si>
  <si>
    <t>893455483</t>
  </si>
  <si>
    <t>QV 55 K72h 1978</t>
  </si>
  <si>
    <t>0                      QV 0055000K  72h         1978</t>
  </si>
  <si>
    <t>Handbook of clinical drug data / by James E. Knoben, Philip O. Anderson, Arthur S. Watanabe.</t>
  </si>
  <si>
    <t>Knoben, James E.</t>
  </si>
  <si>
    <t>Hamilton, Ill. : Drug Intelligence Publication, 1978.</t>
  </si>
  <si>
    <t>1988-05-09</t>
  </si>
  <si>
    <t>3712062</t>
  </si>
  <si>
    <t>991000953649702656</t>
  </si>
  <si>
    <t>2263066670002656</t>
  </si>
  <si>
    <t>30001000192940</t>
  </si>
  <si>
    <t>893551968</t>
  </si>
  <si>
    <t>QV 55 M689 1979</t>
  </si>
  <si>
    <t>0                      QV 0055000M  689         1979</t>
  </si>
  <si>
    <t>Modern pharmaceutics / [edited by] Gilbert S. Banker, Christopher T. Rhodes.</t>
  </si>
  <si>
    <t>New York : M. Dekker, c1979.</t>
  </si>
  <si>
    <t>Drugs and the pharmaceutical sciences ; v. 7</t>
  </si>
  <si>
    <t>2005-05-27</t>
  </si>
  <si>
    <t>864863749:eng</t>
  </si>
  <si>
    <t>5286412</t>
  </si>
  <si>
    <t>991000953709702656</t>
  </si>
  <si>
    <t>2271755860002656</t>
  </si>
  <si>
    <t>9780824768331</t>
  </si>
  <si>
    <t>30001000192957</t>
  </si>
  <si>
    <t>893267861</t>
  </si>
  <si>
    <t>QV 55 S958s 1963</t>
  </si>
  <si>
    <t>0                      QV 0055000S  958s        1963</t>
  </si>
  <si>
    <t>Spectrophotometric analysis of drugs : including atlas of spectra / by Irving Sunshine and S. R. Gerber.</t>
  </si>
  <si>
    <t>Sunshine, Irving.</t>
  </si>
  <si>
    <t>Springfield, Ill. : Thomas, 1963.</t>
  </si>
  <si>
    <t>2364437:eng</t>
  </si>
  <si>
    <t>1399040</t>
  </si>
  <si>
    <t>991000952549702656</t>
  </si>
  <si>
    <t>2263826270002656</t>
  </si>
  <si>
    <t>30001000192189</t>
  </si>
  <si>
    <t>893465040</t>
  </si>
  <si>
    <t>QV 60 P5361 1992</t>
  </si>
  <si>
    <t>0                      QV 0060000P  5361        1992</t>
  </si>
  <si>
    <t>Pharmacology of the skin / Hasan Mukhtar, editor.</t>
  </si>
  <si>
    <t>Boca Raton : CRC Press, c1992.</t>
  </si>
  <si>
    <t>Pharmacology &amp; toxicology</t>
  </si>
  <si>
    <t>1993-03-25</t>
  </si>
  <si>
    <t>1992-05-07</t>
  </si>
  <si>
    <t>17504239:eng</t>
  </si>
  <si>
    <t>24318421</t>
  </si>
  <si>
    <t>991001304419702656</t>
  </si>
  <si>
    <t>2272554080002656</t>
  </si>
  <si>
    <t>9780849372926</t>
  </si>
  <si>
    <t>30001002413104</t>
  </si>
  <si>
    <t>893121386</t>
  </si>
  <si>
    <t>QV 69 S989 1980a</t>
  </si>
  <si>
    <t>0                      QV 0069000S  989         1980a</t>
  </si>
  <si>
    <t>Antacids in the eighties : Symposium on Antacids, Hamburg, June 1980 : in the course of XI. International Congress of Gastroenterology, IV. European Congress of Digestive Endoscopy / edited by F. Halter.</t>
  </si>
  <si>
    <t>Symposium on Antacids (1980 : Hamburg, Germany)</t>
  </si>
  <si>
    <t>München ; Baltimore : Urban &amp; Schwarzenberg, 1982, c1981.</t>
  </si>
  <si>
    <t>1995-03-27</t>
  </si>
  <si>
    <t>1988-02-08</t>
  </si>
  <si>
    <t>138430014:eng</t>
  </si>
  <si>
    <t>8195091</t>
  </si>
  <si>
    <t>991000957579702656</t>
  </si>
  <si>
    <t>2266809640002656</t>
  </si>
  <si>
    <t>9780806708317</t>
  </si>
  <si>
    <t>30001000195034</t>
  </si>
  <si>
    <t>893148753</t>
  </si>
  <si>
    <t>QV 76.5 B881c 1998</t>
  </si>
  <si>
    <t>0                      QV 0076500B  881c        1998</t>
  </si>
  <si>
    <t>Psychiatric side effects of prescription and over-the-counter medications : recognition and management / by Thomas Markham Brown, Alan Stoudemire.</t>
  </si>
  <si>
    <t>Brown, Thomas Markham.</t>
  </si>
  <si>
    <t>Washington, DC : American Psychiatric Press, 1998.</t>
  </si>
  <si>
    <t>2000-06-28</t>
  </si>
  <si>
    <t>645300:eng</t>
  </si>
  <si>
    <t>37801443</t>
  </si>
  <si>
    <t>991001572129702656</t>
  </si>
  <si>
    <t>2256493490002656</t>
  </si>
  <si>
    <t>9780880488686</t>
  </si>
  <si>
    <t>30001004080455</t>
  </si>
  <si>
    <t>893546826</t>
  </si>
  <si>
    <t>QV 76.5 D794 1986</t>
  </si>
  <si>
    <t>0                      QV 0076500D  794         1986</t>
  </si>
  <si>
    <t>Drug dependence and emotional behavior : neurophysiological and neurochemical approaches / edited by A.V. Valdman and Yu. V. Burov ; translated by L.R. Sandler ; translation edited by M. Sandler.</t>
  </si>
  <si>
    <t>New York : Consultants Bureau, c1986.</t>
  </si>
  <si>
    <t>2006-04-17</t>
  </si>
  <si>
    <t>836639590:eng</t>
  </si>
  <si>
    <t>13395345</t>
  </si>
  <si>
    <t>991000957629702656</t>
  </si>
  <si>
    <t>2263976690002656</t>
  </si>
  <si>
    <t>9780306109843</t>
  </si>
  <si>
    <t>30001000195067</t>
  </si>
  <si>
    <t>893820760</t>
  </si>
  <si>
    <t>QV76.5 M612p 2005</t>
  </si>
  <si>
    <t>0                      QV 0076500M  612p        2005</t>
  </si>
  <si>
    <t>Psychopharmacology : drugs, the brain, and behavior / Jerrold S. Meyer, Linda F. Quenzer.</t>
  </si>
  <si>
    <t>Meyer, Jerrold S., 1947-</t>
  </si>
  <si>
    <t>Sunderland, Mass. : Sinauer Associates,Publishers c2005.</t>
  </si>
  <si>
    <t>2008-04-02</t>
  </si>
  <si>
    <t>2005-11-04</t>
  </si>
  <si>
    <t>196185983:eng</t>
  </si>
  <si>
    <t>57254391</t>
  </si>
  <si>
    <t>991000447319702656</t>
  </si>
  <si>
    <t>2268910930002656</t>
  </si>
  <si>
    <t>9780878935345</t>
  </si>
  <si>
    <t>30001004913184</t>
  </si>
  <si>
    <t>893466273</t>
  </si>
  <si>
    <t>QV 76.5 R988m 1979</t>
  </si>
  <si>
    <t>0                      QV 0076500R  988m        1979</t>
  </si>
  <si>
    <t>Mechanisms of drug action on the nervous system / Ronald W. Ryall.</t>
  </si>
  <si>
    <t>Ryall, Ronald W.</t>
  </si>
  <si>
    <t>Cambridge ; New York : Cambridge University Press, 1979.</t>
  </si>
  <si>
    <t>Cambridge texts in physiological sciences ; 1</t>
  </si>
  <si>
    <t>1995-04-10</t>
  </si>
  <si>
    <t>13299353:eng</t>
  </si>
  <si>
    <t>3843503</t>
  </si>
  <si>
    <t>991000957669702656</t>
  </si>
  <si>
    <t>2266420090002656</t>
  </si>
  <si>
    <t>9780521221252</t>
  </si>
  <si>
    <t>30001000195083</t>
  </si>
  <si>
    <t>893148754</t>
  </si>
  <si>
    <t>QV 76.5 T355 1992</t>
  </si>
  <si>
    <t>0                      QV 0076500T  355         1992</t>
  </si>
  <si>
    <t>Textbook of clinical neuropharmacology and therapeutics / editors, Harold L. Klawans, Christopher G. Goetz, Caroline M. Tanner.</t>
  </si>
  <si>
    <t>New York : Raven Press, c1992.</t>
  </si>
  <si>
    <t>1996-05-10</t>
  </si>
  <si>
    <t>1992-02-04</t>
  </si>
  <si>
    <t>29579360:eng</t>
  </si>
  <si>
    <t>24246648</t>
  </si>
  <si>
    <t>991001031639702656</t>
  </si>
  <si>
    <t>2269303730002656</t>
  </si>
  <si>
    <t>9780881677973</t>
  </si>
  <si>
    <t>30001002243907</t>
  </si>
  <si>
    <t>893648843</t>
  </si>
  <si>
    <t>QV 77 A512pa 1974</t>
  </si>
  <si>
    <t>0                      QV 0077000A  512pa       1974</t>
  </si>
  <si>
    <t>Pharmacokinetics of psychoactive drugs : blood levels and clinical response / edited by Louis A. Gottschalk and Sidney Merlis.</t>
  </si>
  <si>
    <t>American College of Neuropsychopharmacology.</t>
  </si>
  <si>
    <t>-- New York : Spectrum Publications : distributed by Halsted Press, c1976.</t>
  </si>
  <si>
    <t>1995-06-18</t>
  </si>
  <si>
    <t>3364211:eng</t>
  </si>
  <si>
    <t>1992083</t>
  </si>
  <si>
    <t>991000957709702656</t>
  </si>
  <si>
    <t>2262183520002656</t>
  </si>
  <si>
    <t>9780470149829</t>
  </si>
  <si>
    <t>30001000195091</t>
  </si>
  <si>
    <t>893278523</t>
  </si>
  <si>
    <t>QV 77 B615 1991</t>
  </si>
  <si>
    <t>0                      QV 0077000B  615         1991</t>
  </si>
  <si>
    <t>The Biological basis of drug tolerance and dependence / Edited by Judith Pratt.</t>
  </si>
  <si>
    <t>London ; San Diego : Academic Press London, c1991.</t>
  </si>
  <si>
    <t>Neuroscience perspectives ; 3</t>
  </si>
  <si>
    <t>30042479:eng</t>
  </si>
  <si>
    <t>27435100</t>
  </si>
  <si>
    <t>991001304649702656</t>
  </si>
  <si>
    <t>2256938090002656</t>
  </si>
  <si>
    <t>9780125642507</t>
  </si>
  <si>
    <t>30001002413179</t>
  </si>
  <si>
    <t>893358447</t>
  </si>
  <si>
    <t>QV 77 B833p 1983</t>
  </si>
  <si>
    <t>0                      QV 0077000B  833p        1983</t>
  </si>
  <si>
    <t>Psychiatric drugs : hazards to the brain / Peter R. Breggin.</t>
  </si>
  <si>
    <t>Breggin, Peter Roger, 1936-</t>
  </si>
  <si>
    <t>New York : Springer, c1983.</t>
  </si>
  <si>
    <t>1994-02-15</t>
  </si>
  <si>
    <t>966927:eng</t>
  </si>
  <si>
    <t>8952110</t>
  </si>
  <si>
    <t>991000957749702656</t>
  </si>
  <si>
    <t>2271124540002656</t>
  </si>
  <si>
    <t>9780826129307</t>
  </si>
  <si>
    <t>30001000195158</t>
  </si>
  <si>
    <t>893648800</t>
  </si>
  <si>
    <t>QV 77 C777b 1991</t>
  </si>
  <si>
    <t>0                      QV 0077000C  777b        1991</t>
  </si>
  <si>
    <t>The biochemical basis of neuropharmacology / Jack R. Cooper, Floyd E. Bloom, Robert H. Roth.</t>
  </si>
  <si>
    <t>Cooper, Jack R., 1924-</t>
  </si>
  <si>
    <t>New York : Oxford University Press, c1991.</t>
  </si>
  <si>
    <t>1996-05-02</t>
  </si>
  <si>
    <t>1991-11-22</t>
  </si>
  <si>
    <t>1172658:eng</t>
  </si>
  <si>
    <t>22983425</t>
  </si>
  <si>
    <t>991001023399702656</t>
  </si>
  <si>
    <t>2255878030002656</t>
  </si>
  <si>
    <t>9780195071177</t>
  </si>
  <si>
    <t>30001002242255</t>
  </si>
  <si>
    <t>893820856</t>
  </si>
  <si>
    <t>QV 77 D488f 1990</t>
  </si>
  <si>
    <t>0                      QV 0077000D  488f        1990</t>
  </si>
  <si>
    <t>Fundamentals of monitoring psychoactive drug therapy / C. Lindsay DeVane.</t>
  </si>
  <si>
    <t>DeVane, C. Lindsay.</t>
  </si>
  <si>
    <t>Baltimore : Williams &amp; Wilkins, c1990.</t>
  </si>
  <si>
    <t>1998-10-26</t>
  </si>
  <si>
    <t>21934187:eng</t>
  </si>
  <si>
    <t>19847368</t>
  </si>
  <si>
    <t>991001453539702656</t>
  </si>
  <si>
    <t>2262997270002656</t>
  </si>
  <si>
    <t>9780683024524</t>
  </si>
  <si>
    <t>30001001884149</t>
  </si>
  <si>
    <t>893546730</t>
  </si>
  <si>
    <t>QV 77 D793 1985</t>
  </si>
  <si>
    <t>0                      QV 0077000D  793         1985</t>
  </si>
  <si>
    <t>Drugs in central nervous system disorders / edited by David C. Horwell.</t>
  </si>
  <si>
    <t>New York : Dekker, c1985.</t>
  </si>
  <si>
    <t>Clinical pharmacology ; v. 2</t>
  </si>
  <si>
    <t>1995-06-21</t>
  </si>
  <si>
    <t>3917375:eng</t>
  </si>
  <si>
    <t>11518064</t>
  </si>
  <si>
    <t>991000957789702656</t>
  </si>
  <si>
    <t>2259622000002656</t>
  </si>
  <si>
    <t>9780824771850</t>
  </si>
  <si>
    <t>30001000195224</t>
  </si>
  <si>
    <t>893148755</t>
  </si>
  <si>
    <t>QV 77 E84 1967a</t>
  </si>
  <si>
    <t>0                      QV 0077000E  84          1967a</t>
  </si>
  <si>
    <t>Ethnopharmacologic search for psychoactive drugs / Daniel H. Efron, editor-in-chief, Bo Holmstedt, co-editor, Nathan S. Kline, co-editor.</t>
  </si>
  <si>
    <t>New York : Raven Press, 1979.</t>
  </si>
  <si>
    <t>5534209208:eng</t>
  </si>
  <si>
    <t>4933187</t>
  </si>
  <si>
    <t>991000957829702656</t>
  </si>
  <si>
    <t>2268937460002656</t>
  </si>
  <si>
    <t>9780890040478</t>
  </si>
  <si>
    <t>30001000195232</t>
  </si>
  <si>
    <t>893134127</t>
  </si>
  <si>
    <t>QV 77 H744ca 1990</t>
  </si>
  <si>
    <t>0                      QV 0077000H  744ca       1990</t>
  </si>
  <si>
    <t>Clinical pharmacology of psychotherapeutic drugs / Leo E. Hollister, John G. Csernansky.</t>
  </si>
  <si>
    <t>Hollister, Leo E., 1920-2000.</t>
  </si>
  <si>
    <t>1995-08-22</t>
  </si>
  <si>
    <t>3856165056:eng</t>
  </si>
  <si>
    <t>20318620</t>
  </si>
  <si>
    <t>991001453609702656</t>
  </si>
  <si>
    <t>2266305270002656</t>
  </si>
  <si>
    <t>9780443086700</t>
  </si>
  <si>
    <t>30001001884164</t>
  </si>
  <si>
    <t>893633073</t>
  </si>
  <si>
    <t>QV 77 J94p 1992</t>
  </si>
  <si>
    <t>0                      QV 0077000J  94p         1992</t>
  </si>
  <si>
    <t>A primer of drug action : a concise, nontechnical guide to the actions, uses, and side effects of psychoactive drugs / Robert M. Julien.</t>
  </si>
  <si>
    <t>Julien, Robert M.</t>
  </si>
  <si>
    <t>New York : W.H. Freeman, c1992.</t>
  </si>
  <si>
    <t>3901301026:eng</t>
  </si>
  <si>
    <t>23732173</t>
  </si>
  <si>
    <t>991001131009702656</t>
  </si>
  <si>
    <t>2265328070002656</t>
  </si>
  <si>
    <t>9780716722618</t>
  </si>
  <si>
    <t>30001003625045</t>
  </si>
  <si>
    <t>893736253</t>
  </si>
  <si>
    <t>QV 77 K29p 1993</t>
  </si>
  <si>
    <t>0                      QV 0077000K  29p         1993</t>
  </si>
  <si>
    <t>Psychotropic drugs / Norman L. Keltner, David G. Folks.</t>
  </si>
  <si>
    <t>Keltner, Norman L.</t>
  </si>
  <si>
    <t>St. Louis : Mosby, c1993.</t>
  </si>
  <si>
    <t>1994-09-07</t>
  </si>
  <si>
    <t>14426655:eng</t>
  </si>
  <si>
    <t>27311142</t>
  </si>
  <si>
    <t>991000674619702656</t>
  </si>
  <si>
    <t>2255727260002656</t>
  </si>
  <si>
    <t>9780801658402</t>
  </si>
  <si>
    <t>30001002696518</t>
  </si>
  <si>
    <t>893642319</t>
  </si>
  <si>
    <t>QV 77 L154i 1983</t>
  </si>
  <si>
    <t>0                      QV 0077000L  154i        1983</t>
  </si>
  <si>
    <t>Introduction to psychopharmacology / Malcolm Lader.</t>
  </si>
  <si>
    <t>Lader, Malcolm Harold.</t>
  </si>
  <si>
    <t>Kalamazoo, Mich. : Upjohn, c1983.</t>
  </si>
  <si>
    <t>miu</t>
  </si>
  <si>
    <t>A SCOPE publication</t>
  </si>
  <si>
    <t>1990-11-05</t>
  </si>
  <si>
    <t>43522482:eng</t>
  </si>
  <si>
    <t>10268203</t>
  </si>
  <si>
    <t>991000775369702656</t>
  </si>
  <si>
    <t>2268366690002656</t>
  </si>
  <si>
    <t>9780895010155</t>
  </si>
  <si>
    <t>30001002063008</t>
  </si>
  <si>
    <t>893459810</t>
  </si>
  <si>
    <t>QV 77 L439d 1982</t>
  </si>
  <si>
    <t>0                      QV 0077000L  439d        1982</t>
  </si>
  <si>
    <t>Drugs and behavior / Fred Leavitt.</t>
  </si>
  <si>
    <t>Leavitt, Fred.</t>
  </si>
  <si>
    <t>New York : Wiley, c1982.</t>
  </si>
  <si>
    <t>Wiley series on personality processes</t>
  </si>
  <si>
    <t>2005-10-03</t>
  </si>
  <si>
    <t>1925966:eng</t>
  </si>
  <si>
    <t>7925458</t>
  </si>
  <si>
    <t>991000957869702656</t>
  </si>
  <si>
    <t>2260816610002656</t>
  </si>
  <si>
    <t>9780471082262</t>
  </si>
  <si>
    <t>30001000195315</t>
  </si>
  <si>
    <t>893815954</t>
  </si>
  <si>
    <t>QV 77 M687o 1989</t>
  </si>
  <si>
    <t>0                      QV 0077000M  687o        1989</t>
  </si>
  <si>
    <t>The over-50 guide to psychiatric medications / Gary S. Moak, Elliot M. Stein, Joseph E. V. Rubin.</t>
  </si>
  <si>
    <t>Moak, Gary S.</t>
  </si>
  <si>
    <t>1989-12-08</t>
  </si>
  <si>
    <t>1989-10-20</t>
  </si>
  <si>
    <t>22714258:eng</t>
  </si>
  <si>
    <t>20494662</t>
  </si>
  <si>
    <t>991001354669702656</t>
  </si>
  <si>
    <t>2269531430002656</t>
  </si>
  <si>
    <t>9780890421277</t>
  </si>
  <si>
    <t>30001001795576</t>
  </si>
  <si>
    <t>893638263</t>
  </si>
  <si>
    <t>QV77 N4968 2002</t>
  </si>
  <si>
    <t>0                      QV 0077000N  4968        2002</t>
  </si>
  <si>
    <t>Neuropsychopharmacology : the fifth generation of progress : an official publication of the American College of Neuropsychopharmacology / editors, Kenneth L. Davis ... [et al.].</t>
  </si>
  <si>
    <t>Philadelphia : Lippincott/Williams &amp; Wilkins, 2002.</t>
  </si>
  <si>
    <t>2006-11-14</t>
  </si>
  <si>
    <t>2006-10-06</t>
  </si>
  <si>
    <t>865282841:eng</t>
  </si>
  <si>
    <t>47659400</t>
  </si>
  <si>
    <t>991000551529702656</t>
  </si>
  <si>
    <t>2264917080002656</t>
  </si>
  <si>
    <t>9780781728379</t>
  </si>
  <si>
    <t>30001005176039</t>
  </si>
  <si>
    <t>893271520</t>
  </si>
  <si>
    <t>QV 77 P464p 1991</t>
  </si>
  <si>
    <t>0                      QV 0077000P  464p        1991</t>
  </si>
  <si>
    <t>Cincinnati : H. Whitney Books, c1991.</t>
  </si>
  <si>
    <t>1994-11-17</t>
  </si>
  <si>
    <t>1992-01-10</t>
  </si>
  <si>
    <t>19930415</t>
  </si>
  <si>
    <t>991001026729702656</t>
  </si>
  <si>
    <t>2255566180002656</t>
  </si>
  <si>
    <t>9780929375069</t>
  </si>
  <si>
    <t>30001002242875</t>
  </si>
  <si>
    <t>893278637</t>
  </si>
  <si>
    <t>QV 77 P671p 1992</t>
  </si>
  <si>
    <t>0                      QV 0077000P  671p        1992</t>
  </si>
  <si>
    <t>Clinical primer of psychopharmacology : a practical guide / Donald M. Pirodsky, Jerry S. Cohn.</t>
  </si>
  <si>
    <t>Pirodsky, Donald M.</t>
  </si>
  <si>
    <t>New York : McGraw-Hill, Health Professions Division, c1992.</t>
  </si>
  <si>
    <t>1996-09-05</t>
  </si>
  <si>
    <t>1992-12-10</t>
  </si>
  <si>
    <t>28369557:eng</t>
  </si>
  <si>
    <t>25591456</t>
  </si>
  <si>
    <t>991001350689702656</t>
  </si>
  <si>
    <t>2261501300002656</t>
  </si>
  <si>
    <t>9780071053884</t>
  </si>
  <si>
    <t>30001002459404</t>
  </si>
  <si>
    <t>893651985</t>
  </si>
  <si>
    <t>QV 77 P768p 1986</t>
  </si>
  <si>
    <t>0                      QV 0077000P  768p        1986</t>
  </si>
  <si>
    <t>A primer of human behavioral pharmacology / Alan Poling.</t>
  </si>
  <si>
    <t>Poling, Alan D.</t>
  </si>
  <si>
    <t>New York : Plenum Press, c1986.</t>
  </si>
  <si>
    <t>Applied clinical psychology</t>
  </si>
  <si>
    <t>1996-05-01</t>
  </si>
  <si>
    <t>7330638:eng</t>
  </si>
  <si>
    <t>13822758</t>
  </si>
  <si>
    <t>991000957919702656</t>
  </si>
  <si>
    <t>2268231450002656</t>
  </si>
  <si>
    <t>9780306421860</t>
  </si>
  <si>
    <t>30001000195331</t>
  </si>
  <si>
    <t>893358040</t>
  </si>
  <si>
    <t>QV 77 P959 1978</t>
  </si>
  <si>
    <t>0                      QV 0077000P  959         1978</t>
  </si>
  <si>
    <t>Principles of psychopharmacology / editors, William G. Clark, Joseph del Giudice ; contributors, Gary C. Aden ... [et al.].</t>
  </si>
  <si>
    <t>New York : Academic Press, 1978.</t>
  </si>
  <si>
    <t>1996-11-18</t>
  </si>
  <si>
    <t>4924778907:eng</t>
  </si>
  <si>
    <t>3844717</t>
  </si>
  <si>
    <t>991000957969702656</t>
  </si>
  <si>
    <t>2264806210002656</t>
  </si>
  <si>
    <t>9780121756604</t>
  </si>
  <si>
    <t>30001000195349</t>
  </si>
  <si>
    <t>893278524</t>
  </si>
  <si>
    <t>QV 77 P972105 1996</t>
  </si>
  <si>
    <t>0                      QV 0077000P  972105      1996</t>
  </si>
  <si>
    <t>Psychopharmacology and women : sex, gender, and hormones / edited by Margaret F. Jensvold, Uriel Halbreich, Jean A. Hamilton.</t>
  </si>
  <si>
    <t>Washington, DC : American Psychiatric Press, c1996.</t>
  </si>
  <si>
    <t>1997-03-06</t>
  </si>
  <si>
    <t>364588683:eng</t>
  </si>
  <si>
    <t>33440562</t>
  </si>
  <si>
    <t>991001552669702656</t>
  </si>
  <si>
    <t>2265940900002656</t>
  </si>
  <si>
    <t>9780880485456</t>
  </si>
  <si>
    <t>30001003474709</t>
  </si>
  <si>
    <t>893284898</t>
  </si>
  <si>
    <t>QV 77 P9733 1987</t>
  </si>
  <si>
    <t>0                      QV 0077000P  9733        1987</t>
  </si>
  <si>
    <t>Psychopharmacology : the third generation of progress / editor, Herbert Y. Meltzer ; associate editors, Basic neurobiology, Joseph T. Coyle, Irwin J. Kopin, Biological psychiatry, William E. Bunney, Jr., Kenneth L. Davis, Clinical psychopharmacology, Charles R. Schuster, Richard I. Shader, George M. Simpson.</t>
  </si>
  <si>
    <t>1991-04-04</t>
  </si>
  <si>
    <t>1988-02-12</t>
  </si>
  <si>
    <t>3863714680:eng</t>
  </si>
  <si>
    <t>15630691</t>
  </si>
  <si>
    <t>991001537899702656</t>
  </si>
  <si>
    <t>2256539780002656</t>
  </si>
  <si>
    <t>9780881672732</t>
  </si>
  <si>
    <t>30001000623787</t>
  </si>
  <si>
    <t>893268592</t>
  </si>
  <si>
    <t>QV 77 R264d 1990</t>
  </si>
  <si>
    <t>0                      QV 0077000R  264d        1990</t>
  </si>
  <si>
    <t>Drugs, society &amp; human behavior / Oakley Ray, Charles Ksir.</t>
  </si>
  <si>
    <t>Ray, Oakley Stern.</t>
  </si>
  <si>
    <t>St. Louis : Times Mirror/Mosby College Pub., c1990.</t>
  </si>
  <si>
    <t>2005-08-10</t>
  </si>
  <si>
    <t>1990-01-19</t>
  </si>
  <si>
    <t>654525:eng</t>
  </si>
  <si>
    <t>20261584</t>
  </si>
  <si>
    <t>991001356379702656</t>
  </si>
  <si>
    <t>2261600290002656</t>
  </si>
  <si>
    <t>9780801650482</t>
  </si>
  <si>
    <t>30001001796137</t>
  </si>
  <si>
    <t>893168148</t>
  </si>
  <si>
    <t>QV 77 S312m 1997</t>
  </si>
  <si>
    <t>0                      QV 0077000S  312m        1997</t>
  </si>
  <si>
    <t>Manual of clinical psychopharmacology / Alan F. Schatzberg, Jonathan O. Cole, Charles DeBattista.</t>
  </si>
  <si>
    <t>Schatzberg, Alan F.</t>
  </si>
  <si>
    <t>2004-04-19</t>
  </si>
  <si>
    <t>1998-02-23</t>
  </si>
  <si>
    <t>939270:eng</t>
  </si>
  <si>
    <t>34990004</t>
  </si>
  <si>
    <t>991001263119702656</t>
  </si>
  <si>
    <t>2268120750002656</t>
  </si>
  <si>
    <t>9780880489218</t>
  </si>
  <si>
    <t>30001003691773</t>
  </si>
  <si>
    <t>893358401</t>
  </si>
  <si>
    <t>QV77 S312m 2003</t>
  </si>
  <si>
    <t>0                      QV 0077000S  312m        2003</t>
  </si>
  <si>
    <t>Washington, D.C. : American Psychiatric Pub., c2003.</t>
  </si>
  <si>
    <t>2004-07-25</t>
  </si>
  <si>
    <t>2004-04-01</t>
  </si>
  <si>
    <t>49512675</t>
  </si>
  <si>
    <t>991000369099702656</t>
  </si>
  <si>
    <t>2269748950002656</t>
  </si>
  <si>
    <t>9780880488655</t>
  </si>
  <si>
    <t>30001004920379</t>
  </si>
  <si>
    <t>893279957</t>
  </si>
  <si>
    <t>QV77 S312m 2005</t>
  </si>
  <si>
    <t>0                      QV 0077000S  312m        2005</t>
  </si>
  <si>
    <t>Washington, DC : American Psychiatric Pub., c2005.</t>
  </si>
  <si>
    <t>2007-04-04</t>
  </si>
  <si>
    <t>2006-02-09</t>
  </si>
  <si>
    <t>57514997</t>
  </si>
  <si>
    <t>991000463229702656</t>
  </si>
  <si>
    <t>2254904920002656</t>
  </si>
  <si>
    <t>9781585622092</t>
  </si>
  <si>
    <t>30001004913085</t>
  </si>
  <si>
    <t>893365493</t>
  </si>
  <si>
    <t>QV 77 S979d 1983</t>
  </si>
  <si>
    <t>0                      QV 0077000S  979d        1983</t>
  </si>
  <si>
    <t>Drugs and therapy : a handbook of psychotropic drugs / Alvin K. Swonger, Larry L. Constantine.</t>
  </si>
  <si>
    <t>Boston : Little, Brown, c1983.</t>
  </si>
  <si>
    <t>1987-08-20</t>
  </si>
  <si>
    <t>43062089:eng</t>
  </si>
  <si>
    <t>9875221</t>
  </si>
  <si>
    <t>991000747989702656</t>
  </si>
  <si>
    <t>2271574330002656</t>
  </si>
  <si>
    <t>9780316825511</t>
  </si>
  <si>
    <t>30001000046476</t>
  </si>
  <si>
    <t>893740094</t>
  </si>
  <si>
    <t>QV 77 S987c 1973</t>
  </si>
  <si>
    <t>0                      QV 0077000S  987c        1973</t>
  </si>
  <si>
    <t>Clinical pharmacology of psychoactive drugs / edited by E.M. Sellers ; general editor, S.L. Lambert.</t>
  </si>
  <si>
    <t>Toronto : Alcoholism and Drug Addiction Research Foundation : [distributed by Marketing Services, Addiction Research Foundation], 1975.</t>
  </si>
  <si>
    <t>1989-11-22</t>
  </si>
  <si>
    <t>5081464:eng</t>
  </si>
  <si>
    <t>2425565</t>
  </si>
  <si>
    <t>991000958049702656</t>
  </si>
  <si>
    <t>2264416330002656</t>
  </si>
  <si>
    <t>30001000195406</t>
  </si>
  <si>
    <t>893358041</t>
  </si>
  <si>
    <t>QV 77 W585p 1977</t>
  </si>
  <si>
    <t>0                      QV 0077000W  585p        1977</t>
  </si>
  <si>
    <t>Pediatric psychopharmacology : a practical guide to clinical application / James H. White.</t>
  </si>
  <si>
    <t>White, James Harrison, 1943-</t>
  </si>
  <si>
    <t>Baltimore : Williams &amp; Wilkins Co., c1977.</t>
  </si>
  <si>
    <t>2002-04-25</t>
  </si>
  <si>
    <t>1104293215:eng</t>
  </si>
  <si>
    <t>2542655</t>
  </si>
  <si>
    <t>991000958089702656</t>
  </si>
  <si>
    <t>2272112020002656</t>
  </si>
  <si>
    <t>9780683090062</t>
  </si>
  <si>
    <t>30001000195448</t>
  </si>
  <si>
    <t>893540863</t>
  </si>
  <si>
    <t>QV 77.2 A512 1998</t>
  </si>
  <si>
    <t>0                      QV 0077200A  512         1998</t>
  </si>
  <si>
    <t>The American Psychiatric Press textbook of psychopharmacology / edited by Alan F. Schatzberg and Charles B. Nemeroff.</t>
  </si>
  <si>
    <t>Washington, DC. : American Psychiatric Press, c1998.</t>
  </si>
  <si>
    <t>2006-03-15</t>
  </si>
  <si>
    <t>2000-02-10</t>
  </si>
  <si>
    <t>3856829768:eng</t>
  </si>
  <si>
    <t>38249490</t>
  </si>
  <si>
    <t>991001412079702656</t>
  </si>
  <si>
    <t>2272305780002656</t>
  </si>
  <si>
    <t>9780880488174</t>
  </si>
  <si>
    <t>30001003832328</t>
  </si>
  <si>
    <t>893121470</t>
  </si>
  <si>
    <t>QV77.2 A512 2004</t>
  </si>
  <si>
    <t>0                      QV 0077200A  512         2004</t>
  </si>
  <si>
    <t>The American Psychiatric Publishing textbook of psychopharmacology / edited by Alan F. Schatzberg, Charles B. Nemeroff.</t>
  </si>
  <si>
    <t>Washington, DC : American Psychiatric Pub., c2004.</t>
  </si>
  <si>
    <t>2007-02-21</t>
  </si>
  <si>
    <t>2005-11-21</t>
  </si>
  <si>
    <t>570502860:eng</t>
  </si>
  <si>
    <t>51096022</t>
  </si>
  <si>
    <t>991000450179702656</t>
  </si>
  <si>
    <t>2269211140002656</t>
  </si>
  <si>
    <t>9781585620609</t>
  </si>
  <si>
    <t>30001004910925</t>
  </si>
  <si>
    <t>893737368</t>
  </si>
  <si>
    <t>QV77.2 C641 2002</t>
  </si>
  <si>
    <t>0                      QV 0077200C  641         2002</t>
  </si>
  <si>
    <t>Clinical handbook of psychotropic drugs / Kalyna Z. Bezchlibnyk-Butler, principal editor ; J. Joel Jeffries, co-editor.</t>
  </si>
  <si>
    <t>Seattle : Hogrefe &amp; Huber Publishers, c2002.</t>
  </si>
  <si>
    <t>12th rev. ed.</t>
  </si>
  <si>
    <t>2003-03-26</t>
  </si>
  <si>
    <t>364596318:eng</t>
  </si>
  <si>
    <t>50439458</t>
  </si>
  <si>
    <t>991000342779702656</t>
  </si>
  <si>
    <t>2269943380002656</t>
  </si>
  <si>
    <t>9780889372580</t>
  </si>
  <si>
    <t>30001004502250</t>
  </si>
  <si>
    <t>893279937</t>
  </si>
  <si>
    <t>QV 77.2 I35u 1997</t>
  </si>
  <si>
    <t>0                      QV 0077200I  35u         1997</t>
  </si>
  <si>
    <t>Uppers, downers, all arounders : physical and mental effects of psychoactive drugs / Darryl S. Inaba, William E. Cohen, Michael E. Holstein.</t>
  </si>
  <si>
    <t>Inaba, Darryl.</t>
  </si>
  <si>
    <t>Ashland, Or. : CNS Publications, c1997.</t>
  </si>
  <si>
    <t>oru</t>
  </si>
  <si>
    <t>2004-08-26</t>
  </si>
  <si>
    <t>1999-10-28</t>
  </si>
  <si>
    <t>791077:eng</t>
  </si>
  <si>
    <t>36662705</t>
  </si>
  <si>
    <t>991001571689702656</t>
  </si>
  <si>
    <t>2258304140002656</t>
  </si>
  <si>
    <t>9780926544253</t>
  </si>
  <si>
    <t>30001004080257</t>
  </si>
  <si>
    <t>893364275</t>
  </si>
  <si>
    <t>QV 77.2 J17c 2007</t>
  </si>
  <si>
    <t>0                      QV 0077200J  17c         2007</t>
  </si>
  <si>
    <t>Clinical manual of geriatric psychopharmacology / Sandra A. Jacobson, Ronald W. Pies, Ira R. Katz.</t>
  </si>
  <si>
    <t>Jacobson, Sandra A., 1953-</t>
  </si>
  <si>
    <t>Washington, DC : American Psychiatric Pub., c2007.</t>
  </si>
  <si>
    <t>2009-03-31</t>
  </si>
  <si>
    <t>2009-02-12</t>
  </si>
  <si>
    <t>149262787:eng</t>
  </si>
  <si>
    <t>70867055</t>
  </si>
  <si>
    <t>991001362799702656</t>
  </si>
  <si>
    <t>2266652940002656</t>
  </si>
  <si>
    <t>9781585622528</t>
  </si>
  <si>
    <t>30001005389962</t>
  </si>
  <si>
    <t>893374476</t>
  </si>
  <si>
    <t>QV 77.2 K29p 1997</t>
  </si>
  <si>
    <t>0                      QV 0077200K  29p         1997</t>
  </si>
  <si>
    <t>St. Louis : Mosby, c1997.</t>
  </si>
  <si>
    <t>1997-10-31</t>
  </si>
  <si>
    <t>34283728</t>
  </si>
  <si>
    <t>991001558779702656</t>
  </si>
  <si>
    <t>2257568840002656</t>
  </si>
  <si>
    <t>9780815149682</t>
  </si>
  <si>
    <t>30001003603679</t>
  </si>
  <si>
    <t>893274294</t>
  </si>
  <si>
    <t>QV 77.2 T375h 1995</t>
  </si>
  <si>
    <t>0                      QV 0077200T  375h        1995</t>
  </si>
  <si>
    <t>The handbook of psychiatric drug therapy for children and adolescents / Karen A. Theesen.</t>
  </si>
  <si>
    <t>Theesen, Karen A.</t>
  </si>
  <si>
    <t>New York : Pharmaceutical Products Press, c1995.</t>
  </si>
  <si>
    <t>1997-06-08</t>
  </si>
  <si>
    <t>1997-01-20</t>
  </si>
  <si>
    <t>604314:eng</t>
  </si>
  <si>
    <t>32205567</t>
  </si>
  <si>
    <t>991000853149702656</t>
  </si>
  <si>
    <t>2270115030002656</t>
  </si>
  <si>
    <t>9781560249290</t>
  </si>
  <si>
    <t>30001003474394</t>
  </si>
  <si>
    <t>893363383</t>
  </si>
  <si>
    <t>QV 77.7 C22475 2002</t>
  </si>
  <si>
    <t>0                      QV 0077700C  22475       2002</t>
  </si>
  <si>
    <t>Cannabis and cannabinoids : pharmacology, toxicology, and therapeutic potential / Franjo Grotenhermen, Ethan Russo, editors.</t>
  </si>
  <si>
    <t>New York : Haworth Integrative Healing Press, c2002.</t>
  </si>
  <si>
    <t>2010-05-03</t>
  </si>
  <si>
    <t>2004-09-16</t>
  </si>
  <si>
    <t>836998442:eng</t>
  </si>
  <si>
    <t>47049973</t>
  </si>
  <si>
    <t>991000392689702656</t>
  </si>
  <si>
    <t>2263839840002656</t>
  </si>
  <si>
    <t>9780789015075</t>
  </si>
  <si>
    <t>30001004840981</t>
  </si>
  <si>
    <t>893447260</t>
  </si>
  <si>
    <t>QV 77.7 C609 1959</t>
  </si>
  <si>
    <t>0                      QV 0077700C  609         1959</t>
  </si>
  <si>
    <t>The use of LSD in psychotherapy : transactions / Edited by Harold A. Abramson.</t>
  </si>
  <si>
    <t>Conference on d-Lysergic Acid Diethylamide (LSD-25) (1959 : Princeton, N.J.)</t>
  </si>
  <si>
    <t>New York : Josiah Macy, Jr. Foundation, 1960.</t>
  </si>
  <si>
    <t>1960</t>
  </si>
  <si>
    <t>2007-11-15</t>
  </si>
  <si>
    <t>1988-03-17</t>
  </si>
  <si>
    <t>8888951614:eng</t>
  </si>
  <si>
    <t>522421</t>
  </si>
  <si>
    <t>991000958169702656</t>
  </si>
  <si>
    <t>2260050660002656</t>
  </si>
  <si>
    <t>30001000195455</t>
  </si>
  <si>
    <t>893632567</t>
  </si>
  <si>
    <t>QV 77.7 H193 1984</t>
  </si>
  <si>
    <t>0                      QV 0077700H  193         1984</t>
  </si>
  <si>
    <t>Hallucinogens--neurochemical, behavioral, and clinical perspectives / volume editor, Barry L. Jacobs.</t>
  </si>
  <si>
    <t>New York : Raven, c1984.</t>
  </si>
  <si>
    <t>Central nervous system pharmacology</t>
  </si>
  <si>
    <t>1996-09-20</t>
  </si>
  <si>
    <t>3381356:eng</t>
  </si>
  <si>
    <t>10324237</t>
  </si>
  <si>
    <t>991000958129702656</t>
  </si>
  <si>
    <t>2267429220002656</t>
  </si>
  <si>
    <t>9780890049907</t>
  </si>
  <si>
    <t>30001000195463</t>
  </si>
  <si>
    <t>893148757</t>
  </si>
  <si>
    <t>QV 77.7 N153m 1984</t>
  </si>
  <si>
    <t>0                      QV 0077700N  153m        1984</t>
  </si>
  <si>
    <t>Marihuana in science and medicine / Gabriel G. Nahas, with contributions by David J. Harvey, Michel Paris, Henry Brill.</t>
  </si>
  <si>
    <t>Nahas, Gabriel G., 1920-2012.</t>
  </si>
  <si>
    <t>New York : Raven Press, c1984.</t>
  </si>
  <si>
    <t>3855331755:eng</t>
  </si>
  <si>
    <t>10876194</t>
  </si>
  <si>
    <t>991000958209702656</t>
  </si>
  <si>
    <t>2262618370002656</t>
  </si>
  <si>
    <t>9780881670141</t>
  </si>
  <si>
    <t>30001000195471</t>
  </si>
  <si>
    <t>893284176</t>
  </si>
  <si>
    <t>QV 77.9 A633 1985</t>
  </si>
  <si>
    <t>0                      QV 0077900A  633         1985</t>
  </si>
  <si>
    <t>Antipsychotics / edited by Graham D. Burrows, Trevor R. Norman, and Brian Davies.</t>
  </si>
  <si>
    <t>Amsterdam ; New York : Elsevier ; New York, NY, USA : Sole distributors for the U.S.A. and Canada, Elsevier Science Pub. Co., c1985.</t>
  </si>
  <si>
    <t>Drugs in psychiatry ; v. 3</t>
  </si>
  <si>
    <t>1989-11-05</t>
  </si>
  <si>
    <t>355955795:eng</t>
  </si>
  <si>
    <t>11550436</t>
  </si>
  <si>
    <t>991000958249702656</t>
  </si>
  <si>
    <t>2265535400002656</t>
  </si>
  <si>
    <t>9780444806352</t>
  </si>
  <si>
    <t>30001000195489</t>
  </si>
  <si>
    <t>893363584</t>
  </si>
  <si>
    <t>QV 77.9 B4785 1990</t>
  </si>
  <si>
    <t>0                      QV 0077900B  4785        1990</t>
  </si>
  <si>
    <t>Benzodiazepine dependence, toxicity, and abuse : a task force report of the American Psychiatric Association / American Psychiatric Association Task Force on Benzodiazepine Dependence, Toxicity, and Abuse.</t>
  </si>
  <si>
    <t>Washington, DC : American Psychiatric Association, c1990.</t>
  </si>
  <si>
    <t>1997-11-18</t>
  </si>
  <si>
    <t>1990-11-02</t>
  </si>
  <si>
    <t>22936217:eng</t>
  </si>
  <si>
    <t>21408616</t>
  </si>
  <si>
    <t>991000775869702656</t>
  </si>
  <si>
    <t>2258522010002656</t>
  </si>
  <si>
    <t>9780890422281</t>
  </si>
  <si>
    <t>30001002063123</t>
  </si>
  <si>
    <t>893376843</t>
  </si>
  <si>
    <t>QV 77.9 L431e 1986</t>
  </si>
  <si>
    <t>0                      QV 0077900L  431e        1986</t>
  </si>
  <si>
    <t>Endocrine and metabolic effects of lithium / John H. Lazarus ; with a chapter by Keith J. Collard.</t>
  </si>
  <si>
    <t>Lazarus, J. H. (John H.)</t>
  </si>
  <si>
    <t>New York : Plenum Medical Book Co., c1986.</t>
  </si>
  <si>
    <t>1995-03-14</t>
  </si>
  <si>
    <t>5835385:eng</t>
  </si>
  <si>
    <t>12943514</t>
  </si>
  <si>
    <t>991000958289702656</t>
  </si>
  <si>
    <t>2257655480002656</t>
  </si>
  <si>
    <t>9780306420573</t>
  </si>
  <si>
    <t>30001000195513</t>
  </si>
  <si>
    <t>893465045</t>
  </si>
  <si>
    <t>QV 77.9 M345b 1985</t>
  </si>
  <si>
    <t>0                      QV 0077900M  345b        1985</t>
  </si>
  <si>
    <t>The benzodiazepines : use, overuse, misuse, abuse / by John Marks.</t>
  </si>
  <si>
    <t>Marks, John, 1924-</t>
  </si>
  <si>
    <t>Lancaster, England ; Boston : MTP Press, c1985.</t>
  </si>
  <si>
    <t>471402226:eng</t>
  </si>
  <si>
    <t>12050786</t>
  </si>
  <si>
    <t>991000958329702656</t>
  </si>
  <si>
    <t>2266790140002656</t>
  </si>
  <si>
    <t>9780852008706</t>
  </si>
  <si>
    <t>30001000195521</t>
  </si>
  <si>
    <t>893161563</t>
  </si>
  <si>
    <t>QV 77.9 N532 1992</t>
  </si>
  <si>
    <t>0                      QV 0077900N  532         1992</t>
  </si>
  <si>
    <t>New generation of antipsychotic drugs : novel mechanisms of action : workshop, Monte Carlo, March 16-18, 1982 / volume editors, N. Brunello, J. Mendlewicz, G. Racagni.</t>
  </si>
  <si>
    <t>Basel ; New York : Karger, c1993.</t>
  </si>
  <si>
    <t xml:space="preserve">sz </t>
  </si>
  <si>
    <t>International Academy for Biomedical and Drug Research ; vol. 4</t>
  </si>
  <si>
    <t>2002-11-24</t>
  </si>
  <si>
    <t>393905:eng</t>
  </si>
  <si>
    <t>27034241</t>
  </si>
  <si>
    <t>991001511559702656</t>
  </si>
  <si>
    <t>2267354660002656</t>
  </si>
  <si>
    <t>9783805556545</t>
  </si>
  <si>
    <t>30001002600908</t>
  </si>
  <si>
    <t>893465582</t>
  </si>
  <si>
    <t>QV 80 T755 1987</t>
  </si>
  <si>
    <t>0                      QV 0080000T  755         1987</t>
  </si>
  <si>
    <t>Toxicology of CNS depressants / editor, I.K. Ho.</t>
  </si>
  <si>
    <t>Boca Raton, Fla. : CRC Press, 1987.</t>
  </si>
  <si>
    <t>1990-05-14</t>
  </si>
  <si>
    <t>10552771:eng</t>
  </si>
  <si>
    <t>15588697</t>
  </si>
  <si>
    <t>991001536739702656</t>
  </si>
  <si>
    <t>2255179510002656</t>
  </si>
  <si>
    <t>9780849364778</t>
  </si>
  <si>
    <t>30001000623233</t>
  </si>
  <si>
    <t>893268589</t>
  </si>
  <si>
    <t>QV81 A5787 2004</t>
  </si>
  <si>
    <t>0                      QV 0081000A  5787        2004</t>
  </si>
  <si>
    <t>Anesthetic pharmacology : physiologic principles and clinical practice : a companion to Miller's Anesthesia / [edited by] Alex S. Evers, Mervyn Maze.</t>
  </si>
  <si>
    <t>New York : Churchill Livingstone, c2004.</t>
  </si>
  <si>
    <t>2006-01-30</t>
  </si>
  <si>
    <t>2006-01-19</t>
  </si>
  <si>
    <t>9657913368:eng</t>
  </si>
  <si>
    <t>52424678</t>
  </si>
  <si>
    <t>991000456199702656</t>
  </si>
  <si>
    <t>2265285240002656</t>
  </si>
  <si>
    <t>9780443065798</t>
  </si>
  <si>
    <t>30001004910545</t>
  </si>
  <si>
    <t>893832816</t>
  </si>
  <si>
    <t>QV 81 M972a 1991</t>
  </si>
  <si>
    <t>0                      QV 0081000M  972a        1991</t>
  </si>
  <si>
    <t>The anesthetic plan : from physiologic principles to clinical strategies / Stanley Muravchick.</t>
  </si>
  <si>
    <t>Muravchick, Stanley.</t>
  </si>
  <si>
    <t>1998-02-22</t>
  </si>
  <si>
    <t>1992-06-04</t>
  </si>
  <si>
    <t>365250026:eng</t>
  </si>
  <si>
    <t>22006068</t>
  </si>
  <si>
    <t>991001305309702656</t>
  </si>
  <si>
    <t>2265088370002656</t>
  </si>
  <si>
    <t>9780815162414</t>
  </si>
  <si>
    <t>30001002413591</t>
  </si>
  <si>
    <t>893557814</t>
  </si>
  <si>
    <t>QV 81 N731 1985</t>
  </si>
  <si>
    <t>0                      QV 0081000N  731         1985</t>
  </si>
  <si>
    <t>Nitrous oxide/NO2 / edited by Edmond I. Eger II.</t>
  </si>
  <si>
    <t>New York : Elsevier, c1985.</t>
  </si>
  <si>
    <t>2009-05-18</t>
  </si>
  <si>
    <t>54636557:eng</t>
  </si>
  <si>
    <t>10726873</t>
  </si>
  <si>
    <t>991000958779702656</t>
  </si>
  <si>
    <t>2259149190002656</t>
  </si>
  <si>
    <t>9780444008602</t>
  </si>
  <si>
    <t>30001000195687</t>
  </si>
  <si>
    <t>893740611</t>
  </si>
  <si>
    <t>QV 81 S872p 1999</t>
  </si>
  <si>
    <t>0                      QV 0081000S  872p        1999</t>
  </si>
  <si>
    <t>Pharmacology and physiology in anesthetic practice / Robert K. Stoelting.</t>
  </si>
  <si>
    <t>Philadelphia : Lippincott-Raven, c1999.</t>
  </si>
  <si>
    <t>179719:eng</t>
  </si>
  <si>
    <t>39399630</t>
  </si>
  <si>
    <t>991001408299702656</t>
  </si>
  <si>
    <t>2267802000002656</t>
  </si>
  <si>
    <t>9780781716215</t>
  </si>
  <si>
    <t>30001003830033</t>
  </si>
  <si>
    <t>893358542</t>
  </si>
  <si>
    <t>QV 81 S872p 2006</t>
  </si>
  <si>
    <t>0                      QV 0081000S  872p        2006</t>
  </si>
  <si>
    <t>Pharmacology &amp; physiology in anesthetic practice / [edited by] Robert K. Stoelting, Simon C. Hillier.</t>
  </si>
  <si>
    <t>2007-02-09</t>
  </si>
  <si>
    <t>2007-02-08</t>
  </si>
  <si>
    <t>60903259</t>
  </si>
  <si>
    <t>991000593409702656</t>
  </si>
  <si>
    <t>2269764830002656</t>
  </si>
  <si>
    <t>9780781754699</t>
  </si>
  <si>
    <t>30001005170032</t>
  </si>
  <si>
    <t>893146393</t>
  </si>
  <si>
    <t>QV 84 A3546 1985</t>
  </si>
  <si>
    <t>0                      QV 0084000A  3546        1985</t>
  </si>
  <si>
    <t>Alcohol related diseases in gastroenterology / edited by H.K. Seitz and B. Kommerell.</t>
  </si>
  <si>
    <t>Berlin ; New York : Springer-Verlag, c1985.</t>
  </si>
  <si>
    <t>1995-04-22</t>
  </si>
  <si>
    <t>355675968:eng</t>
  </si>
  <si>
    <t>11784407</t>
  </si>
  <si>
    <t>991000958699702656</t>
  </si>
  <si>
    <t>2256847770002656</t>
  </si>
  <si>
    <t>9780387138152</t>
  </si>
  <si>
    <t>30001000195679</t>
  </si>
  <si>
    <t>893460168</t>
  </si>
  <si>
    <t>QV 84 A427a 1900</t>
  </si>
  <si>
    <t>0                      QV 0084000A  427a        1900</t>
  </si>
  <si>
    <t>Alcohol, a dangerous and unnecessary medicine : how and why; what medical writers say / by Martha M. Allen.</t>
  </si>
  <si>
    <t>Allen, Martha M. (Martha Meir), 1854-1926.</t>
  </si>
  <si>
    <t>Marcellus, N. Y. : National Woman's Christian Temperance Union c1900.</t>
  </si>
  <si>
    <t>1900</t>
  </si>
  <si>
    <t>1995-04-05</t>
  </si>
  <si>
    <t>428818624:eng</t>
  </si>
  <si>
    <t>3595867</t>
  </si>
  <si>
    <t>991000958609702656</t>
  </si>
  <si>
    <t>2260146990002656</t>
  </si>
  <si>
    <t>30001000195661</t>
  </si>
  <si>
    <t>893637885</t>
  </si>
  <si>
    <t>QV 84 B616 1979</t>
  </si>
  <si>
    <t>0                      QV 0084000B  616         1979</t>
  </si>
  <si>
    <t>Biochemistry and pharmacology of ethanol / edited by Edward Majchrowicz and Ernest P. Noble.</t>
  </si>
  <si>
    <t>New York : Plenum Press, c1979.</t>
  </si>
  <si>
    <t>3858055200:eng</t>
  </si>
  <si>
    <t>4638224</t>
  </si>
  <si>
    <t>991000958649702656</t>
  </si>
  <si>
    <t>2256059130002656</t>
  </si>
  <si>
    <t>9780306401251</t>
  </si>
  <si>
    <t>30001000195653</t>
  </si>
  <si>
    <t>893374130</t>
  </si>
  <si>
    <t>30001000195646</t>
  </si>
  <si>
    <t>893374129</t>
  </si>
  <si>
    <t>QV 84 G624p 1983</t>
  </si>
  <si>
    <t>0                      QV 0084000G  624p        1983</t>
  </si>
  <si>
    <t>Pharmacology of alcohol / Dora B. Goldstein.</t>
  </si>
  <si>
    <t>Goldstein, Dora B.</t>
  </si>
  <si>
    <t>New York : Oxford University Press, c1983.</t>
  </si>
  <si>
    <t>415263:eng</t>
  </si>
  <si>
    <t>8452085</t>
  </si>
  <si>
    <t>991000958569702656</t>
  </si>
  <si>
    <t>2271668270002656</t>
  </si>
  <si>
    <t>9780195031119</t>
  </si>
  <si>
    <t>30001000195638</t>
  </si>
  <si>
    <t>893465046</t>
  </si>
  <si>
    <t>QV 84 M4895 1988</t>
  </si>
  <si>
    <t>0                      QV 0084000M  4895        1988</t>
  </si>
  <si>
    <t>Medicolegal aspects of alcohol determination in biological specimens / edited by James C. Garriott.</t>
  </si>
  <si>
    <t>Littleton, Mass. : PSG Pub. Co., c1988.</t>
  </si>
  <si>
    <t>2008-12-17</t>
  </si>
  <si>
    <t>1989-08-10</t>
  </si>
  <si>
    <t>40160129:eng</t>
  </si>
  <si>
    <t>15017114</t>
  </si>
  <si>
    <t>991001313169702656</t>
  </si>
  <si>
    <t>2265618240002656</t>
  </si>
  <si>
    <t>9780884167174</t>
  </si>
  <si>
    <t>30001001751660</t>
  </si>
  <si>
    <t>893377198</t>
  </si>
  <si>
    <t>QV 85 A628 1995</t>
  </si>
  <si>
    <t>0                      QV 0085000A  628         1995</t>
  </si>
  <si>
    <t>Antiepileptic drugs / editors, René H. Levy, Richard H. Mattson, Brian S. Meldrum ; consulting editors, Fritz E. Dreifuss, J. Kiffin Penry ; associate editor, B.J. Hessie.</t>
  </si>
  <si>
    <t>New York : Raven Press, c1995.</t>
  </si>
  <si>
    <t>2004-11-07</t>
  </si>
  <si>
    <t>1995-08-25</t>
  </si>
  <si>
    <t>981524217:eng</t>
  </si>
  <si>
    <t>31754515</t>
  </si>
  <si>
    <t>991001405329702656</t>
  </si>
  <si>
    <t>2270930100002656</t>
  </si>
  <si>
    <t>9780781702461</t>
  </si>
  <si>
    <t>30001003149848</t>
  </si>
  <si>
    <t>893816356</t>
  </si>
  <si>
    <t>QV 85 A6281 1999</t>
  </si>
  <si>
    <t>0                      QV 0085000A  6281        1999</t>
  </si>
  <si>
    <t>Antiepileptic drugs : pharmacology and therapeutics / contributors, E. Ben-Menachem ... [et al.] ; editors, M.J. Eadie and F.J.E. Vajda.</t>
  </si>
  <si>
    <t>Berlin ; New York : Springer, c1999.</t>
  </si>
  <si>
    <t>Handbook of experimental pharmacology ; v. 138</t>
  </si>
  <si>
    <t>2001-09-21</t>
  </si>
  <si>
    <t>2000-07-20</t>
  </si>
  <si>
    <t>837059389:eng</t>
  </si>
  <si>
    <t>40698392</t>
  </si>
  <si>
    <t>991000277069702656</t>
  </si>
  <si>
    <t>2264492830002656</t>
  </si>
  <si>
    <t>9783540653745</t>
  </si>
  <si>
    <t>30001003941855</t>
  </si>
  <si>
    <t>893547562</t>
  </si>
  <si>
    <t>QV 85 S349a 1982</t>
  </si>
  <si>
    <t>0                      QV 0085000S  349a        1982</t>
  </si>
  <si>
    <t>Adverse effects of antiepileptic drugs / Dieter Schmidt ; with the collaboration of Lee Seldon.</t>
  </si>
  <si>
    <t>Schmidt, Dieter.</t>
  </si>
  <si>
    <t>New York : Raven, c1982.</t>
  </si>
  <si>
    <t>1995-11-17</t>
  </si>
  <si>
    <t>32480260:eng</t>
  </si>
  <si>
    <t>8668580</t>
  </si>
  <si>
    <t>991000958539702656</t>
  </si>
  <si>
    <t>2259051870002656</t>
  </si>
  <si>
    <t>30001000195612</t>
  </si>
  <si>
    <t>893736074</t>
  </si>
  <si>
    <t>QV 85 S643b 1988</t>
  </si>
  <si>
    <t>0                      QV 0085000S  643b        1988</t>
  </si>
  <si>
    <t>The broad range of clinical use of phenytoin : bioelectrical modulator : bibliography and review / Barry H. Smith, Samuel Bogoch, Jack Dreyfus.</t>
  </si>
  <si>
    <t>Smith, Barry H.</t>
  </si>
  <si>
    <t>New York : Dreyfus Medical Foundation, c1988.</t>
  </si>
  <si>
    <t>1995-11-15</t>
  </si>
  <si>
    <t>1988-07-02</t>
  </si>
  <si>
    <t>21503135:eng</t>
  </si>
  <si>
    <t>19723895</t>
  </si>
  <si>
    <t>991001416239702656</t>
  </si>
  <si>
    <t>2264568070002656</t>
  </si>
  <si>
    <t>30001001180670</t>
  </si>
  <si>
    <t>893546695</t>
  </si>
  <si>
    <t>QV 89 06171 1987</t>
  </si>
  <si>
    <t>0                      QV 0089000                                                           06171 1987</t>
  </si>
  <si>
    <t>Opioid analgesia : recent advances in systemic administration / editors, Costantino Benedetti, C. Richard Chapman, Giampiero Giron.</t>
  </si>
  <si>
    <t>V. 14</t>
  </si>
  <si>
    <t>New York : Raven Press, c1990.</t>
  </si>
  <si>
    <t>Advances in pain research and therapy ; v. 14</t>
  </si>
  <si>
    <t>2008-04-23</t>
  </si>
  <si>
    <t>795540799:eng</t>
  </si>
  <si>
    <t>20593692</t>
  </si>
  <si>
    <t>991001453489702656</t>
  </si>
  <si>
    <t>2265527100002656</t>
  </si>
  <si>
    <t>9780881675863</t>
  </si>
  <si>
    <t>30001001884123</t>
  </si>
  <si>
    <t>893374601</t>
  </si>
  <si>
    <t>QV 89 F893o 1987</t>
  </si>
  <si>
    <t>0                      QV 0089000F  893o        1987</t>
  </si>
  <si>
    <t>Opioid agonists, antagonists, and mixed narcotic analgesics : theoretical background and considerations for practical use / Enno Freye.</t>
  </si>
  <si>
    <t>Freye, E. (Enno)</t>
  </si>
  <si>
    <t>Berlin ; New York : Springer, c1987.</t>
  </si>
  <si>
    <t>1987-12-10</t>
  </si>
  <si>
    <t>16332580:eng</t>
  </si>
  <si>
    <t>17804962</t>
  </si>
  <si>
    <t>991001532719702656</t>
  </si>
  <si>
    <t>2257798120002656</t>
  </si>
  <si>
    <t>9780387174716</t>
  </si>
  <si>
    <t>30001000622060</t>
  </si>
  <si>
    <t>893552610</t>
  </si>
  <si>
    <t>QV 89 L672p 1931</t>
  </si>
  <si>
    <t>0                      QV 0089000L  672p        1931</t>
  </si>
  <si>
    <t>Phantastica, narcotic and stimulating drugs : their use and abuse / by Louis Lewin.</t>
  </si>
  <si>
    <t>Lewin, Louis.</t>
  </si>
  <si>
    <t>New York : E. P. Dutton &amp; Co, c1931.</t>
  </si>
  <si>
    <t>1931</t>
  </si>
  <si>
    <t>3901081086:eng</t>
  </si>
  <si>
    <t>12967924</t>
  </si>
  <si>
    <t>991000958499702656</t>
  </si>
  <si>
    <t>2269938500002656</t>
  </si>
  <si>
    <t>30001000195588</t>
  </si>
  <si>
    <t>893358042</t>
  </si>
  <si>
    <t>QV 89 O613 1986</t>
  </si>
  <si>
    <t>0                      QV 0089000O  613         1986</t>
  </si>
  <si>
    <t>Opiates / George R. Lenz ... [et al.] ; with a chapter by Donna L. Hammond.</t>
  </si>
  <si>
    <t>Orlando : Academic Press, c1986.</t>
  </si>
  <si>
    <t>54740694:eng</t>
  </si>
  <si>
    <t>12550147</t>
  </si>
  <si>
    <t>991000958429702656</t>
  </si>
  <si>
    <t>2266848080002656</t>
  </si>
  <si>
    <t>9780124438309</t>
  </si>
  <si>
    <t>30001000195570</t>
  </si>
  <si>
    <t>893740610</t>
  </si>
  <si>
    <t>QV 89 O6182 1991</t>
  </si>
  <si>
    <t>0                      QV 0089000O  6182        1991</t>
  </si>
  <si>
    <t>Opioids in anesthesia II / edited by Fawzy G. Estafanous ; with 50 contributing authors.</t>
  </si>
  <si>
    <t>Boston : Butterworths, c1991.</t>
  </si>
  <si>
    <t>1991-04-22</t>
  </si>
  <si>
    <t>1991-01-30</t>
  </si>
  <si>
    <t>55295371:eng</t>
  </si>
  <si>
    <t>20993285</t>
  </si>
  <si>
    <t>991000816549702656</t>
  </si>
  <si>
    <t>2271621600002656</t>
  </si>
  <si>
    <t>9780409902303</t>
  </si>
  <si>
    <t>30001002086488</t>
  </si>
  <si>
    <t>893373858</t>
  </si>
  <si>
    <t>QV 90 R462m 1957</t>
  </si>
  <si>
    <t>0                      QV 0090000R  462m        1957</t>
  </si>
  <si>
    <t>Morphine &amp; allied drugs / A.K. Reynolds, Lowell O. Randall.</t>
  </si>
  <si>
    <t>Reynolds, A. K. (Albert Keith)</t>
  </si>
  <si>
    <t>Toronto : University of Toronto Press, 1957.</t>
  </si>
  <si>
    <t>1957</t>
  </si>
  <si>
    <t>2470779:eng</t>
  </si>
  <si>
    <t>1628783</t>
  </si>
  <si>
    <t>991000958389702656</t>
  </si>
  <si>
    <t>2265642600002656</t>
  </si>
  <si>
    <t>30001000195562</t>
  </si>
  <si>
    <t>893273526</t>
  </si>
  <si>
    <t>QV 95 A275 1971</t>
  </si>
  <si>
    <t>0                      QV 0095000A  275         1971</t>
  </si>
  <si>
    <t>Agonist and antagonist actions of narcotic analgesic drugs / Edited by H. W. Kosterlitz, H.O.J. Collier, and J.E. Villarreal.</t>
  </si>
  <si>
    <t>Baltimore : University Park Press, [1973]</t>
  </si>
  <si>
    <t>3901413088:eng</t>
  </si>
  <si>
    <t>516339</t>
  </si>
  <si>
    <t>991000959109702656</t>
  </si>
  <si>
    <t>2256533600002656</t>
  </si>
  <si>
    <t>30001000196040</t>
  </si>
  <si>
    <t>893467741</t>
  </si>
  <si>
    <t>QV95 A84085 2004</t>
  </si>
  <si>
    <t>0                      QV 0095000A  84085       2004</t>
  </si>
  <si>
    <t>Aspirin and related drugs / [edited by] K.D. Rainsford.</t>
  </si>
  <si>
    <t>London ; New York : Taylor &amp; Francis, 2004.</t>
  </si>
  <si>
    <t>2005-03-04</t>
  </si>
  <si>
    <t>3856460633:eng</t>
  </si>
  <si>
    <t>49044343</t>
  </si>
  <si>
    <t>991000431259702656</t>
  </si>
  <si>
    <t>2265191470002656</t>
  </si>
  <si>
    <t>9780748408856</t>
  </si>
  <si>
    <t>30001004928018</t>
  </si>
  <si>
    <t>893109567</t>
  </si>
  <si>
    <t>QV95 C555 1998</t>
  </si>
  <si>
    <t>0                      QV 0095000C  555         1998</t>
  </si>
  <si>
    <t>Clinical significance and potential of selective COX-2 inhibitors : the combined proceedings of the William Harvey Conferences held in Phuket, Thailand, on 18-19 September, 1997 and in Boston, USA, on 23-24 April, 1998, supported by an educational grant from Boehringer Ingelheim / edited by John R. Vane and Regina M. Botting.</t>
  </si>
  <si>
    <t>London : William Harvey Press, 1998.</t>
  </si>
  <si>
    <t>2002-01-15</t>
  </si>
  <si>
    <t>26650619:eng</t>
  </si>
  <si>
    <t>41558655</t>
  </si>
  <si>
    <t>991000302779702656</t>
  </si>
  <si>
    <t>2255251870002656</t>
  </si>
  <si>
    <t>9780953403905</t>
  </si>
  <si>
    <t>30001004564490</t>
  </si>
  <si>
    <t>893451940</t>
  </si>
  <si>
    <t>QV 95 D457 1991</t>
  </si>
  <si>
    <t>0                      QV 0095000D  457         1991</t>
  </si>
  <si>
    <t>The Design of analgesic clinical trials / editors, Mitchell B. Max, Russell K. Portenoy, Eugene M. Laska.</t>
  </si>
  <si>
    <t>New York : Raven Press, c1991.</t>
  </si>
  <si>
    <t>Advances in pain research and therapy ; v. 18</t>
  </si>
  <si>
    <t>1999-12-13</t>
  </si>
  <si>
    <t>1991-09-26</t>
  </si>
  <si>
    <t>349960256:eng</t>
  </si>
  <si>
    <t>22452703</t>
  </si>
  <si>
    <t>991001017509702656</t>
  </si>
  <si>
    <t>2260332030002656</t>
  </si>
  <si>
    <t>9780881677362</t>
  </si>
  <si>
    <t>30001002240978</t>
  </si>
  <si>
    <t>893826374</t>
  </si>
  <si>
    <t>QV 95 N533 1996</t>
  </si>
  <si>
    <t>0                      QV 0095000N  533         1996</t>
  </si>
  <si>
    <t>New targets in inflammation : inhibitors of COX-2 or adhesion molecules : proceedings of a conference held on April 15-16, 1996, in New Orleans, USA, supported by an educational grant from Boehringer Ingelheim / edited by Nicolas Bazan, Jack Botting, and Sir John Vane.</t>
  </si>
  <si>
    <t>Dordrecht ; Boston : Kluwer Academic Publishers : William Harvey Press, c1996.</t>
  </si>
  <si>
    <t>836951924:eng</t>
  </si>
  <si>
    <t>36842482</t>
  </si>
  <si>
    <t>991000302819702656</t>
  </si>
  <si>
    <t>2254767380002656</t>
  </si>
  <si>
    <t>9780792387145</t>
  </si>
  <si>
    <t>30001004564508</t>
  </si>
  <si>
    <t>893827281</t>
  </si>
  <si>
    <t>QV 95 S464 1998</t>
  </si>
  <si>
    <t>0                      QV 0095000S  464         1998</t>
  </si>
  <si>
    <t>Selective COX-2 inhibitors : pharmacology, clinical effects, and therapeutic potential : proceedings of a conference held on March 20-21, 1997, in Cannes, France / edited by Sir John Vane and Jack Botting.</t>
  </si>
  <si>
    <t>Dordrecht ; London : Kluwer Academic, c1998.</t>
  </si>
  <si>
    <t>837065318:eng</t>
  </si>
  <si>
    <t>38550070</t>
  </si>
  <si>
    <t>991000302859702656</t>
  </si>
  <si>
    <t>2268132930002656</t>
  </si>
  <si>
    <t>9780792387299</t>
  </si>
  <si>
    <t>30001004564482</t>
  </si>
  <si>
    <t>893629055</t>
  </si>
  <si>
    <t>QV 95 S655s 1966</t>
  </si>
  <si>
    <t>0                      QV 0095000S  655s        1966</t>
  </si>
  <si>
    <t>The salicylates : a critical bibliographic review / M.J. H. Smith and Paul K. Smith.</t>
  </si>
  <si>
    <t>Smith, M. J. H. editor.</t>
  </si>
  <si>
    <t>New York : Interscience Publishers, 1966.</t>
  </si>
  <si>
    <t>1995-03-28</t>
  </si>
  <si>
    <t>234532737:eng</t>
  </si>
  <si>
    <t>1224211</t>
  </si>
  <si>
    <t>991000959069702656</t>
  </si>
  <si>
    <t>2265556100002656</t>
  </si>
  <si>
    <t>30001000196032</t>
  </si>
  <si>
    <t>893267870</t>
  </si>
  <si>
    <t>QV 109 H193 1970</t>
  </si>
  <si>
    <t>0                      QV 0109000H  193         1970</t>
  </si>
  <si>
    <t>Hallucinogenic drug research: impact on science and society : proceedings of the first annual symposium of the Student Association for the Study of Hallucinogens / edited by James R. Gamage &amp; Edmund L. Zerkin.</t>
  </si>
  <si>
    <t>Beloit, Wis. : STASH Press, 1970.</t>
  </si>
  <si>
    <t>1970</t>
  </si>
  <si>
    <t>1321574:eng</t>
  </si>
  <si>
    <t>96437</t>
  </si>
  <si>
    <t>991000958999702656</t>
  </si>
  <si>
    <t>2271262170002656</t>
  </si>
  <si>
    <t>30001000195943</t>
  </si>
  <si>
    <t>893831779</t>
  </si>
  <si>
    <t>QV 109 M648m</t>
  </si>
  <si>
    <t>0                      QV 0109000M  648m</t>
  </si>
  <si>
    <t>Marijuana : effects on human behavior / edited by Loren L. Miller.</t>
  </si>
  <si>
    <t>Miller, Loren L.</t>
  </si>
  <si>
    <t>New York : Academic Press, 1974.</t>
  </si>
  <si>
    <t>409452:eng</t>
  </si>
  <si>
    <t>1009340</t>
  </si>
  <si>
    <t>991000958969702656</t>
  </si>
  <si>
    <t>2263627890002656</t>
  </si>
  <si>
    <t>9780124970502</t>
  </si>
  <si>
    <t>30001000195935</t>
  </si>
  <si>
    <t>893284177</t>
  </si>
  <si>
    <t>QV 109 P975 1970</t>
  </si>
  <si>
    <t>0                      QV 0109000P  975         1970</t>
  </si>
  <si>
    <t>Psychotomimetic drugs : proceedings of a workshop organized by the Pharmacology Section, Psychopharmacology Research Branch, National Institute of Mental Health / Edited by Daniel H. Efron.</t>
  </si>
  <si>
    <t>New York : Raven Press, [1970]</t>
  </si>
  <si>
    <t>National Institute of Mental Health. Workshop series of Pharmacology Section, no. 4</t>
  </si>
  <si>
    <t>5615444390:eng</t>
  </si>
  <si>
    <t>58755</t>
  </si>
  <si>
    <t>991000958899702656</t>
  </si>
  <si>
    <t>2260188980002656</t>
  </si>
  <si>
    <t>30001000195919</t>
  </si>
  <si>
    <t>893134128</t>
  </si>
  <si>
    <t>QV 110 C873L 1976</t>
  </si>
  <si>
    <t>0                      QV 0110000C  873L        1976</t>
  </si>
  <si>
    <t>Local anesthetics : mechanisms of action and clinical use / Benjamin G. Covino and Helen G. Vassallo.</t>
  </si>
  <si>
    <t>Covino, Benjamin G., 1930-</t>
  </si>
  <si>
    <t>New York : Grune &amp; Stratton, c1976.</t>
  </si>
  <si>
    <t>The Scientific basis of clinical anesthesia</t>
  </si>
  <si>
    <t>2002-11-18</t>
  </si>
  <si>
    <t>1988-12-29</t>
  </si>
  <si>
    <t>375320911:eng</t>
  </si>
  <si>
    <t>1849163</t>
  </si>
  <si>
    <t>991000958839702656</t>
  </si>
  <si>
    <t>2257730440002656</t>
  </si>
  <si>
    <t>30001000195885</t>
  </si>
  <si>
    <t>893632568</t>
  </si>
  <si>
    <t>QV 110 L811 1987</t>
  </si>
  <si>
    <t>0                      QV 0110000L  811         1987</t>
  </si>
  <si>
    <t>Local anesthetics / contributors, G.R. Arthur ... [et al.] ; editor, G.R. Strichartz.</t>
  </si>
  <si>
    <t>Berlin ; New York : Springer-Verlag, c1987.</t>
  </si>
  <si>
    <t>Handbook of experimental pharmacology ; vol. 81</t>
  </si>
  <si>
    <t>1989-04-28</t>
  </si>
  <si>
    <t>365123882:eng</t>
  </si>
  <si>
    <t>14069133</t>
  </si>
  <si>
    <t>991001245409702656</t>
  </si>
  <si>
    <t>2258979760002656</t>
  </si>
  <si>
    <t>9780387163611</t>
  </si>
  <si>
    <t>30001001677089</t>
  </si>
  <si>
    <t>893467869</t>
  </si>
  <si>
    <t>QV 113 A512 1984c</t>
  </si>
  <si>
    <t>0                      QV 0113000A  512         1984c</t>
  </si>
  <si>
    <t>Cocaine : clinical and biobehavioral aspects / edited by Seymour Fisher, Allen Raskin, E.H. Uhlenhuth.</t>
  </si>
  <si>
    <t>American College of Neuropsychopharmacology. Meeting (23rd : 1984 : San Juan, P.R.)</t>
  </si>
  <si>
    <t>New York : Oxford University Press, c1987.</t>
  </si>
  <si>
    <t>1996-11-24</t>
  </si>
  <si>
    <t>795386603:eng</t>
  </si>
  <si>
    <t>13125682</t>
  </si>
  <si>
    <t>991000762939702656</t>
  </si>
  <si>
    <t>2257096420002656</t>
  </si>
  <si>
    <t>9780195040685</t>
  </si>
  <si>
    <t>30001000056517</t>
  </si>
  <si>
    <t>893648146</t>
  </si>
  <si>
    <t>QV 113 C65928 1992</t>
  </si>
  <si>
    <t>0                      QV 0113000C  65928       1992</t>
  </si>
  <si>
    <t>Cocaine : pharmacology, physiology, and clinical strategies / edited by Joan M. Lakoski, Matthew P. Galloway, Francis J. White.</t>
  </si>
  <si>
    <t>1992-03-05</t>
  </si>
  <si>
    <t>795623517:eng</t>
  </si>
  <si>
    <t>23649583</t>
  </si>
  <si>
    <t>991001298189702656</t>
  </si>
  <si>
    <t>2261779590002656</t>
  </si>
  <si>
    <t>9780849388132</t>
  </si>
  <si>
    <t>30001002410563</t>
  </si>
  <si>
    <t>893465387</t>
  </si>
  <si>
    <t>QV 126 C651 1995</t>
  </si>
  <si>
    <t>0                      QV 0126000C  651         1995</t>
  </si>
  <si>
    <t>CNS neurotransmitters and neuromodulators : glutamate / edited by Trevor W. Stone.</t>
  </si>
  <si>
    <t>Boca Raton : CRC Press, c1995.</t>
  </si>
  <si>
    <t>2010-04-01</t>
  </si>
  <si>
    <t>1995-08-07</t>
  </si>
  <si>
    <t>3902743183:eng</t>
  </si>
  <si>
    <t>31866823</t>
  </si>
  <si>
    <t>991001403339702656</t>
  </si>
  <si>
    <t>2257521650002656</t>
  </si>
  <si>
    <t>9780849376313</t>
  </si>
  <si>
    <t>30001003149137</t>
  </si>
  <si>
    <t>893279074</t>
  </si>
  <si>
    <t>QV 126 F297s 1991</t>
  </si>
  <si>
    <t>0                      QV 0126000F  297s        1991</t>
  </si>
  <si>
    <t>Selective serotonin re-uptake inhibitors : the clinical use of citalopram, fluoxetine, fluvoxamine, paroxetine, and sertraline / J.P. Feighner and W.F. Boyer.</t>
  </si>
  <si>
    <t>Feighner, John Preston, 1937-</t>
  </si>
  <si>
    <t>Chichester ; New York : Wiley, c1991.</t>
  </si>
  <si>
    <t>Perspectives in psychiatry ; v. 1.</t>
  </si>
  <si>
    <t>2007-06-12</t>
  </si>
  <si>
    <t>23987880:eng</t>
  </si>
  <si>
    <t>22705819</t>
  </si>
  <si>
    <t>991001017129702656</t>
  </si>
  <si>
    <t>2257658980002656</t>
  </si>
  <si>
    <t>9780471928904</t>
  </si>
  <si>
    <t>30001002240887</t>
  </si>
  <si>
    <t>893643141</t>
  </si>
  <si>
    <t>QV 126 N493 1985</t>
  </si>
  <si>
    <t>0                      QV 0126000N  493         1985</t>
  </si>
  <si>
    <t>Neuropharmacology of serotonin / edited by A. Richard Green.</t>
  </si>
  <si>
    <t>Oxford ; New York : Oxford University Press, c1985.</t>
  </si>
  <si>
    <t>2000-01-13</t>
  </si>
  <si>
    <t>54682912:eng</t>
  </si>
  <si>
    <t>11469504</t>
  </si>
  <si>
    <t>991000959419702656</t>
  </si>
  <si>
    <t>2268197400002656</t>
  </si>
  <si>
    <t>9780192614711</t>
  </si>
  <si>
    <t>30001000196305</t>
  </si>
  <si>
    <t>893551973</t>
  </si>
  <si>
    <t>QV 126 N494 1985</t>
  </si>
  <si>
    <t>0                      QV 0126000N  494         1985</t>
  </si>
  <si>
    <t>Neurotransmitter receptor binding / editors, Henry I. Yamamura, S.J. Enna, Michael J. Kuhar.</t>
  </si>
  <si>
    <t>New York : Raven Press, c1985.</t>
  </si>
  <si>
    <t>2000-01-31</t>
  </si>
  <si>
    <t>915922041:eng</t>
  </si>
  <si>
    <t>11114252</t>
  </si>
  <si>
    <t>991000959449702656</t>
  </si>
  <si>
    <t>2261608240002656</t>
  </si>
  <si>
    <t>9780881670271</t>
  </si>
  <si>
    <t>30001000196297</t>
  </si>
  <si>
    <t>893358045</t>
  </si>
  <si>
    <t>QV 126 S487 1981</t>
  </si>
  <si>
    <t>0                      QV 0126000S  487         1981</t>
  </si>
  <si>
    <t>Serotonin neurotransmission and behavior / [edited by] Barry L. Jacobs and Alan Gelperin.</t>
  </si>
  <si>
    <t>Cambridge, Mass. : MIT Press, c1981.</t>
  </si>
  <si>
    <t>367015300:eng</t>
  </si>
  <si>
    <t>7464470</t>
  </si>
  <si>
    <t>991000959499702656</t>
  </si>
  <si>
    <t>2262292990002656</t>
  </si>
  <si>
    <t>9780262100236</t>
  </si>
  <si>
    <t>30001000196289</t>
  </si>
  <si>
    <t>893377010</t>
  </si>
  <si>
    <t>QV 129 L337p 1988</t>
  </si>
  <si>
    <t>0                      QV 0129000L  337p        1988</t>
  </si>
  <si>
    <t>Phenylpropanolamine--a review / Louis Lasagna.</t>
  </si>
  <si>
    <t>Lasagna, Louis, 1923-2003.</t>
  </si>
  <si>
    <t>New York : Wiley, c1988.</t>
  </si>
  <si>
    <t>1991-06-25</t>
  </si>
  <si>
    <t>1989-03-16</t>
  </si>
  <si>
    <t>8188936:eng</t>
  </si>
  <si>
    <t>14904719</t>
  </si>
  <si>
    <t>991001244069702656</t>
  </si>
  <si>
    <t>2268090170002656</t>
  </si>
  <si>
    <t>9780471819776</t>
  </si>
  <si>
    <t>30001001676511</t>
  </si>
  <si>
    <t>893541152</t>
  </si>
  <si>
    <t>QV 129 M848p 1986</t>
  </si>
  <si>
    <t>0                      QV 0129000M  848p        1986</t>
  </si>
  <si>
    <t>Phenylpropanolamine : a critical analysis of reported adverse reactions and overdosage / John P. Morgan.</t>
  </si>
  <si>
    <t>Morgan, John P.</t>
  </si>
  <si>
    <t>Fort Lee, N.J. : J.K. Burgess, c1986</t>
  </si>
  <si>
    <t>2001-03-29</t>
  </si>
  <si>
    <t>5463784:eng</t>
  </si>
  <si>
    <t>13008505</t>
  </si>
  <si>
    <t>991000959299702656</t>
  </si>
  <si>
    <t>2267583460002656</t>
  </si>
  <si>
    <t>9780937218006</t>
  </si>
  <si>
    <t>30001000196222</t>
  </si>
  <si>
    <t>893134129</t>
  </si>
  <si>
    <t>QV 132 F917c 1984</t>
  </si>
  <si>
    <t>0                      QV 0132000F  917c        1984</t>
  </si>
  <si>
    <t>Clinical pharmacology of the beta-adrenoceptor blocking drugs / William H. Frishman.</t>
  </si>
  <si>
    <t>Frishman, William H., 1946-</t>
  </si>
  <si>
    <t>New York : Appleton-Century-Crofts, c1984.</t>
  </si>
  <si>
    <t>3855298569:eng</t>
  </si>
  <si>
    <t>10071497</t>
  </si>
  <si>
    <t>991000959249702656</t>
  </si>
  <si>
    <t>2264875000002656</t>
  </si>
  <si>
    <t>9780838511558</t>
  </si>
  <si>
    <t>30001000196149</t>
  </si>
  <si>
    <t>893727120</t>
  </si>
  <si>
    <t>QV 132 M553p 1979</t>
  </si>
  <si>
    <t>0                      QV 0132000M  553p        1979</t>
  </si>
  <si>
    <t>Proceedings of the timolol intercontinental symposium, : Stockholm, Sweden, October 27-28, 1979 / Lennart Hansson, M.D., Stevo Julius, M.D., Sc.D., and Peter J. Richardson, M.B. M.R.C.P.</t>
  </si>
  <si>
    <t>Merck, Sharp &amp; Dohme International.</t>
  </si>
  <si>
    <t>New York : Biomedical Information Corporation, c1981.</t>
  </si>
  <si>
    <t>1994-03-21</t>
  </si>
  <si>
    <t>2875340:eng</t>
  </si>
  <si>
    <t>10101981</t>
  </si>
  <si>
    <t>991000959219702656</t>
  </si>
  <si>
    <t>2255482330002656</t>
  </si>
  <si>
    <t>9780935404098</t>
  </si>
  <si>
    <t>30001000196131</t>
  </si>
  <si>
    <t>893831780</t>
  </si>
  <si>
    <t>QV 137 C517 1988</t>
  </si>
  <si>
    <t>0                      QV 0137000C  517         1988</t>
  </si>
  <si>
    <t>Chemical and biological studies on new cigarette prototypes that heat instead of burn tobacco / R.J. Reynolds Tobacco Company.</t>
  </si>
  <si>
    <t>Winston-Salem, N.C. : The Company, c1988.</t>
  </si>
  <si>
    <t>ncu</t>
  </si>
  <si>
    <t>1999-03-16</t>
  </si>
  <si>
    <t>1989-01-26</t>
  </si>
  <si>
    <t>22120787:eng</t>
  </si>
  <si>
    <t>20410581</t>
  </si>
  <si>
    <t>991001426849702656</t>
  </si>
  <si>
    <t>2264362820002656</t>
  </si>
  <si>
    <t>30001001184896</t>
  </si>
  <si>
    <t>893643568</t>
  </si>
  <si>
    <t>QV 137 H456s 1969</t>
  </si>
  <si>
    <t>0                      QV 0137000H  456s        1969</t>
  </si>
  <si>
    <t>Smoking, tobacco, and health / James L. Hedrick.</t>
  </si>
  <si>
    <t>Hedrick, James L.</t>
  </si>
  <si>
    <t>[Washington] : U.S. Health Services and Mental Health Administration, 1969.</t>
  </si>
  <si>
    <t>1969</t>
  </si>
  <si>
    <t>Rev.</t>
  </si>
  <si>
    <t>Public Health Service publication ; no. 1931</t>
  </si>
  <si>
    <t>1991-09-12</t>
  </si>
  <si>
    <t>1665858:eng</t>
  </si>
  <si>
    <t>814403</t>
  </si>
  <si>
    <t>991001014069702656</t>
  </si>
  <si>
    <t>2270128940002656</t>
  </si>
  <si>
    <t>30001002240366</t>
  </si>
  <si>
    <t>893460212</t>
  </si>
  <si>
    <t>QV 137 H847 1994</t>
  </si>
  <si>
    <t>0                      QV 0137000H  847         1994</t>
  </si>
  <si>
    <t>How to help patients stop smoking : guidelines for diagnosis and treatment of nicotine dependence / American Medical Association ; [authors, Thomas P. Houston ... et al.].</t>
  </si>
  <si>
    <t>Chicago, Ill. : The Association, c1994.</t>
  </si>
  <si>
    <t>1999-11-18</t>
  </si>
  <si>
    <t>905398768:eng</t>
  </si>
  <si>
    <t>29999391</t>
  </si>
  <si>
    <t>991000677189702656</t>
  </si>
  <si>
    <t>2270925380002656</t>
  </si>
  <si>
    <t>30001002696666</t>
  </si>
  <si>
    <t>893373396</t>
  </si>
  <si>
    <t>QV 137 N532 1990</t>
  </si>
  <si>
    <t>0                      QV 0137000N  532         1990</t>
  </si>
  <si>
    <t>New developments in nicotine-delivery systems / Jack E. Henningfield, Maxine L. Stitzer, editors.</t>
  </si>
  <si>
    <t>Ossining, N.Y. : Cortlandt Communications, c1991.</t>
  </si>
  <si>
    <t>1999-04-13</t>
  </si>
  <si>
    <t>1992-06-09</t>
  </si>
  <si>
    <t>27937800:eng</t>
  </si>
  <si>
    <t>25512801</t>
  </si>
  <si>
    <t>991001307079702656</t>
  </si>
  <si>
    <t>2257524630002656</t>
  </si>
  <si>
    <t>30001002414128</t>
  </si>
  <si>
    <t>893377187</t>
  </si>
  <si>
    <t>QV 137 N662 1993</t>
  </si>
  <si>
    <t>0                      QV 0137000N  662         1993</t>
  </si>
  <si>
    <t>Nicotine addiction : principles and management / edited by C. Tracy Orleans, John Slade.</t>
  </si>
  <si>
    <t>New York : Oxford University Press, 1993.</t>
  </si>
  <si>
    <t>2002-01-31</t>
  </si>
  <si>
    <t>1993-12-15</t>
  </si>
  <si>
    <t>836776499:eng</t>
  </si>
  <si>
    <t>26553051</t>
  </si>
  <si>
    <t>991000646529702656</t>
  </si>
  <si>
    <t>2257467860002656</t>
  </si>
  <si>
    <t>9780195064414</t>
  </si>
  <si>
    <t>30001002690412</t>
  </si>
  <si>
    <t>893376716</t>
  </si>
  <si>
    <t>QV 137 N877s 1957</t>
  </si>
  <si>
    <t>0                      QV 0137000N  877s        1957</t>
  </si>
  <si>
    <t>Science looks at smoking : a new inquiry into the effects of smoking on your health / by Eric Northrup ; introd. by Harry S.N. Greene.</t>
  </si>
  <si>
    <t>Northrup, Eric.</t>
  </si>
  <si>
    <t>New York : Coward-McCann, c1957.</t>
  </si>
  <si>
    <t>1999-03-30</t>
  </si>
  <si>
    <t>2216877:eng</t>
  </si>
  <si>
    <t>1331265</t>
  </si>
  <si>
    <t>991000959779702656</t>
  </si>
  <si>
    <t>2261563150002656</t>
  </si>
  <si>
    <t>30001000196537</t>
  </si>
  <si>
    <t>893363585</t>
  </si>
  <si>
    <t>QV 137 R434 1993</t>
  </si>
  <si>
    <t>0                      QV 0137000R  434         1993</t>
  </si>
  <si>
    <t>Respiratory health effects of passive smoking : lung cancer and other disorders / U.S. Environmental Protection Agency, U.S. Department or health and human services.</t>
  </si>
  <si>
    <t>Washington, D.C. : U. S. Dept. of Health and Human Services, U. S. Environmental Protection Agency, 1993.</t>
  </si>
  <si>
    <t>Smoking and tobacco control ; monograph 4.</t>
  </si>
  <si>
    <t>1994-02-14</t>
  </si>
  <si>
    <t>5611730663:eng</t>
  </si>
  <si>
    <t>32383418</t>
  </si>
  <si>
    <t>991000668249702656</t>
  </si>
  <si>
    <t>2270274740002656</t>
  </si>
  <si>
    <t>30001002695379</t>
  </si>
  <si>
    <t>893830998</t>
  </si>
  <si>
    <t>QV 137 R845t 1951</t>
  </si>
  <si>
    <t>0                      QV 0137000R  845t        1951</t>
  </si>
  <si>
    <t>Tobacco and the cardiovascular system : the effects of smoking and of nicotine on normal persons.</t>
  </si>
  <si>
    <t>Roth, Grace Marguerite, 1896-</t>
  </si>
  <si>
    <t>Springfield, Ill. : Thomas, 1951.</t>
  </si>
  <si>
    <t>American lecture series ; publication no. 100. American lectures in circulation</t>
  </si>
  <si>
    <t>10032638085:eng</t>
  </si>
  <si>
    <t>3175025</t>
  </si>
  <si>
    <t>991000959739702656</t>
  </si>
  <si>
    <t>2265436780002656</t>
  </si>
  <si>
    <t>30001000196529</t>
  </si>
  <si>
    <t>893273527</t>
  </si>
  <si>
    <t>QV 137 S666 1992</t>
  </si>
  <si>
    <t>0                      QV 0137000S  666         1992</t>
  </si>
  <si>
    <t>Smokeless tobacco or health : an international perspective.</t>
  </si>
  <si>
    <t>[Rockville, Md] : U.S. Department of Health and Human Services, Public Health Service, National Institutes of Health, [National Cancer Institute], 1992.</t>
  </si>
  <si>
    <t>NIH publication ; no. 92-3461</t>
  </si>
  <si>
    <t>1995-05-02</t>
  </si>
  <si>
    <t>1993-11-16</t>
  </si>
  <si>
    <t>5218309854:eng</t>
  </si>
  <si>
    <t>27865488</t>
  </si>
  <si>
    <t>991001515619702656</t>
  </si>
  <si>
    <t>2264165190002656</t>
  </si>
  <si>
    <t>30001002602110</t>
  </si>
  <si>
    <t>893279171</t>
  </si>
  <si>
    <t>QV 137 U575h 1990</t>
  </si>
  <si>
    <t>0                      QV 0137000U  575h        1990</t>
  </si>
  <si>
    <t>The health benefits of smoking cessation : a report of the Surgeon General, 1990.</t>
  </si>
  <si>
    <t>United States. Public Health Service. Office of the Surgeon General.</t>
  </si>
  <si>
    <t>Rockville, Md. : U.S. Dept. of Health and Human Services, Public Health Service, Centers for Disease Control, Center for Chronic Disease Prevention and Health Promotion, Office on Smoking and Health, [1990]</t>
  </si>
  <si>
    <t>DHHS publication ; no. (CDC) 90-8416</t>
  </si>
  <si>
    <t>2001-04-18</t>
  </si>
  <si>
    <t>1991-05-23</t>
  </si>
  <si>
    <t>3902221149:eng</t>
  </si>
  <si>
    <t>23145226</t>
  </si>
  <si>
    <t>991000937229702656</t>
  </si>
  <si>
    <t>2264809030002656</t>
  </si>
  <si>
    <t>30001002191395</t>
  </si>
  <si>
    <t>893743568</t>
  </si>
  <si>
    <t>QV 140 B787p 1990</t>
  </si>
  <si>
    <t>0                      QV 0140000B  787p        1990</t>
  </si>
  <si>
    <t>Pharmacology of neuromuscular function / William C. Bowman.</t>
  </si>
  <si>
    <t>Bowman, W. C.</t>
  </si>
  <si>
    <t>1999-10-09</t>
  </si>
  <si>
    <t>2287035714:eng</t>
  </si>
  <si>
    <t>20722614</t>
  </si>
  <si>
    <t>991000816579702656</t>
  </si>
  <si>
    <t>2264514770002656</t>
  </si>
  <si>
    <t>9780723609131</t>
  </si>
  <si>
    <t>30001002086496</t>
  </si>
  <si>
    <t>893278251</t>
  </si>
  <si>
    <t>QV 140 S847m 1959</t>
  </si>
  <si>
    <t>0                      QV 0140000S  847m        1959</t>
  </si>
  <si>
    <t>The meaning of poison.</t>
  </si>
  <si>
    <t>Stevenson, Lloyd G.</t>
  </si>
  <si>
    <t>Lawrence : University of Kansas Press, 1959.</t>
  </si>
  <si>
    <t>Logan Clendening lectures on the history and philosophy of medicine ; 7th ser.</t>
  </si>
  <si>
    <t>1996-11-21</t>
  </si>
  <si>
    <t>9134167:eng</t>
  </si>
  <si>
    <t>3270704</t>
  </si>
  <si>
    <t>991000959699702656</t>
  </si>
  <si>
    <t>2262254820002656</t>
  </si>
  <si>
    <t>30001000196511</t>
  </si>
  <si>
    <t>893121054</t>
  </si>
  <si>
    <t>QV 150 C14368 1992</t>
  </si>
  <si>
    <t>0                      QV 0150000C  14368       1992</t>
  </si>
  <si>
    <t>Calcium antagonists in clinical medicine / Murray Epstein, [editor].</t>
  </si>
  <si>
    <t>Philadelphia : Hanley &amp; Belfus ; St. Louis : Mosby-Year Book, c1992.</t>
  </si>
  <si>
    <t>1996-11-19</t>
  </si>
  <si>
    <t>1994-03-22</t>
  </si>
  <si>
    <t>55722923:eng</t>
  </si>
  <si>
    <t>28510750</t>
  </si>
  <si>
    <t>991000668459702656</t>
  </si>
  <si>
    <t>2256563240002656</t>
  </si>
  <si>
    <t>9781560530213</t>
  </si>
  <si>
    <t>30001002695502</t>
  </si>
  <si>
    <t>893160784</t>
  </si>
  <si>
    <t>QV 150 C2637 1985</t>
  </si>
  <si>
    <t>0                      QV 0150000C  2637        1985</t>
  </si>
  <si>
    <t>Cardiac glycosides, 1785-1985 : biochemistry, pharmacology, clinical relevance / E. Erdmann, K. Greef, J.C. Skou, eds. ; with contributions by C. Achenbach ... [et al.]</t>
  </si>
  <si>
    <t>Darmstadt, Germ. : Steinkoppf ; New York : Springer, 1986.</t>
  </si>
  <si>
    <t>Boehringer Mannheim International Symposium ; 1985</t>
  </si>
  <si>
    <t>1999-04-12</t>
  </si>
  <si>
    <t>18883691:eng</t>
  </si>
  <si>
    <t>18780765</t>
  </si>
  <si>
    <t>991000959619702656</t>
  </si>
  <si>
    <t>2264250230002656</t>
  </si>
  <si>
    <t>9780387912752</t>
  </si>
  <si>
    <t>30001000196461</t>
  </si>
  <si>
    <t>893632569</t>
  </si>
  <si>
    <t>QV 150 C2655 1986</t>
  </si>
  <si>
    <t>0                      QV 0150000C  2655        1986</t>
  </si>
  <si>
    <t>Cardiotonic drugs : a clinical survey / edited by Carl V. Leier.</t>
  </si>
  <si>
    <t>New York : Dekker, c1986.</t>
  </si>
  <si>
    <t>Basic and clinical cardiology ; v. 7</t>
  </si>
  <si>
    <t>1998-08-11</t>
  </si>
  <si>
    <t>1989-06-15</t>
  </si>
  <si>
    <t>7347917:eng</t>
  </si>
  <si>
    <t>13525370</t>
  </si>
  <si>
    <t>991001250249702656</t>
  </si>
  <si>
    <t>2264285590002656</t>
  </si>
  <si>
    <t>9780824776114</t>
  </si>
  <si>
    <t>30001001678723</t>
  </si>
  <si>
    <t>893821070</t>
  </si>
  <si>
    <t>QV 150 C267 1987</t>
  </si>
  <si>
    <t>0                      QV 0150000C  267         1987</t>
  </si>
  <si>
    <t>Cardiovascular drug therapy / edited by Stephen N. Hunyor.</t>
  </si>
  <si>
    <t>Sydney ; Baltimore, Md. : Williams &amp; Wilkins and Associates PTY Ltd. c1987.</t>
  </si>
  <si>
    <t xml:space="preserve">at </t>
  </si>
  <si>
    <t>1998-10-20</t>
  </si>
  <si>
    <t>1988-02-20</t>
  </si>
  <si>
    <t>55153358:eng</t>
  </si>
  <si>
    <t>18780778</t>
  </si>
  <si>
    <t>991001171289702656</t>
  </si>
  <si>
    <t>2256441700002656</t>
  </si>
  <si>
    <t>9780864330055</t>
  </si>
  <si>
    <t>30001000975161</t>
  </si>
  <si>
    <t>893363843</t>
  </si>
  <si>
    <t>QV 150 C275 1990</t>
  </si>
  <si>
    <t>0                      QV 0150000C  275         1990</t>
  </si>
  <si>
    <t>Cardiovascular pharmacology / editor, Michael J. Antonaccio.</t>
  </si>
  <si>
    <t>54157747:eng</t>
  </si>
  <si>
    <t>21517357</t>
  </si>
  <si>
    <t>991000821819702656</t>
  </si>
  <si>
    <t>2261075030002656</t>
  </si>
  <si>
    <t>9780881676440</t>
  </si>
  <si>
    <t>30001002087635</t>
  </si>
  <si>
    <t>893743504</t>
  </si>
  <si>
    <t>QV 150 C955b 1994</t>
  </si>
  <si>
    <t>0                      QV 0150000C  955b        1994</t>
  </si>
  <si>
    <t>Beta-blockers in clinical practice / J.M. Cruickshank, B.N.C. Prichard.</t>
  </si>
  <si>
    <t>Cruickshank, J. M.</t>
  </si>
  <si>
    <t>Edinburgh : Churchill Livingstone, c1994.</t>
  </si>
  <si>
    <t>1995-02-17</t>
  </si>
  <si>
    <t>12486799:eng</t>
  </si>
  <si>
    <t>30915924</t>
  </si>
  <si>
    <t>991001396469702656</t>
  </si>
  <si>
    <t>2271201900002656</t>
  </si>
  <si>
    <t>9780443045226</t>
  </si>
  <si>
    <t>30001003146166</t>
  </si>
  <si>
    <t>893552442</t>
  </si>
  <si>
    <t>QV 150 C9763 1989</t>
  </si>
  <si>
    <t>0                      QV 0150000C  9763        1989</t>
  </si>
  <si>
    <t>Current topics in antiarrhythmic agents : mode of action and clinical usage : international satellite symposium of the 53rd Annual Meeting of the Japanese Circulation Society, Nagoya, Japan, March 27-28, 1989 / editors, Junji Toyama, Luc M. Hondeghem.</t>
  </si>
  <si>
    <t>Amsterdam ; Princeton : Excerpta Medica, c1989.</t>
  </si>
  <si>
    <t>Current clinical practice series ; no. 56</t>
  </si>
  <si>
    <t>1992-09-22</t>
  </si>
  <si>
    <t>1991-02-25</t>
  </si>
  <si>
    <t>67830342:eng</t>
  </si>
  <si>
    <t>24378730</t>
  </si>
  <si>
    <t>991000823169702656</t>
  </si>
  <si>
    <t>2260964520002656</t>
  </si>
  <si>
    <t>9789021917658</t>
  </si>
  <si>
    <t>30001002087908</t>
  </si>
  <si>
    <t>893459890</t>
  </si>
  <si>
    <t>QV 150 D7938 1991</t>
  </si>
  <si>
    <t>0                      QV 0150000D  7938        1991</t>
  </si>
  <si>
    <t>Drugs for the heart / edited by Lionel H. Opie with the collaboration of Kanu Chatterjee ... [et al.] ; foreword by Eugene Braunwald.</t>
  </si>
  <si>
    <t>Philadelphia : W.B. Saunders Co., c1991.</t>
  </si>
  <si>
    <t>2002-07-29</t>
  </si>
  <si>
    <t>1078002363:eng</t>
  </si>
  <si>
    <t>22307253</t>
  </si>
  <si>
    <t>991000821199702656</t>
  </si>
  <si>
    <t>2260105430002656</t>
  </si>
  <si>
    <t>9780721632780</t>
  </si>
  <si>
    <t>30001002087585</t>
  </si>
  <si>
    <t>893267540</t>
  </si>
  <si>
    <t>QV150 O61d 2001</t>
  </si>
  <si>
    <t>0                      QV 0150000O  61d         2001</t>
  </si>
  <si>
    <t>Drugs for the heart / Lionel H. Opie, co-editor Bernard J. Gersh ; with the collaboration of A. John Camm ... [et. al ] ; foreword by Eugene Braunwald.</t>
  </si>
  <si>
    <t>Philadelphia : Saunders, c2001.</t>
  </si>
  <si>
    <t>2003-09-22</t>
  </si>
  <si>
    <t>2002-12-19</t>
  </si>
  <si>
    <t>44626891</t>
  </si>
  <si>
    <t>991000333809702656</t>
  </si>
  <si>
    <t>2261714480002656</t>
  </si>
  <si>
    <t>9780721687575</t>
  </si>
  <si>
    <t>30001004500825</t>
  </si>
  <si>
    <t>893466191</t>
  </si>
  <si>
    <t>QV 150 P5365 1984</t>
  </si>
  <si>
    <t>0                      QV 0150000P  5365        1984</t>
  </si>
  <si>
    <t>Pharmacology of antihypertensive drugs / editor, P.A. Van Zwieten.</t>
  </si>
  <si>
    <t>Amsterdam ; New York : Elsevier, c1984.</t>
  </si>
  <si>
    <t>Handbook of hypertension ; v. 3</t>
  </si>
  <si>
    <t>659489023:eng</t>
  </si>
  <si>
    <t>10574784</t>
  </si>
  <si>
    <t>991000959529702656</t>
  </si>
  <si>
    <t>2264032250002656</t>
  </si>
  <si>
    <t>9780444903136</t>
  </si>
  <si>
    <t>30001000196388</t>
  </si>
  <si>
    <t>893358046</t>
  </si>
  <si>
    <t>QV 150 P957 1991</t>
  </si>
  <si>
    <t>0                      QV 0150000P  957         1991</t>
  </si>
  <si>
    <t>Principles of cardiac toxicology / [edited by] Steven I. Baskin.</t>
  </si>
  <si>
    <t>Boca Raton : CRC Press, c1991.</t>
  </si>
  <si>
    <t>25425629:eng</t>
  </si>
  <si>
    <t>23287756</t>
  </si>
  <si>
    <t>991001022569702656</t>
  </si>
  <si>
    <t>2272111430002656</t>
  </si>
  <si>
    <t>9780849388095</t>
  </si>
  <si>
    <t>30001002242081</t>
  </si>
  <si>
    <t>893450790</t>
  </si>
  <si>
    <t>QV 150 R19 1957</t>
  </si>
  <si>
    <t>0                      QV 0150000R  19          1957</t>
  </si>
  <si>
    <t>Rauwolfia : botany, pharmacognosy, chemistry &amp; pharmacology / Robert E. Woodson .... [et al.] ; with a foreword by Arnold J. Lehman.</t>
  </si>
  <si>
    <t>Boston : Little, Brown, 1957.</t>
  </si>
  <si>
    <t>[1st ed.]</t>
  </si>
  <si>
    <t>1988-09-03</t>
  </si>
  <si>
    <t>1988-03-21</t>
  </si>
  <si>
    <t>143355825:eng</t>
  </si>
  <si>
    <t>1200431</t>
  </si>
  <si>
    <t>991000959579702656</t>
  </si>
  <si>
    <t>2266127540002656</t>
  </si>
  <si>
    <t>30001000196438</t>
  </si>
  <si>
    <t>893284179</t>
  </si>
  <si>
    <t>QV 150 S358c 1988</t>
  </si>
  <si>
    <t>0                      QV 0150000S  358c        1988</t>
  </si>
  <si>
    <t>Cardiovascular drug therapy in the elderly / Adam Schneeweiss, Gotthard Schettler.</t>
  </si>
  <si>
    <t>Schneeweiss, Adam.</t>
  </si>
  <si>
    <t>Boston : Nijhoff ; Norwell, MA, USA : Distributors for North America, Kluwer Academic Publishers, c1988.</t>
  </si>
  <si>
    <t>Developments in cardiovascular medicine ; DICM72</t>
  </si>
  <si>
    <t>1989-07-07</t>
  </si>
  <si>
    <t>10518356:eng</t>
  </si>
  <si>
    <t>15428959</t>
  </si>
  <si>
    <t>991001310659702656</t>
  </si>
  <si>
    <t>2261296740002656</t>
  </si>
  <si>
    <t>9780898388831</t>
  </si>
  <si>
    <t>30001001750746</t>
  </si>
  <si>
    <t>893460460</t>
  </si>
  <si>
    <t>QV 150 S996p 1991</t>
  </si>
  <si>
    <t>0                      QV 0150000S  996p        1991</t>
  </si>
  <si>
    <t>Pharmaceutical chemistry of antihypertensive agents / authors, György Szász, Susanne Budvári-Bárány.</t>
  </si>
  <si>
    <t>Szász, György.</t>
  </si>
  <si>
    <t>1997-09-21</t>
  </si>
  <si>
    <t>1991-02-08</t>
  </si>
  <si>
    <t>24161651:eng</t>
  </si>
  <si>
    <t>22314236</t>
  </si>
  <si>
    <t>991000818639702656</t>
  </si>
  <si>
    <t>2263959530002656</t>
  </si>
  <si>
    <t>9780849347245</t>
  </si>
  <si>
    <t>30001002087049</t>
  </si>
  <si>
    <t>893357712</t>
  </si>
  <si>
    <t>QV 153 C266 1981</t>
  </si>
  <si>
    <t>0                      QV 0153000C  266         1981</t>
  </si>
  <si>
    <t>Cardiac glycosides / editor, K. Greeff.</t>
  </si>
  <si>
    <t>Berlin ; New York : Springer-Verlag, c1981.</t>
  </si>
  <si>
    <t>Handbook of experimental pharmacology ; v. 56</t>
  </si>
  <si>
    <t>1996-03-28</t>
  </si>
  <si>
    <t>1062813132:eng</t>
  </si>
  <si>
    <t>7957792</t>
  </si>
  <si>
    <t>991000960099702656</t>
  </si>
  <si>
    <t>2269652110002656</t>
  </si>
  <si>
    <t>30001000196875</t>
  </si>
  <si>
    <t>893161568</t>
  </si>
  <si>
    <t>QV153 C266 1981 PT. 2</t>
  </si>
  <si>
    <t>0                      QV 0153000C  266         1981                                        PT. 2</t>
  </si>
  <si>
    <t>1995-11-02</t>
  </si>
  <si>
    <t>30001000196867</t>
  </si>
  <si>
    <t>893161567</t>
  </si>
  <si>
    <t>QV 175 R269r 1991</t>
  </si>
  <si>
    <t>0                      QV 0175000R  269r        1991</t>
  </si>
  <si>
    <t>RU 486 : misconceptions, myths and morals / by Janice G. Raymond, Renate Klein, Lynette J. Dumble.</t>
  </si>
  <si>
    <t>Raymond, Janice G.</t>
  </si>
  <si>
    <t>Cambridge, Mass., USA : Institute on Women and Technology, c1991.</t>
  </si>
  <si>
    <t>1997-04-28</t>
  </si>
  <si>
    <t>1991-12-12</t>
  </si>
  <si>
    <t>793886010:eng</t>
  </si>
  <si>
    <t>24808026</t>
  </si>
  <si>
    <t>991001025579702656</t>
  </si>
  <si>
    <t>2256169750002656</t>
  </si>
  <si>
    <t>9780963008305</t>
  </si>
  <si>
    <t>30001002242602</t>
  </si>
  <si>
    <t>893267994</t>
  </si>
  <si>
    <t>QV 177 S439d 1969</t>
  </si>
  <si>
    <t>0                      QV 0177000S  439d        1969</t>
  </si>
  <si>
    <t>The doctors' case against the pill.</t>
  </si>
  <si>
    <t>Seaman, Barbara.</t>
  </si>
  <si>
    <t>New York : P.H. Wyden, 1969.</t>
  </si>
  <si>
    <t>1996-04-30</t>
  </si>
  <si>
    <t>1179473:eng</t>
  </si>
  <si>
    <t>30564</t>
  </si>
  <si>
    <t>991000960059702656</t>
  </si>
  <si>
    <t>2262257690002656</t>
  </si>
  <si>
    <t>30001000196685</t>
  </si>
  <si>
    <t>893374131</t>
  </si>
  <si>
    <t>QV183 B749i 1962</t>
  </si>
  <si>
    <t>0                      QV 0183000B  749i        1962</t>
  </si>
  <si>
    <t>Iron metabolism / Thomas H. Bothwell and Clement A. Finch.</t>
  </si>
  <si>
    <t>Bothwell, Thomas H. (Thomas Hamilton)</t>
  </si>
  <si>
    <t>Boston : Little, Brown, c1962.</t>
  </si>
  <si>
    <t>1962</t>
  </si>
  <si>
    <t>[1st ed.].</t>
  </si>
  <si>
    <t>1999-11-24</t>
  </si>
  <si>
    <t>1630225:eng</t>
  </si>
  <si>
    <t>559626</t>
  </si>
  <si>
    <t>991000960019702656</t>
  </si>
  <si>
    <t>2262157850002656</t>
  </si>
  <si>
    <t>30001000196677</t>
  </si>
  <si>
    <t>893148758</t>
  </si>
  <si>
    <t>QV 183 I701 1992</t>
  </si>
  <si>
    <t>0                      QV 0183000I  701         1992</t>
  </si>
  <si>
    <t>Iron and human disease / edited by Randall B. Lauffer.</t>
  </si>
  <si>
    <t>2001-03-16</t>
  </si>
  <si>
    <t>1992-09-09</t>
  </si>
  <si>
    <t>138715289:eng</t>
  </si>
  <si>
    <t>25282412</t>
  </si>
  <si>
    <t>991001341579702656</t>
  </si>
  <si>
    <t>2271299660002656</t>
  </si>
  <si>
    <t>9780849367793</t>
  </si>
  <si>
    <t>30001002455949</t>
  </si>
  <si>
    <t>893274036</t>
  </si>
  <si>
    <t>QV 183 I713 1994</t>
  </si>
  <si>
    <t>0                      QV 0183000I  713         1994</t>
  </si>
  <si>
    <t>Iron metabolism in health and disease / edited by Jeremy H. Brock ... [et al.].</t>
  </si>
  <si>
    <t>London ; Philadelpha : W.B. Saunders, c1994.</t>
  </si>
  <si>
    <t>1999-12-06</t>
  </si>
  <si>
    <t>1994-09-12</t>
  </si>
  <si>
    <t>24206850:eng</t>
  </si>
  <si>
    <t>30493282</t>
  </si>
  <si>
    <t>991000677509702656</t>
  </si>
  <si>
    <t>2255941370002656</t>
  </si>
  <si>
    <t>9780702017322</t>
  </si>
  <si>
    <t>30001002696757</t>
  </si>
  <si>
    <t>893376743</t>
  </si>
  <si>
    <t>QV 183 J17i 1974</t>
  </si>
  <si>
    <t>0                      QV 0183000J  17i         1974</t>
  </si>
  <si>
    <t>Iron in biochemistry / Edited by A. Jacobs and M. Worwood.</t>
  </si>
  <si>
    <t>Jacobs, A. (Allan), editor.</t>
  </si>
  <si>
    <t>London ; New York : Academic Press, 1974.</t>
  </si>
  <si>
    <t>2001-08-30</t>
  </si>
  <si>
    <t>3901001450:eng</t>
  </si>
  <si>
    <t>1201484</t>
  </si>
  <si>
    <t>991000959979702656</t>
  </si>
  <si>
    <t>2263034930002656</t>
  </si>
  <si>
    <t>30001000196651</t>
  </si>
  <si>
    <t>893368930</t>
  </si>
  <si>
    <t>QV 190 C697t 1985</t>
  </si>
  <si>
    <t>0                      QV 0190000C  697t        1985</t>
  </si>
  <si>
    <t>Thrombolysis : biological and therapeutic properties of new thrombolytic agents / D. Collen, H.R. Lijnen, M. Verstraete.</t>
  </si>
  <si>
    <t>Collen, D. (Désiré)</t>
  </si>
  <si>
    <t>1992-02-09</t>
  </si>
  <si>
    <t>836725920:eng</t>
  </si>
  <si>
    <t>12418782</t>
  </si>
  <si>
    <t>991000959929702656</t>
  </si>
  <si>
    <t>2266865760002656</t>
  </si>
  <si>
    <t>9780443028151</t>
  </si>
  <si>
    <t>30001000196628</t>
  </si>
  <si>
    <t>893161566</t>
  </si>
  <si>
    <t>QV 193 C513a 1980</t>
  </si>
  <si>
    <t>0                      QV 0193000C  513a        1980</t>
  </si>
  <si>
    <t>Anticoagulants and fibrinolytics / E.I. Chazov, K.M. Lakin ; translators, E.P. Fadeev, G.S. Vats, A.P. Bermont.</t>
  </si>
  <si>
    <t>Chazov, E. I.</t>
  </si>
  <si>
    <t>Chicago : Year Book Medical Publishers, c1980.</t>
  </si>
  <si>
    <t>1997-07-01</t>
  </si>
  <si>
    <t>1987-08-25</t>
  </si>
  <si>
    <t>23126883:eng</t>
  </si>
  <si>
    <t>6581208</t>
  </si>
  <si>
    <t>991000960259702656</t>
  </si>
  <si>
    <t>2256088930002656</t>
  </si>
  <si>
    <t>9780815116493</t>
  </si>
  <si>
    <t>30001000197097</t>
  </si>
  <si>
    <t>893278526</t>
  </si>
  <si>
    <t>QV 193 C8547 2008</t>
  </si>
  <si>
    <t>0                      QV 0193000C  8547        2008</t>
  </si>
  <si>
    <t>Coumarin anticoagulant research progress / Joseph P. Edardes, editor.</t>
  </si>
  <si>
    <t>New York : Nova Biomedical Books, c2008.</t>
  </si>
  <si>
    <t>2008-10-16</t>
  </si>
  <si>
    <t>5585724122:eng</t>
  </si>
  <si>
    <t>165048857</t>
  </si>
  <si>
    <t>991001323939702656</t>
  </si>
  <si>
    <t>2271037670002656</t>
  </si>
  <si>
    <t>9781600219900</t>
  </si>
  <si>
    <t>30001005373701</t>
  </si>
  <si>
    <t>893455698</t>
  </si>
  <si>
    <t>QV 195 O35a 1984</t>
  </si>
  <si>
    <t>0                      QV 0195000O  35a         1984</t>
  </si>
  <si>
    <t>Antifibrinolytic drugs : chemistry, pharmacology, and clinical usage / Derek Ogston.</t>
  </si>
  <si>
    <t>Ogston, Derek.</t>
  </si>
  <si>
    <t>Chichester ; New York : Wiley, c1984.</t>
  </si>
  <si>
    <t>1992-05-05</t>
  </si>
  <si>
    <t>1988-02-09</t>
  </si>
  <si>
    <t>836669964:eng</t>
  </si>
  <si>
    <t>10912707</t>
  </si>
  <si>
    <t>991000960299702656</t>
  </si>
  <si>
    <t>2258532320002656</t>
  </si>
  <si>
    <t>9780471905622</t>
  </si>
  <si>
    <t>30001000197089</t>
  </si>
  <si>
    <t>893287139</t>
  </si>
  <si>
    <t>QV 220 D611 1983</t>
  </si>
  <si>
    <t>0                      QV 0220000D  611         1983</t>
  </si>
  <si>
    <t>Disinfection, sterilization, and preservation / Seymour S. Block.</t>
  </si>
  <si>
    <t>Philadelphia : Lea &amp; Febiger, c1983.</t>
  </si>
  <si>
    <t>1996-06-21</t>
  </si>
  <si>
    <t>356468953:eng</t>
  </si>
  <si>
    <t>9110784</t>
  </si>
  <si>
    <t>991000960219702656</t>
  </si>
  <si>
    <t>2269750000002656</t>
  </si>
  <si>
    <t>9780812108637</t>
  </si>
  <si>
    <t>30001000197063</t>
  </si>
  <si>
    <t>893278525</t>
  </si>
  <si>
    <t>QV 240 S631f 1994</t>
  </si>
  <si>
    <t>0                      QV 0240000S  631f        1994</t>
  </si>
  <si>
    <t>Fluorescent probes in cellular and molecular biology / Jan Slavik.</t>
  </si>
  <si>
    <t>Slavík, Jan, Ph.D.</t>
  </si>
  <si>
    <t>Boca Raton : CRC Press, c1994.</t>
  </si>
  <si>
    <t>1994-12-08</t>
  </si>
  <si>
    <t>1994-09-13</t>
  </si>
  <si>
    <t>499285239:eng</t>
  </si>
  <si>
    <t>28585198</t>
  </si>
  <si>
    <t>991000679679702656</t>
  </si>
  <si>
    <t>2261833790002656</t>
  </si>
  <si>
    <t>9780849368929</t>
  </si>
  <si>
    <t>30001002697136</t>
  </si>
  <si>
    <t>893267141</t>
  </si>
  <si>
    <t>QV 247 A6292 1985</t>
  </si>
  <si>
    <t>0                      QV 0247000A  6292        1985</t>
  </si>
  <si>
    <t>Anti-inflammatory and anti-rheumatic drugs / editor, K.D. Rainsford.</t>
  </si>
  <si>
    <t>Boca Raton, Fla. : CRC Press, c1985.</t>
  </si>
  <si>
    <t>1992-02-14</t>
  </si>
  <si>
    <t>2868113802:eng</t>
  </si>
  <si>
    <t>11113868</t>
  </si>
  <si>
    <t>991000960139702656</t>
  </si>
  <si>
    <t>2261589690002656</t>
  </si>
  <si>
    <t>9780849362309</t>
  </si>
  <si>
    <t>30001000196982</t>
  </si>
  <si>
    <t>893363586</t>
  </si>
  <si>
    <t>30001000422123</t>
  </si>
  <si>
    <t>893368931</t>
  </si>
  <si>
    <t>30001000196990</t>
  </si>
  <si>
    <t>893358047</t>
  </si>
  <si>
    <t>QV 250 A631 1980</t>
  </si>
  <si>
    <t>0                      QV 0250000A  631         1980</t>
  </si>
  <si>
    <t>Antimicrobial therapy / [edited by] Benjamin M. Kagan ; with contributions by 70 authorities.</t>
  </si>
  <si>
    <t>Philadelphia : Saunders, 1980.</t>
  </si>
  <si>
    <t>3d ed.</t>
  </si>
  <si>
    <t>1997-10-28</t>
  </si>
  <si>
    <t>1228588:eng</t>
  </si>
  <si>
    <t>6197170</t>
  </si>
  <si>
    <t>991000748029702656</t>
  </si>
  <si>
    <t>2257059270002656</t>
  </si>
  <si>
    <t>9780721652344</t>
  </si>
  <si>
    <t>30001000046492</t>
  </si>
  <si>
    <t>893831142</t>
  </si>
  <si>
    <t>QV 250 N532 1990</t>
  </si>
  <si>
    <t>0                      QV 0250000N  532         1990</t>
  </si>
  <si>
    <t>The New generation of quinolones / edited by Clifford Siporin, Carl L. Heifetz, John M. Domagala.</t>
  </si>
  <si>
    <t>Infectious disease and therapy ; v. 5</t>
  </si>
  <si>
    <t>1991-01-24</t>
  </si>
  <si>
    <t>366288242:eng</t>
  </si>
  <si>
    <t>21909906</t>
  </si>
  <si>
    <t>991000815879702656</t>
  </si>
  <si>
    <t>2257260000002656</t>
  </si>
  <si>
    <t>9780824782245</t>
  </si>
  <si>
    <t>30001002086306</t>
  </si>
  <si>
    <t>893551773</t>
  </si>
  <si>
    <t>QV 250 N5324 1993</t>
  </si>
  <si>
    <t>0                      QV 0250000N  5324        1993</t>
  </si>
  <si>
    <t>The New macrolides, azalides, and streptogramins : pharmacology and clinical applications / edited by Harold C. Neu, Lowell S. Young, Stephen H. Zinner.</t>
  </si>
  <si>
    <t>New York : M. Dekker, c1993.</t>
  </si>
  <si>
    <t>Infectious disease and therapy ; v. 8</t>
  </si>
  <si>
    <t>2006-09-30</t>
  </si>
  <si>
    <t>795705087:eng</t>
  </si>
  <si>
    <t>27173247</t>
  </si>
  <si>
    <t>991001511019702656</t>
  </si>
  <si>
    <t>2267399780002656</t>
  </si>
  <si>
    <t>9780824790387</t>
  </si>
  <si>
    <t>30001002600809</t>
  </si>
  <si>
    <t>893451285</t>
  </si>
  <si>
    <t>QV 250 P888c 1946</t>
  </si>
  <si>
    <t>0                      QV 0250000P  888c        1946</t>
  </si>
  <si>
    <t>Chemotherapy / edited by Wendell H. Powers.</t>
  </si>
  <si>
    <t>New York : Reinhold, 1946.</t>
  </si>
  <si>
    <t>1946</t>
  </si>
  <si>
    <t>Advancing fronts in chemistry ; vol. 2</t>
  </si>
  <si>
    <t>1999-01-25</t>
  </si>
  <si>
    <t>1988-03-24</t>
  </si>
  <si>
    <t>8803783:eng</t>
  </si>
  <si>
    <t>14728800</t>
  </si>
  <si>
    <t>991000960579702656</t>
  </si>
  <si>
    <t>2261275920002656</t>
  </si>
  <si>
    <t>30001000197287</t>
  </si>
  <si>
    <t>893161569</t>
  </si>
  <si>
    <t>QV 250 P917a 1986</t>
  </si>
  <si>
    <t>0                      QV 0250000P  917a        1986</t>
  </si>
  <si>
    <t>The antimicrobial drugs / William B. Pratt, Robert Fekety.</t>
  </si>
  <si>
    <t>Pratt, William B., 1938-</t>
  </si>
  <si>
    <t>New York : Oxford University Press, c1986.</t>
  </si>
  <si>
    <t>1988-08-30</t>
  </si>
  <si>
    <t>14388887:eng</t>
  </si>
  <si>
    <t>11649516</t>
  </si>
  <si>
    <t>991001423329702656</t>
  </si>
  <si>
    <t>2269145070002656</t>
  </si>
  <si>
    <t>9780195035605</t>
  </si>
  <si>
    <t>30001001183088</t>
  </si>
  <si>
    <t>893643563</t>
  </si>
  <si>
    <t>QV 250 Q68 1998</t>
  </si>
  <si>
    <t>0                      QV 0250000Q  68          1998</t>
  </si>
  <si>
    <t>The quinolones / edited by Vincent T. Andriole.</t>
  </si>
  <si>
    <t>San Diego : Academic Press, c1998.</t>
  </si>
  <si>
    <t>2010-02-19</t>
  </si>
  <si>
    <t>1999-07-23</t>
  </si>
  <si>
    <t>4920759234:eng</t>
  </si>
  <si>
    <t>38750587</t>
  </si>
  <si>
    <t>991001565419702656</t>
  </si>
  <si>
    <t>2271881250002656</t>
  </si>
  <si>
    <t>9780120595143</t>
  </si>
  <si>
    <t>30001004010494</t>
  </si>
  <si>
    <t>893268651</t>
  </si>
  <si>
    <t>QV 250 S713a 1992</t>
  </si>
  <si>
    <t>0                      QV 0250000S  713a        1992</t>
  </si>
  <si>
    <t>Antimicrobial agents teaching module / Alfred F. Sorbello.</t>
  </si>
  <si>
    <t>Sorbello, Alfred F.</t>
  </si>
  <si>
    <t>Chapel Hill, NC : Health Sciences Consortium, c1992.</t>
  </si>
  <si>
    <t>1994-11-30</t>
  </si>
  <si>
    <t>1994-11-22</t>
  </si>
  <si>
    <t>37015070:eng</t>
  </si>
  <si>
    <t>32297708</t>
  </si>
  <si>
    <t>991000275539702656</t>
  </si>
  <si>
    <t>2272409490002656</t>
  </si>
  <si>
    <t>30001002697565</t>
  </si>
  <si>
    <t>893264058</t>
  </si>
  <si>
    <t>QV268.5 A139a 1988</t>
  </si>
  <si>
    <t>0                      QV 0268500A  139a        1988</t>
  </si>
  <si>
    <t>Anti varicella-zoster activity of 2HM-HBG, a new acyclic guanosin analog / by Gunnar Abele.</t>
  </si>
  <si>
    <t>Abele, Gunnar.</t>
  </si>
  <si>
    <t>Stockholm : Kongl. Carolinska Medico Chirurgiska Institutet, c1988.</t>
  </si>
  <si>
    <t>1989-05-13</t>
  </si>
  <si>
    <t>3863765336:eng</t>
  </si>
  <si>
    <t>19412466</t>
  </si>
  <si>
    <t>991001244329702656</t>
  </si>
  <si>
    <t>2271273880002656</t>
  </si>
  <si>
    <t>9789179006013</t>
  </si>
  <si>
    <t>30001001676610</t>
  </si>
  <si>
    <t>893121298</t>
  </si>
  <si>
    <t>QV 268.5 A6325 1988</t>
  </si>
  <si>
    <t>0                      QV 0268500A  6325        1988</t>
  </si>
  <si>
    <t>Antiviral agents : the development and assessment of antiviral chemotherapy / editor, Hugh J. Field.</t>
  </si>
  <si>
    <t>Boca Raton, Fla. : CRC Press, c1988.</t>
  </si>
  <si>
    <t>1999-07-26</t>
  </si>
  <si>
    <t>792912874:eng</t>
  </si>
  <si>
    <t>15520654</t>
  </si>
  <si>
    <t>991001417709702656</t>
  </si>
  <si>
    <t>2264918120002656</t>
  </si>
  <si>
    <t>9780849366833</t>
  </si>
  <si>
    <t>30001001181223</t>
  </si>
  <si>
    <t>893284789</t>
  </si>
  <si>
    <t>30001001181215</t>
  </si>
  <si>
    <t>893274134</t>
  </si>
  <si>
    <t>QV 268.5 C517 1982</t>
  </si>
  <si>
    <t>0                      QV 0268500C  517         1982</t>
  </si>
  <si>
    <t>Chemotherapy of viral infections / editors, Paul E. Came and Lawrence A. Caliguiri.</t>
  </si>
  <si>
    <t>V. 61</t>
  </si>
  <si>
    <t>Berlin ; New York : Springer-Verlag, c1982.</t>
  </si>
  <si>
    <t>Handbook of experimental pharmacology ; v. 61</t>
  </si>
  <si>
    <t>1995-12-16</t>
  </si>
  <si>
    <t>365122848:eng</t>
  </si>
  <si>
    <t>8132563</t>
  </si>
  <si>
    <t>991000960419702656</t>
  </si>
  <si>
    <t>2267958180002656</t>
  </si>
  <si>
    <t>9780387113470</t>
  </si>
  <si>
    <t>30001000197196</t>
  </si>
  <si>
    <t>893267872</t>
  </si>
  <si>
    <t>QV 268.5 D457 1990</t>
  </si>
  <si>
    <t>0                      QV 0268500D  457         1990</t>
  </si>
  <si>
    <t>Design of anti-AIDS drugs / edited by E. De Clercq with the editorial assistance of C. Callebaut.</t>
  </si>
  <si>
    <t>Amsterdam ; New York : Elsevier ; New York, NY, U.S.A. : Distributors for the U.S. and Canada, Elsevier Science Pub. Co., c1990.</t>
  </si>
  <si>
    <t>Pharmacochemistry library ; v. 14</t>
  </si>
  <si>
    <t>1998-06-02</t>
  </si>
  <si>
    <t>1991-01-29</t>
  </si>
  <si>
    <t>423047947:eng</t>
  </si>
  <si>
    <t>22005487</t>
  </si>
  <si>
    <t>991000816339702656</t>
  </si>
  <si>
    <t>2260808050002656</t>
  </si>
  <si>
    <t>9780444881793</t>
  </si>
  <si>
    <t>30001002086447</t>
  </si>
  <si>
    <t>893831445</t>
  </si>
  <si>
    <t>QV 269 C264 1990</t>
  </si>
  <si>
    <t>0                      QV 0269000C  264         1990</t>
  </si>
  <si>
    <t>Carboplatin (JM-8) : current perspectives and future directions / Editors: Paul A. Bunn, Jr. ... [et al.].</t>
  </si>
  <si>
    <t>Philadelphia : Saunders, c1990.</t>
  </si>
  <si>
    <t>1990-10-23</t>
  </si>
  <si>
    <t>1862854963:eng</t>
  </si>
  <si>
    <t>22372109</t>
  </si>
  <si>
    <t>991000770859702656</t>
  </si>
  <si>
    <t>2264626930002656</t>
  </si>
  <si>
    <t>30001002062117</t>
  </si>
  <si>
    <t>893731185</t>
  </si>
  <si>
    <t>QV 269 G394f 2008</t>
  </si>
  <si>
    <t>0                      QV 0269000G  394f        2008</t>
  </si>
  <si>
    <t>Free radicals effect on cytostatica, vitamins, hormones and phytocompounds with respect to cancer : an introduction to molecular radiation biology / Nikola Getoff.</t>
  </si>
  <si>
    <t>Getoff, Nikola, 1922-</t>
  </si>
  <si>
    <t>New York : Nova Science Publishers, c2008.</t>
  </si>
  <si>
    <t>133027670:eng</t>
  </si>
  <si>
    <t>221220296</t>
  </si>
  <si>
    <t>991001462009702656</t>
  </si>
  <si>
    <t>2255882940002656</t>
  </si>
  <si>
    <t>9781604562910</t>
  </si>
  <si>
    <t>30001004916278</t>
  </si>
  <si>
    <t>893455826</t>
  </si>
  <si>
    <t>QV 269 M489n 1981</t>
  </si>
  <si>
    <t>0                      QV 0269000M  489n        1981</t>
  </si>
  <si>
    <t>New approaches to the design of antineoplastic agents : proceedings of the Twenty-second Annual Medicinal Chemistry Symposium, Amherst, New York, U.S.A., May 18-20, 1981 / editors, Thomas J. Bardos and Thomas I. Kalman.</t>
  </si>
  <si>
    <t>Medicinal Chemistry Symposium (22nd : 1981 : Amherst, N.Y.)</t>
  </si>
  <si>
    <t>New York : Elsevier Biomedical, c1982.</t>
  </si>
  <si>
    <t>1996-11-30</t>
  </si>
  <si>
    <t>32626508:eng</t>
  </si>
  <si>
    <t>8533462</t>
  </si>
  <si>
    <t>991000960339702656</t>
  </si>
  <si>
    <t>2267226390002656</t>
  </si>
  <si>
    <t>9780444007247</t>
  </si>
  <si>
    <t>30001000197121</t>
  </si>
  <si>
    <t>893648801</t>
  </si>
  <si>
    <t>QV 269 N53167 1992</t>
  </si>
  <si>
    <t>0                      QV 0269000N  53167       1992</t>
  </si>
  <si>
    <t>New approaches in cancer pharmacology : drug design and development / P. Workman, ed.</t>
  </si>
  <si>
    <t>Berlin ; New York : Springer-Verlag, c1992.</t>
  </si>
  <si>
    <t>Monographs (European School of Oncology)</t>
  </si>
  <si>
    <t>1993-10-12</t>
  </si>
  <si>
    <t>5218313511:eng</t>
  </si>
  <si>
    <t>26674950</t>
  </si>
  <si>
    <t>991001512589702656</t>
  </si>
  <si>
    <t>2267423760002656</t>
  </si>
  <si>
    <t>9780387560892</t>
  </si>
  <si>
    <t>30001002601096</t>
  </si>
  <si>
    <t>893451287</t>
  </si>
  <si>
    <t>QV 269 N5323 1991</t>
  </si>
  <si>
    <t>0                      QV 0269000N  5323        1991</t>
  </si>
  <si>
    <t>New drugs, concepts, and results in cancer chemotherapy / edited by F.M. Muggia.</t>
  </si>
  <si>
    <t>Norwell, Mass. : Kluwer Academic Publishers, c1991.</t>
  </si>
  <si>
    <t>Cancer treatment and research ; v. 58</t>
  </si>
  <si>
    <t>25767485:eng</t>
  </si>
  <si>
    <t>23691473</t>
  </si>
  <si>
    <t>991001301319702656</t>
  </si>
  <si>
    <t>2261291340002656</t>
  </si>
  <si>
    <t>9780792312536</t>
  </si>
  <si>
    <t>30001002411884</t>
  </si>
  <si>
    <t>893278964</t>
  </si>
  <si>
    <t>QV 269 T755 1991</t>
  </si>
  <si>
    <t>0                      QV 0269000T  755         1991</t>
  </si>
  <si>
    <t>The Toxicity of anticancer drugs / edited by Garth Powis, Miles P. Hacker.</t>
  </si>
  <si>
    <t>New York : Pergamon Press, c1991.</t>
  </si>
  <si>
    <t>1994-12-14</t>
  </si>
  <si>
    <t>1991-09-24</t>
  </si>
  <si>
    <t>365285308:eng</t>
  </si>
  <si>
    <t>21444204</t>
  </si>
  <si>
    <t>991001017379702656</t>
  </si>
  <si>
    <t>2257427540002656</t>
  </si>
  <si>
    <t>9780080403021</t>
  </si>
  <si>
    <t>30001002240937</t>
  </si>
  <si>
    <t>893632660</t>
  </si>
  <si>
    <t>QV 275 B553 1991</t>
  </si>
  <si>
    <t>0                      QV 0275000B  553         1991</t>
  </si>
  <si>
    <t>Beryllium : biomedical and environmental aspects / edited by Milton D. Rossman, Otto P. Preuss, Martin B. Powers.</t>
  </si>
  <si>
    <t>Baltimore : Williams &amp; Wilkins, c1991.</t>
  </si>
  <si>
    <t>1990-12-21</t>
  </si>
  <si>
    <t>836733394:eng</t>
  </si>
  <si>
    <t>22422590</t>
  </si>
  <si>
    <t>991000813869702656</t>
  </si>
  <si>
    <t>2269320540002656</t>
  </si>
  <si>
    <t>9780683073874</t>
  </si>
  <si>
    <t>30001002085548</t>
  </si>
  <si>
    <t>893450441</t>
  </si>
  <si>
    <t>QV 276 C14297 1983</t>
  </si>
  <si>
    <t>0                      QV 0276000C  14297       1983</t>
  </si>
  <si>
    <t>Calcium in biological systems / edited by Ronald P. Rubin, George B. Weiss, and James W. Putney, Jr.</t>
  </si>
  <si>
    <t>New York : Plenum, c1985.</t>
  </si>
  <si>
    <t>1991-01-17</t>
  </si>
  <si>
    <t>355499850:eng</t>
  </si>
  <si>
    <t>11234543</t>
  </si>
  <si>
    <t>991000961079702656</t>
  </si>
  <si>
    <t>2261943860002656</t>
  </si>
  <si>
    <t>9780306417474</t>
  </si>
  <si>
    <t>30001000197584</t>
  </si>
  <si>
    <t>893358048</t>
  </si>
  <si>
    <t>QV 276 C143 1983</t>
  </si>
  <si>
    <t>0                      QV 0276000C  143         1983</t>
  </si>
  <si>
    <t>Calcium in biology / edited by Thomas G. Spiro.</t>
  </si>
  <si>
    <t>New York : Wiley, c1983.</t>
  </si>
  <si>
    <t>Metal ions in biology, ISSN 0271-2911 ;v. 6</t>
  </si>
  <si>
    <t>1999-10-26</t>
  </si>
  <si>
    <t>43765788:eng</t>
  </si>
  <si>
    <t>9685424</t>
  </si>
  <si>
    <t>991000961259702656</t>
  </si>
  <si>
    <t>2270108860002656</t>
  </si>
  <si>
    <t>9780471885436</t>
  </si>
  <si>
    <t>30001000197634</t>
  </si>
  <si>
    <t>893820761</t>
  </si>
  <si>
    <t>QV 276 C1436 1988</t>
  </si>
  <si>
    <t>0                      QV 0276000C  1436        1988</t>
  </si>
  <si>
    <t>Calcium in human biology / B.E.C. Nordin (ed.).</t>
  </si>
  <si>
    <t>London ; New York : Springer-Verlag, c1988.</t>
  </si>
  <si>
    <t>ILSI human nutrition reviews</t>
  </si>
  <si>
    <t>1993-01-11</t>
  </si>
  <si>
    <t>1989-02-11</t>
  </si>
  <si>
    <t>15466725:eng</t>
  </si>
  <si>
    <t>17354645</t>
  </si>
  <si>
    <t>991001120979702656</t>
  </si>
  <si>
    <t>2258431620002656</t>
  </si>
  <si>
    <t>9780387174754</t>
  </si>
  <si>
    <t>30001001614496</t>
  </si>
  <si>
    <t>893638051</t>
  </si>
  <si>
    <t>QV 276 C164 1985</t>
  </si>
  <si>
    <t>0                      QV 0276000C  164         1985</t>
  </si>
  <si>
    <t>Calmodulin antagonists and cellular physiology / edited by Hiroyoshi Hidaka, David J. Hartshorne.</t>
  </si>
  <si>
    <t>Orlando : Academic Press, c1985.</t>
  </si>
  <si>
    <t>355487248:eng</t>
  </si>
  <si>
    <t>11113581</t>
  </si>
  <si>
    <t>991000961119702656</t>
  </si>
  <si>
    <t>2256330630002656</t>
  </si>
  <si>
    <t>9780123472304</t>
  </si>
  <si>
    <t>30001000197600</t>
  </si>
  <si>
    <t>893560789</t>
  </si>
  <si>
    <t>QV 276 C187i 1983</t>
  </si>
  <si>
    <t>0                      QV 0276000C  187i        1983</t>
  </si>
  <si>
    <t>Intracellular calcium : its universal role as regulator / Anthony K. Campbell.</t>
  </si>
  <si>
    <t>Campbell, Anthony K.</t>
  </si>
  <si>
    <t>Chichester [West Sussex] ; New York : Wiley, c1983.</t>
  </si>
  <si>
    <t>Monographs in molecular biophysics and biochemistry</t>
  </si>
  <si>
    <t>1990-07-23</t>
  </si>
  <si>
    <t>235060726:eng</t>
  </si>
  <si>
    <t>8476156</t>
  </si>
  <si>
    <t>991000961159702656</t>
  </si>
  <si>
    <t>2271691560002656</t>
  </si>
  <si>
    <t>9780471104889</t>
  </si>
  <si>
    <t>30001000197592</t>
  </si>
  <si>
    <t>893831782</t>
  </si>
  <si>
    <t>QV 276 C3933 1987</t>
  </si>
  <si>
    <t>0                      QV 0276000C  3933        1987</t>
  </si>
  <si>
    <t>Cell calcium metabolism : physiology, biochemistry, pharmacology, and clinical implications / edited by Gary Fiskum.</t>
  </si>
  <si>
    <t>New York : Plenum Press, c1989.</t>
  </si>
  <si>
    <t>GWUMC Department of Biochemistry annual spring symposia</t>
  </si>
  <si>
    <t>1990-04-10</t>
  </si>
  <si>
    <t>1988-11-30</t>
  </si>
  <si>
    <t>808777224:eng</t>
  </si>
  <si>
    <t>19392835</t>
  </si>
  <si>
    <t>991001105009702656</t>
  </si>
  <si>
    <t>2264659040002656</t>
  </si>
  <si>
    <t>9780306430695</t>
  </si>
  <si>
    <t>30001001610650</t>
  </si>
  <si>
    <t>893268080</t>
  </si>
  <si>
    <t>QV 276 K36i 1981</t>
  </si>
  <si>
    <t>0                      QV 0276000K  36i         1981</t>
  </si>
  <si>
    <t>Intestinal calcium absorption and its regulation / author, Alexander D. Kenny.</t>
  </si>
  <si>
    <t>Kenny, Alexander D.</t>
  </si>
  <si>
    <t>Boca Raton, Fl. : CRC Press, 1981.</t>
  </si>
  <si>
    <t>1989-11-30</t>
  </si>
  <si>
    <t>508752:eng</t>
  </si>
  <si>
    <t>7171067</t>
  </si>
  <si>
    <t>991000961039702656</t>
  </si>
  <si>
    <t>2266380760002656</t>
  </si>
  <si>
    <t>9780849357015</t>
  </si>
  <si>
    <t>30001000197535</t>
  </si>
  <si>
    <t>893637888</t>
  </si>
  <si>
    <t>QV 276 M533 1982</t>
  </si>
  <si>
    <t>0                      QV 0276000M  533         1982</t>
  </si>
  <si>
    <t>Membrane transport of calcium / edited by Ernesto Carafoli.</t>
  </si>
  <si>
    <t>London ; New York : Academic Press, c1982.</t>
  </si>
  <si>
    <t>2006-04-04</t>
  </si>
  <si>
    <t>54506707:eng</t>
  </si>
  <si>
    <t>8502879</t>
  </si>
  <si>
    <t>991000960959702656</t>
  </si>
  <si>
    <t>2260679550002656</t>
  </si>
  <si>
    <t>9780121593209</t>
  </si>
  <si>
    <t>30001000197527</t>
  </si>
  <si>
    <t>893267873</t>
  </si>
  <si>
    <t>QV 276 N331c 1988</t>
  </si>
  <si>
    <t>0                      QV 0276000N  331c        1988</t>
  </si>
  <si>
    <t>Calcium antagonists / Winifred G. Nayler.</t>
  </si>
  <si>
    <t>Nayler, W.</t>
  </si>
  <si>
    <t>London ; San Diego : Academic, c1988.</t>
  </si>
  <si>
    <t>1996-01-09</t>
  </si>
  <si>
    <t>17645194:eng</t>
  </si>
  <si>
    <t>20398391</t>
  </si>
  <si>
    <t>991001124199702656</t>
  </si>
  <si>
    <t>2258654710002656</t>
  </si>
  <si>
    <t>9780125146456</t>
  </si>
  <si>
    <t>30001001615006</t>
  </si>
  <si>
    <t>893546388</t>
  </si>
  <si>
    <t>QV 276 P895 1994</t>
  </si>
  <si>
    <t>0                      QV 0276000P  895         1994</t>
  </si>
  <si>
    <t>A Practical guide to the study of calcium in living cells / edited by Richard Nuccitelli.</t>
  </si>
  <si>
    <t>San Diego : Academic Press, c1994.</t>
  </si>
  <si>
    <t>Methods in cell biology, 0091-679X ; v. 40</t>
  </si>
  <si>
    <t>1995-05-25</t>
  </si>
  <si>
    <t>14353251:eng</t>
  </si>
  <si>
    <t>30010969</t>
  </si>
  <si>
    <t>991000680009702656</t>
  </si>
  <si>
    <t>2262394950002656</t>
  </si>
  <si>
    <t>9780125228107</t>
  </si>
  <si>
    <t>30001002697219</t>
  </si>
  <si>
    <t>893815144</t>
  </si>
  <si>
    <t>QV 276 R228c 1981</t>
  </si>
  <si>
    <t>0                      QV 0276000R  228c        1981</t>
  </si>
  <si>
    <t>Calcium and cAMP as synarchic messengers / Howard Rasmussen.</t>
  </si>
  <si>
    <t>Rasmussen, Howard, 1925-</t>
  </si>
  <si>
    <t>New York : Wiley, c1981.</t>
  </si>
  <si>
    <t>1992-04-13</t>
  </si>
  <si>
    <t>28828241:eng</t>
  </si>
  <si>
    <t>7573077</t>
  </si>
  <si>
    <t>991000960879702656</t>
  </si>
  <si>
    <t>2255730750002656</t>
  </si>
  <si>
    <t>9780471083962</t>
  </si>
  <si>
    <t>30001000197501</t>
  </si>
  <si>
    <t>893278527</t>
  </si>
  <si>
    <t>QV 276 R333c 1986</t>
  </si>
  <si>
    <t>0                      QV 0276000R  333c        1986</t>
  </si>
  <si>
    <t>The Ca2+ pump of plasma membranes / authors, Alcides F. Rega, Patricio J. Garrahan.</t>
  </si>
  <si>
    <t>Rega, Alcides F.</t>
  </si>
  <si>
    <t>Boca Raton, Fla. : CRC Press, c1986.</t>
  </si>
  <si>
    <t>4855411:eng</t>
  </si>
  <si>
    <t>12107423</t>
  </si>
  <si>
    <t>991000960909702656</t>
  </si>
  <si>
    <t>2264828650002656</t>
  </si>
  <si>
    <t>9780849362538</t>
  </si>
  <si>
    <t>30001000197493</t>
  </si>
  <si>
    <t>893121056</t>
  </si>
  <si>
    <t>QV 276 R746 1987</t>
  </si>
  <si>
    <t>0                      QV 0276000R  746         1987</t>
  </si>
  <si>
    <t>The Role of calcium in drug action / section editor, M.A. Denborough.</t>
  </si>
  <si>
    <t>Oxford ; New York : Pergamon Press, c1986.</t>
  </si>
  <si>
    <t>International encyclopedia of pharmacology and therapeutics ; section 124</t>
  </si>
  <si>
    <t>1988-11-10</t>
  </si>
  <si>
    <t>6861863:eng</t>
  </si>
  <si>
    <t>13903046</t>
  </si>
  <si>
    <t>991001265389702656</t>
  </si>
  <si>
    <t>2270049610002656</t>
  </si>
  <si>
    <t>9780080341934</t>
  </si>
  <si>
    <t>30001000352676</t>
  </si>
  <si>
    <t>893832047</t>
  </si>
  <si>
    <t>QV 282 F647 1970</t>
  </si>
  <si>
    <t>0                      QV 0282000F  647         1970</t>
  </si>
  <si>
    <t>Fluoride in medicine : ([Report of] a symposium which took place at Bad Ragaz on April 17th to 19th, 1969.) / ed. by T(homas) L. Vischer.</t>
  </si>
  <si>
    <t>Bern, Stuttgart, Vienna : Hans Huber, (1970)</t>
  </si>
  <si>
    <t>1990-05-09</t>
  </si>
  <si>
    <t>1152657541:eng</t>
  </si>
  <si>
    <t>135699</t>
  </si>
  <si>
    <t>991000960839702656</t>
  </si>
  <si>
    <t>2263354940002656</t>
  </si>
  <si>
    <t>30001000197477</t>
  </si>
  <si>
    <t>893455311</t>
  </si>
  <si>
    <t>QV 282 S989c 1971</t>
  </si>
  <si>
    <t>0                      QV 0282000S  989c        1971</t>
  </si>
  <si>
    <t>Carbon-fluorine compounds : chemistry, biochemistry &amp; biological activities : a Ciba Foundation symposium.</t>
  </si>
  <si>
    <t>Symposium on Carbon-Fluorine Compounds: Chemistry, Biochemistry and Biological Activities (1971 : London, England)</t>
  </si>
  <si>
    <t>Amsterdam ; New York : Associated Scientific Publishers, 1972.</t>
  </si>
  <si>
    <t>2002-11-05</t>
  </si>
  <si>
    <t>5611228377:eng</t>
  </si>
  <si>
    <t>1164703</t>
  </si>
  <si>
    <t>991000960809702656</t>
  </si>
  <si>
    <t>2262922160002656</t>
  </si>
  <si>
    <t>9780444103734</t>
  </si>
  <si>
    <t>30001000197444</t>
  </si>
  <si>
    <t>893460170</t>
  </si>
  <si>
    <t>QV 282 W595m 1996</t>
  </si>
  <si>
    <t>0                      QV 0282000W  595m        1996</t>
  </si>
  <si>
    <t>The metabolism and toxicity of fluoride / Gary M. Whitford.</t>
  </si>
  <si>
    <t>Whitford, Gary M.</t>
  </si>
  <si>
    <t>Basel ; New York : Karger, c1996.</t>
  </si>
  <si>
    <t>2nd, rev. ed.</t>
  </si>
  <si>
    <t>Monographs in oral science ; vol. 16</t>
  </si>
  <si>
    <t>1997-06-17</t>
  </si>
  <si>
    <t>20585196:eng</t>
  </si>
  <si>
    <t>34547929</t>
  </si>
  <si>
    <t>991001254549702656</t>
  </si>
  <si>
    <t>2263568680002656</t>
  </si>
  <si>
    <t>9783805562478</t>
  </si>
  <si>
    <t>30001003683838</t>
  </si>
  <si>
    <t>893168099</t>
  </si>
  <si>
    <t>QV 290 F897c 1971</t>
  </si>
  <si>
    <t>0                      QV 0290000F  897c        1971</t>
  </si>
  <si>
    <t>Cadmium in the environment / by Lars Friberg.</t>
  </si>
  <si>
    <t>Friberg, Lars.</t>
  </si>
  <si>
    <t>Cleveland : CRC Press, c1971.</t>
  </si>
  <si>
    <t>54020068:eng</t>
  </si>
  <si>
    <t>251675</t>
  </si>
  <si>
    <t>991000960729702656</t>
  </si>
  <si>
    <t>2268579040002656</t>
  </si>
  <si>
    <t>30001000197410</t>
  </si>
  <si>
    <t>893637887</t>
  </si>
  <si>
    <t>QV 290 F897m 1972</t>
  </si>
  <si>
    <t>0                      QV 0290000F  897m        1972</t>
  </si>
  <si>
    <t>Mercury in the environment : an epidemiological and toxicological appraisal / editors, Lars Friberg, Jaroslav Vostal.</t>
  </si>
  <si>
    <t>Cleveland : CRC Press, c1972, 1976 printing.</t>
  </si>
  <si>
    <t>2002-10-06</t>
  </si>
  <si>
    <t>4928075716:eng</t>
  </si>
  <si>
    <t>4318765</t>
  </si>
  <si>
    <t>991000960769702656</t>
  </si>
  <si>
    <t>2272068520002656</t>
  </si>
  <si>
    <t>9780849350177</t>
  </si>
  <si>
    <t>30001000197402</t>
  </si>
  <si>
    <t>893460169</t>
  </si>
  <si>
    <t>QV 290 L941m 1977 v.1</t>
  </si>
  <si>
    <t>0                      QV 0290000L  941m        1977                                        v.1</t>
  </si>
  <si>
    <t>Metal toxicity in mammals / T.D. Luckey and B. Venugopal.</t>
  </si>
  <si>
    <t>Luckey, T. D. (Thomas D.), 1919-</t>
  </si>
  <si>
    <t>New York : Plenum Press, c1977.</t>
  </si>
  <si>
    <t>2002-09-16</t>
  </si>
  <si>
    <t>3901288192:eng</t>
  </si>
  <si>
    <t>2493549</t>
  </si>
  <si>
    <t>991000960689702656</t>
  </si>
  <si>
    <t>2256742070002656</t>
  </si>
  <si>
    <t>9780306371769</t>
  </si>
  <si>
    <t>30001000197386</t>
  </si>
  <si>
    <t>893546248</t>
  </si>
  <si>
    <t>30001000197394</t>
  </si>
  <si>
    <t>893546247</t>
  </si>
  <si>
    <t>QV290 M718 2001</t>
  </si>
  <si>
    <t>0                      QV 0290000M  718         2001</t>
  </si>
  <si>
    <t>Molecular mechanisms of metal toxicity and carcinogenesis / edited by Xianglin Shi... [et. al].</t>
  </si>
  <si>
    <t>Dordrecht ; Boston, MA : Kluwer Academic Pub., 2001.</t>
  </si>
  <si>
    <t>Developments in molecular and cellular biochemistry ; v. 34</t>
  </si>
  <si>
    <t>2003-01-02</t>
  </si>
  <si>
    <t>2002-12-13</t>
  </si>
  <si>
    <t>364532909:eng</t>
  </si>
  <si>
    <t>47625407</t>
  </si>
  <si>
    <t>991000333639702656</t>
  </si>
  <si>
    <t>2270003110002656</t>
  </si>
  <si>
    <t>9780792374985</t>
  </si>
  <si>
    <t>30001004500759</t>
  </si>
  <si>
    <t>893723379</t>
  </si>
  <si>
    <t>QV 290 T756 1979 pt.2</t>
  </si>
  <si>
    <t>0                      QV 0290000T  756         1979                                        pt.2</t>
  </si>
  <si>
    <t>Toxicity of heavy metals in the environment : part 2 / edited by Frederick W. Oehme.</t>
  </si>
  <si>
    <t>pt.2*</t>
  </si>
  <si>
    <t>Hazardous and toxic substances ; 2</t>
  </si>
  <si>
    <t>2000-03-20</t>
  </si>
  <si>
    <t>2864716990:eng</t>
  </si>
  <si>
    <t>4135489</t>
  </si>
  <si>
    <t>991000960659702656</t>
  </si>
  <si>
    <t>2254747310002656</t>
  </si>
  <si>
    <t>30001000197378</t>
  </si>
  <si>
    <t>893374132</t>
  </si>
  <si>
    <t>QV 292 L4344 1986</t>
  </si>
  <si>
    <t>0                      QV 0292000L  4344        1986</t>
  </si>
  <si>
    <t>Lead toxicity : history and environmental impact / edited by Richard Lansdown and William Yule.</t>
  </si>
  <si>
    <t>Baltimore : Johns Hopkins University Press, c1986.</t>
  </si>
  <si>
    <t>The Johns Hopkins series in environmental toxicology</t>
  </si>
  <si>
    <t>2002-10-03</t>
  </si>
  <si>
    <t>905982683:eng</t>
  </si>
  <si>
    <t>13270835</t>
  </si>
  <si>
    <t>991001267659702656</t>
  </si>
  <si>
    <t>2262318920002656</t>
  </si>
  <si>
    <t>9780801833380</t>
  </si>
  <si>
    <t>30001000353849</t>
  </si>
  <si>
    <t>893278915</t>
  </si>
  <si>
    <t>QV 310 K244m 1962</t>
  </si>
  <si>
    <t>0                      QV 0310000K  244m        1962</t>
  </si>
  <si>
    <t>Microaerosols : physiology, pharmacology, therapeutics.</t>
  </si>
  <si>
    <t>Dautrebande, Lucien.</t>
  </si>
  <si>
    <t>New York : Academic Press, 1962.</t>
  </si>
  <si>
    <t>1991-01-31</t>
  </si>
  <si>
    <t>8097309:eng</t>
  </si>
  <si>
    <t>14603983</t>
  </si>
  <si>
    <t>991000961629702656</t>
  </si>
  <si>
    <t>2271367420002656</t>
  </si>
  <si>
    <t>30001000197816</t>
  </si>
  <si>
    <t>893648802</t>
  </si>
  <si>
    <t>QV 312 B6152 1992</t>
  </si>
  <si>
    <t>0                      QV 0312000B  6152        1992</t>
  </si>
  <si>
    <t>Biological consequences of oxidative stress : implications for cardiovascular disease and carcinogenesis / edited by Lawrence Spatz, Arthur D. Bloom.</t>
  </si>
  <si>
    <t>New York : Oxford University Press, c1992.</t>
  </si>
  <si>
    <t>The Conte Institute series ; 1.</t>
  </si>
  <si>
    <t>2000-04-14</t>
  </si>
  <si>
    <t>1993-08-27</t>
  </si>
  <si>
    <t>836905036:eng</t>
  </si>
  <si>
    <t>24378648</t>
  </si>
  <si>
    <t>991001510459702656</t>
  </si>
  <si>
    <t>2266182950002656</t>
  </si>
  <si>
    <t>9780195072969</t>
  </si>
  <si>
    <t>30001002600726</t>
  </si>
  <si>
    <t>893741214</t>
  </si>
  <si>
    <t>QV 312 B61526 1992</t>
  </si>
  <si>
    <t>0                      QV 0312000B  61526       1992</t>
  </si>
  <si>
    <t>Biological oxidants : generation and injurious consequences / edited by Charles G. Cochrane, Michael A. Gimbrone, Jr.</t>
  </si>
  <si>
    <t>San Diego : Academic Press, c1992.</t>
  </si>
  <si>
    <t>Cellular and molecular mechanisms of inflammation, 1052-582 ; v. 4</t>
  </si>
  <si>
    <t>365416982:eng</t>
  </si>
  <si>
    <t>27196220</t>
  </si>
  <si>
    <t>991001510399702656</t>
  </si>
  <si>
    <t>2262776000002656</t>
  </si>
  <si>
    <t>9780121504045</t>
  </si>
  <si>
    <t>30001002600718</t>
  </si>
  <si>
    <t>893558046</t>
  </si>
  <si>
    <t>QV 312 C738p 1950</t>
  </si>
  <si>
    <t>0                      QV 0312000C  738p        1950</t>
  </si>
  <si>
    <t>Physiological basis for oxygen therapy / by Julius H. Comroe, Jr. and Robert D. Dripps.</t>
  </si>
  <si>
    <t>Comroe, Julius H. (Julius Hiram), 1911-</t>
  </si>
  <si>
    <t>Springfield, Ill. : Thomas, [1950]</t>
  </si>
  <si>
    <t>1950</t>
  </si>
  <si>
    <t>American lecture series, publication no. 42. American lectures in physiology</t>
  </si>
  <si>
    <t>5908593:eng</t>
  </si>
  <si>
    <t>2688911</t>
  </si>
  <si>
    <t>991000961549702656</t>
  </si>
  <si>
    <t>2260443300002656</t>
  </si>
  <si>
    <t>30001000197774</t>
  </si>
  <si>
    <t>893267874</t>
  </si>
  <si>
    <t>QV 312 F853 1992</t>
  </si>
  <si>
    <t>0                      QV 0312000F  853         1992</t>
  </si>
  <si>
    <t>Free radical mechanisms of tissue injury / editors, Mary Treinen Moslen, Charles V. Smith.</t>
  </si>
  <si>
    <t>Ann Arbor : CRC Press, c1992.</t>
  </si>
  <si>
    <t>1992-04-09</t>
  </si>
  <si>
    <t>435215365:eng</t>
  </si>
  <si>
    <t>24318415</t>
  </si>
  <si>
    <t>991001301709702656</t>
  </si>
  <si>
    <t>2272540320002656</t>
  </si>
  <si>
    <t>9780849351617</t>
  </si>
  <si>
    <t>30001002412072</t>
  </si>
  <si>
    <t>893465393</t>
  </si>
  <si>
    <t>QV 312 O9515 1997</t>
  </si>
  <si>
    <t>0                      QV 0312000O  9515        1997</t>
  </si>
  <si>
    <t>Oxidative stress and the molecular biology of antioxidant defenses / edited by John G. Scandalios.</t>
  </si>
  <si>
    <t>Plainview, N.Y. : Cold Spring Harbor Laboratory Press, c1997.</t>
  </si>
  <si>
    <t>Cold Spring Harbor monograph series ; 34</t>
  </si>
  <si>
    <t>2005-08-25</t>
  </si>
  <si>
    <t>1998-02-27</t>
  </si>
  <si>
    <t>644645:eng</t>
  </si>
  <si>
    <t>36459080</t>
  </si>
  <si>
    <t>991001564139702656</t>
  </si>
  <si>
    <t>2271021020002656</t>
  </si>
  <si>
    <t>9780879695026</t>
  </si>
  <si>
    <t>30001003669357</t>
  </si>
  <si>
    <t>893268650</t>
  </si>
  <si>
    <t>QV 312 O9558 1993</t>
  </si>
  <si>
    <t>0                      QV 0312000O  9558        1993</t>
  </si>
  <si>
    <t>Oxygen free radicals in tissue damage / Merrill Tarr, Fred Samson, editors.</t>
  </si>
  <si>
    <t>Boston : Birkhäuser, c1993.</t>
  </si>
  <si>
    <t>2001-02-21</t>
  </si>
  <si>
    <t>355816450:eng</t>
  </si>
  <si>
    <t>26220030</t>
  </si>
  <si>
    <t>991001512209702656</t>
  </si>
  <si>
    <t>2272696260002656</t>
  </si>
  <si>
    <t>9780817636098</t>
  </si>
  <si>
    <t>30001002601021</t>
  </si>
  <si>
    <t>893364212</t>
  </si>
  <si>
    <t>QV 312 O9664 1988</t>
  </si>
  <si>
    <t>0                      QV 0312000O  9664        1988</t>
  </si>
  <si>
    <t>Oxygen radicals in the pathophysiology of heart disease / edited by Pawan K. Singal.</t>
  </si>
  <si>
    <t>Boston : Nijhoff ; Norwell, MA : Distributors for the U.S. and Canada, Kluwer Academic Publishers, c1988.</t>
  </si>
  <si>
    <t>Developments in cardiovascular medicine</t>
  </si>
  <si>
    <t>1988-07-25</t>
  </si>
  <si>
    <t>15533314:eng</t>
  </si>
  <si>
    <t>17508940</t>
  </si>
  <si>
    <t>991001418989702656</t>
  </si>
  <si>
    <t>2258755440002656</t>
  </si>
  <si>
    <t>9780898383751</t>
  </si>
  <si>
    <t>30001001181652</t>
  </si>
  <si>
    <t>893455793</t>
  </si>
  <si>
    <t>QV 312 O9675 1998</t>
  </si>
  <si>
    <t>0                      QV 0312000O  9675        1998</t>
  </si>
  <si>
    <t>Oxygen regulation of ion channels and gene expression / edited by José López-Barneo, E. Kenneth Weir.</t>
  </si>
  <si>
    <t>Armonk, N.Y. : Futura Pub., c1998.</t>
  </si>
  <si>
    <t>2000-04-07</t>
  </si>
  <si>
    <t>2000-03-03</t>
  </si>
  <si>
    <t>364722051:eng</t>
  </si>
  <si>
    <t>38105647</t>
  </si>
  <si>
    <t>991000500899702656</t>
  </si>
  <si>
    <t>2268256500002656</t>
  </si>
  <si>
    <t>9780879936945</t>
  </si>
  <si>
    <t>30001003882109</t>
  </si>
  <si>
    <t>893452467</t>
  </si>
  <si>
    <t>QV 312 O968 1988</t>
  </si>
  <si>
    <t>0                      QV 0312000O  968         1988</t>
  </si>
  <si>
    <t>Oxygen sensing in tissues / Helmut Acker (editor).</t>
  </si>
  <si>
    <t>Berlin ; New York : Springer-Verlag, c1988.</t>
  </si>
  <si>
    <t>1988-12-15</t>
  </si>
  <si>
    <t>16977658:eng</t>
  </si>
  <si>
    <t>17841534</t>
  </si>
  <si>
    <t>991001105509702656</t>
  </si>
  <si>
    <t>2256764430002656</t>
  </si>
  <si>
    <t>9780387191300</t>
  </si>
  <si>
    <t>30001001610841</t>
  </si>
  <si>
    <t>893273702</t>
  </si>
  <si>
    <t>QV 312 O98 1987</t>
  </si>
  <si>
    <t>0                      QV 0312000O  98          1987</t>
  </si>
  <si>
    <t>Oxygen radicals and tissue injury : proceedings of a Brook Lodge symposium, Augusta, Michigan, U.S.A., April 27 to 29, 1987 / Barry Halliwell, editor.</t>
  </si>
  <si>
    <t>Bethesda, MD, U.S.A. : Published for the Upjohn Company by the Federation of American Societies of Experimental Biology, c1988.</t>
  </si>
  <si>
    <t>17935441:eng</t>
  </si>
  <si>
    <t>18291642</t>
  </si>
  <si>
    <t>991001322959702656</t>
  </si>
  <si>
    <t>2264619180002656</t>
  </si>
  <si>
    <t>9780913822159</t>
  </si>
  <si>
    <t>30001001754136</t>
  </si>
  <si>
    <t>893632946</t>
  </si>
  <si>
    <t>QV 312 P297 1979</t>
  </si>
  <si>
    <t>0                      QV 0312000P  297         1979</t>
  </si>
  <si>
    <t>Pathology of oxygen / edited by Anne P. Autor.</t>
  </si>
  <si>
    <t>New York : Academic Press, c1982.</t>
  </si>
  <si>
    <t>42750208:eng</t>
  </si>
  <si>
    <t>8865397</t>
  </si>
  <si>
    <t>991000961489702656</t>
  </si>
  <si>
    <t>2271583330002656</t>
  </si>
  <si>
    <t>9780120686209</t>
  </si>
  <si>
    <t>30001000197758</t>
  </si>
  <si>
    <t>893815955</t>
  </si>
  <si>
    <t>QV 350 A517</t>
  </si>
  <si>
    <t>0                      QV 0350000A  517</t>
  </si>
  <si>
    <t>Aminoglycoside antibiotics / edited by Susumu Mitsuhashi.</t>
  </si>
  <si>
    <t>Baltimore : University Park Press, [1975]</t>
  </si>
  <si>
    <t>Drug action and drug resistance in bacteria ; 2</t>
  </si>
  <si>
    <t>1997-12-12</t>
  </si>
  <si>
    <t>54034179:eng</t>
  </si>
  <si>
    <t>1288293</t>
  </si>
  <si>
    <t>991000961459702656</t>
  </si>
  <si>
    <t>2266920970002656</t>
  </si>
  <si>
    <t>30001000197733</t>
  </si>
  <si>
    <t>893551975</t>
  </si>
  <si>
    <t>QV350 A6262 2005</t>
  </si>
  <si>
    <t>0                      QV 0350000A  6262        2005</t>
  </si>
  <si>
    <t>Antibiotic optimization : concepts and strategies in clinical practice / edited by Robert C. Owens, Paul G. Ambrose, Charles H. Nightingale.</t>
  </si>
  <si>
    <t>New York : Marcel Dekker, c2005.</t>
  </si>
  <si>
    <t>Infectious disease and therapy ; v. 33</t>
  </si>
  <si>
    <t>2005-10-27</t>
  </si>
  <si>
    <t>2005-10-25</t>
  </si>
  <si>
    <t>801498198:eng</t>
  </si>
  <si>
    <t>57414693</t>
  </si>
  <si>
    <t>991000445949702656</t>
  </si>
  <si>
    <t>2270293810002656</t>
  </si>
  <si>
    <t>9780824754310</t>
  </si>
  <si>
    <t>30001004913689</t>
  </si>
  <si>
    <t>893547819</t>
  </si>
  <si>
    <t>QV 350 A629 1979</t>
  </si>
  <si>
    <t>0                      QV 0350000A  629         1979</t>
  </si>
  <si>
    <t>Antibiotic interactions / editor, J. D. Williams.</t>
  </si>
  <si>
    <t>London ; New York : Academic Press, 1979.</t>
  </si>
  <si>
    <t>1997-07-26</t>
  </si>
  <si>
    <t>471393909:eng</t>
  </si>
  <si>
    <t>6169315</t>
  </si>
  <si>
    <t>991000961429702656</t>
  </si>
  <si>
    <t>2263329050002656</t>
  </si>
  <si>
    <t>9780127563503</t>
  </si>
  <si>
    <t>30001000197725</t>
  </si>
  <si>
    <t>893273533</t>
  </si>
  <si>
    <t>QV350 A629 2003</t>
  </si>
  <si>
    <t>0                      QV 0350000A  629         2003</t>
  </si>
  <si>
    <t>Antibiotic and chemotherapy : anti-infective agents and their use in therapy.</t>
  </si>
  <si>
    <t>Edinburgh ; New York : Churchill Livingstone, 2003.</t>
  </si>
  <si>
    <t>8th ed / edited by Roger G. Finch ... [et al.].</t>
  </si>
  <si>
    <t>2010-02-08</t>
  </si>
  <si>
    <t>4915261766:eng</t>
  </si>
  <si>
    <t>52086205</t>
  </si>
  <si>
    <t>991000369439702656</t>
  </si>
  <si>
    <t>2256772800002656</t>
  </si>
  <si>
    <t>9780443071294</t>
  </si>
  <si>
    <t>30001004508794</t>
  </si>
  <si>
    <t>893832779</t>
  </si>
  <si>
    <t>QV 350 A6294 1982</t>
  </si>
  <si>
    <t>0                      QV 0350000A  6294        1982</t>
  </si>
  <si>
    <t>Antibiotics in the management of infections : outlook for the 1980's / Merck Sharp &amp; Dohme International Medical Advisory Council, Paris, France, June 14 and 15, 1982 ; editor, Alexander G. Bearn.</t>
  </si>
  <si>
    <t>New York : Raven Press, c1982.</t>
  </si>
  <si>
    <t>42852736:eng</t>
  </si>
  <si>
    <t>9044575</t>
  </si>
  <si>
    <t>991000961299702656</t>
  </si>
  <si>
    <t>2255906660002656</t>
  </si>
  <si>
    <t>30001000197683</t>
  </si>
  <si>
    <t>893637889</t>
  </si>
  <si>
    <t>QV350 A6337 2002</t>
  </si>
  <si>
    <t>0                      QV 0350000A  6337        2002</t>
  </si>
  <si>
    <t>Antimicrobial pharmacodynamics in theory and clinical practice / edited by Charles H. Nightingale, Takeo Murakawa, Paul G. Ambrose.</t>
  </si>
  <si>
    <t>New York : M. Dekker, c2002.</t>
  </si>
  <si>
    <t>Infectious disease and therapy ; v. 28</t>
  </si>
  <si>
    <t>2002-01-11</t>
  </si>
  <si>
    <t>766943375:eng</t>
  </si>
  <si>
    <t>48004909</t>
  </si>
  <si>
    <t>991000302279702656</t>
  </si>
  <si>
    <t>2270821250002656</t>
  </si>
  <si>
    <t>9780082470519</t>
  </si>
  <si>
    <t>30001004236313</t>
  </si>
  <si>
    <t>893359418</t>
  </si>
  <si>
    <t>QV 350 A636 1976a</t>
  </si>
  <si>
    <t>0                      QV 0350000A  636         1976a</t>
  </si>
  <si>
    <t>Antibiotics : a critical review / edited by W. Kuryłowicz ; contributors, W. Kuryłowicz ... [et al.].</t>
  </si>
  <si>
    <t>Warsaw : Polish Medical Publishers ; Washington : distributed in USA and Canada by American Society for Microbiology, c1976.</t>
  </si>
  <si>
    <t>1st English ed.</t>
  </si>
  <si>
    <t>1997-10-24</t>
  </si>
  <si>
    <t>3859357445:eng</t>
  </si>
  <si>
    <t>5352541</t>
  </si>
  <si>
    <t>991000961389702656</t>
  </si>
  <si>
    <t>2258108760002656</t>
  </si>
  <si>
    <t>30001000197709</t>
  </si>
  <si>
    <t>893632570</t>
  </si>
  <si>
    <t>QV 350 B265h 1950</t>
  </si>
  <si>
    <t>0                      QV 0350000B  265h        1950</t>
  </si>
  <si>
    <t>Handbook of antibiotics.</t>
  </si>
  <si>
    <t>Baron, Abraham Louis, 1907-</t>
  </si>
  <si>
    <t>New York : Reinhold, 1950.</t>
  </si>
  <si>
    <t>1995-11-25</t>
  </si>
  <si>
    <t>1802276:eng</t>
  </si>
  <si>
    <t>642967</t>
  </si>
  <si>
    <t>991000961349702656</t>
  </si>
  <si>
    <t>2262011420002656</t>
  </si>
  <si>
    <t>30001000197691</t>
  </si>
  <si>
    <t>893540864</t>
  </si>
  <si>
    <t>QV 350 E95 1997</t>
  </si>
  <si>
    <t>0                      QV 0350000E  95          1997</t>
  </si>
  <si>
    <t>Expanding indications for the new macrolides, azalides, and streptogramins / edited by Stephen H. Zinner ... [et al.].</t>
  </si>
  <si>
    <t>New York : Dekker, c1997.</t>
  </si>
  <si>
    <t>Infectious disease and therapy ; v. 21</t>
  </si>
  <si>
    <t>2002-07-26</t>
  </si>
  <si>
    <t>324006528:eng</t>
  </si>
  <si>
    <t>36598148</t>
  </si>
  <si>
    <t>991000325409702656</t>
  </si>
  <si>
    <t>2255871750002656</t>
  </si>
  <si>
    <t>9780824700560</t>
  </si>
  <si>
    <t>30001004377174</t>
  </si>
  <si>
    <t>893456560</t>
  </si>
  <si>
    <t>QV 350 G151m 1972</t>
  </si>
  <si>
    <t>0                      QV 0350000G  151m        1972</t>
  </si>
  <si>
    <t>The molecular basis of antibiotic action / E. F. Gale [et al.]</t>
  </si>
  <si>
    <t>Gale, E. F. (Ernest Frederick)</t>
  </si>
  <si>
    <t>London, New York, Wiley, 1972.</t>
  </si>
  <si>
    <t>1998-09-16</t>
  </si>
  <si>
    <t>53995370:eng</t>
  </si>
  <si>
    <t>654710</t>
  </si>
  <si>
    <t>991000159109702656</t>
  </si>
  <si>
    <t>2262261900002656</t>
  </si>
  <si>
    <t>30001000197642</t>
  </si>
  <si>
    <t>893547492</t>
  </si>
  <si>
    <t>QV 350 G568 1994</t>
  </si>
  <si>
    <t>0                      QV 0350000G  568         1994</t>
  </si>
  <si>
    <t>Glycopeptide antibiotics / edited by Ramakrishnan Nagarajan.</t>
  </si>
  <si>
    <t>New York : M. Dekker, c1994.</t>
  </si>
  <si>
    <t>Drugs and the pharmaceutical sciences ; 63</t>
  </si>
  <si>
    <t>2005-10-02</t>
  </si>
  <si>
    <t>1994-06-07</t>
  </si>
  <si>
    <t>32492473:eng</t>
  </si>
  <si>
    <t>29848265</t>
  </si>
  <si>
    <t>991001193749702656</t>
  </si>
  <si>
    <t>2263779320002656</t>
  </si>
  <si>
    <t>9780824791933</t>
  </si>
  <si>
    <t>30001002983890</t>
  </si>
  <si>
    <t>893268193</t>
  </si>
  <si>
    <t>QV 350 G686a 1967</t>
  </si>
  <si>
    <t>0                      QV 0350000G  686a        1967</t>
  </si>
  <si>
    <t>Antibiotics / edited by David Gottlieb and Paul D. Shaw.</t>
  </si>
  <si>
    <t>Gottlieb, David, 1911-1982.</t>
  </si>
  <si>
    <t>New York : Springer-Verlag, 1967</t>
  </si>
  <si>
    <t>1967</t>
  </si>
  <si>
    <t>2000-02-09</t>
  </si>
  <si>
    <t>5619093490:eng</t>
  </si>
  <si>
    <t>14245971</t>
  </si>
  <si>
    <t>991000962019702656</t>
  </si>
  <si>
    <t>2270675300002656</t>
  </si>
  <si>
    <t>30001000198053</t>
  </si>
  <si>
    <t>893731564</t>
  </si>
  <si>
    <t>30001000198061</t>
  </si>
  <si>
    <t>893727122</t>
  </si>
  <si>
    <t>QV 350 H673 1980</t>
  </si>
  <si>
    <t>0                      QV 0350000H  673         1980</t>
  </si>
  <si>
    <t>The History of antibiotics : a symposium / sponsored by the Divisions of History of Chemistry and Medicinal Chemistry, American Chemical Society Meeting, Honolulu, Hawaii, April 5, 1979 ; edited by John Parascandola.</t>
  </si>
  <si>
    <t>Madison, Wis. : American Institute of the History of Pharmacy, 1980.</t>
  </si>
  <si>
    <t>American Institute of the History of Pharmacy ; no. 5 [New series]</t>
  </si>
  <si>
    <t>2001-11-30</t>
  </si>
  <si>
    <t>865284166:eng</t>
  </si>
  <si>
    <t>7029546</t>
  </si>
  <si>
    <t>991000961929702656</t>
  </si>
  <si>
    <t>2260582560002656</t>
  </si>
  <si>
    <t>9780931292088</t>
  </si>
  <si>
    <t>30001000198012</t>
  </si>
  <si>
    <t>893358049</t>
  </si>
  <si>
    <t>QV 350 H972a 1954</t>
  </si>
  <si>
    <t>0                      QV 0350000H  972a        1954</t>
  </si>
  <si>
    <t>Antibiotics and antibiotic therapy : a clinical manual / Allen E. Hussar [and] Howard L. Holley.</t>
  </si>
  <si>
    <t>Hussar, Allen E. (Allen Elmer), 1900-</t>
  </si>
  <si>
    <t>New York : Macmillan, 1954.</t>
  </si>
  <si>
    <t>1954</t>
  </si>
  <si>
    <t>1992-11-30</t>
  </si>
  <si>
    <t>8416654:eng</t>
  </si>
  <si>
    <t>3668648</t>
  </si>
  <si>
    <t>991000961969702656</t>
  </si>
  <si>
    <t>2261875350002656</t>
  </si>
  <si>
    <t>30001000198004</t>
  </si>
  <si>
    <t>893377011</t>
  </si>
  <si>
    <t>QV 350 I61 1982</t>
  </si>
  <si>
    <t>0                      QV 0350000I  61          1982</t>
  </si>
  <si>
    <t>Proceedings, an International Conference on Trends in Antibiotic Research : genetics, biosyntheses, actions &amp; new substances / held in Tokyo, June 14-15, 1982 ; edited by Hamao Umezawa ... [et al.]</t>
  </si>
  <si>
    <t>International Conference on Trends in Antibiotic Research (1982 : Tokyo, Japan)</t>
  </si>
  <si>
    <t>Tokyo : Japan Antibiotics Research Association, c1982.</t>
  </si>
  <si>
    <t xml:space="preserve">ja </t>
  </si>
  <si>
    <t>2002-04-04</t>
  </si>
  <si>
    <t>43316383:eng</t>
  </si>
  <si>
    <t>9517423</t>
  </si>
  <si>
    <t>991000961889702656</t>
  </si>
  <si>
    <t>2267227400002656</t>
  </si>
  <si>
    <t>30001000197998</t>
  </si>
  <si>
    <t>893831783</t>
  </si>
  <si>
    <t>QV 350 M378m 1958</t>
  </si>
  <si>
    <t>0                      QV 0350000M  378m        1958</t>
  </si>
  <si>
    <t>Men, molds, and history.</t>
  </si>
  <si>
    <t>Martí-Ibáñez, Félix, 1915-1972.</t>
  </si>
  <si>
    <t>New York : MD Publications, inc., [1958]</t>
  </si>
  <si>
    <t>1958</t>
  </si>
  <si>
    <t>1615472:eng</t>
  </si>
  <si>
    <t>654951</t>
  </si>
  <si>
    <t>991000961839702656</t>
  </si>
  <si>
    <t>2262108940002656</t>
  </si>
  <si>
    <t>30001000197949</t>
  </si>
  <si>
    <t>893368934</t>
  </si>
  <si>
    <t>QV 350 M478o 1982</t>
  </si>
  <si>
    <t>0                      QV 0350000M  478o        1982</t>
  </si>
  <si>
    <t>Outline guide to antimicrobial therapy / John E. McGowan, Jr.</t>
  </si>
  <si>
    <t>McGowan, John E., 1942-</t>
  </si>
  <si>
    <t>Oradell, N.J. : Medical Economics Co., c1982.</t>
  </si>
  <si>
    <t>1151153909:eng</t>
  </si>
  <si>
    <t>7671677</t>
  </si>
  <si>
    <t>991000961789702656</t>
  </si>
  <si>
    <t>2270023120002656</t>
  </si>
  <si>
    <t>9780874892499</t>
  </si>
  <si>
    <t>30001000197915</t>
  </si>
  <si>
    <t>893450651</t>
  </si>
  <si>
    <t>QV 350 M613a 1991</t>
  </si>
  <si>
    <t>0                      QV 0350000M  613a        1991</t>
  </si>
  <si>
    <t>Antimicrobial therapy guide / by Burt R. Meyers.</t>
  </si>
  <si>
    <t>Meyers, Burt R.</t>
  </si>
  <si>
    <t>Newtown, Pa. : Antimicrobial Prescribing, Inc., c1991.</t>
  </si>
  <si>
    <t>6th ed. 1991.</t>
  </si>
  <si>
    <t>1991-07-23</t>
  </si>
  <si>
    <t>1151207764:eng</t>
  </si>
  <si>
    <t>23942893</t>
  </si>
  <si>
    <t>991000943469702656</t>
  </si>
  <si>
    <t>2268915460002656</t>
  </si>
  <si>
    <t>30001002193177</t>
  </si>
  <si>
    <t>893820741</t>
  </si>
  <si>
    <t>QV350 M626 1989</t>
  </si>
  <si>
    <t>0                      QV 0350000M  626         1989</t>
  </si>
  <si>
    <t>Microbial resistance to drugs / contributors, A. Böck ... [et al.] ; editor, L.E. Bryan.</t>
  </si>
  <si>
    <t>Berlin ; New York : Springer-Verlag, c1989.</t>
  </si>
  <si>
    <t>Handbook of experimental pharmacology ; v. 91</t>
  </si>
  <si>
    <t>1989-10-13</t>
  </si>
  <si>
    <t>365124049:eng</t>
  </si>
  <si>
    <t>19130217</t>
  </si>
  <si>
    <t>991001354739702656</t>
  </si>
  <si>
    <t>2261580830002656</t>
  </si>
  <si>
    <t>9780387503189</t>
  </si>
  <si>
    <t>30001001795584</t>
  </si>
  <si>
    <t>893651990</t>
  </si>
  <si>
    <t>QV 350 P376a 1981</t>
  </si>
  <si>
    <t>0                      QV 0350000P  376a        1981</t>
  </si>
  <si>
    <t>Antibiotics in clinical medicine : case studies : 50 case histories related to the antibiotic treatment and prophylaxis of infectious diseases / by P. Samuel Pegram, and Joseph E. Johnson, III.</t>
  </si>
  <si>
    <t>Pegram, P. Samuel.</t>
  </si>
  <si>
    <t>Garden City, N.Y. : Medical Examination Pub. Co., c1981.</t>
  </si>
  <si>
    <t>27355199:eng</t>
  </si>
  <si>
    <t>7463205</t>
  </si>
  <si>
    <t>991000961749702656</t>
  </si>
  <si>
    <t>2259596250002656</t>
  </si>
  <si>
    <t>9780087488199</t>
  </si>
  <si>
    <t>30001000197899</t>
  </si>
  <si>
    <t>893727121</t>
  </si>
  <si>
    <t>QV 350 P916a 1953</t>
  </si>
  <si>
    <t>0                      QV 0350000P  916a        1953</t>
  </si>
  <si>
    <t>Antibiotics / by Robertson Pratt and Jean Dufrenoy.</t>
  </si>
  <si>
    <t>Pratt, Robertson, 1909-1976.</t>
  </si>
  <si>
    <t>Philadelphia : Lippincott, 1953.</t>
  </si>
  <si>
    <t>1953</t>
  </si>
  <si>
    <t>196102326:eng</t>
  </si>
  <si>
    <t>1558942</t>
  </si>
  <si>
    <t>991000961709702656</t>
  </si>
  <si>
    <t>2266883450002656</t>
  </si>
  <si>
    <t>30001000197881</t>
  </si>
  <si>
    <t>893557435</t>
  </si>
  <si>
    <t>QV 350 P957 1998</t>
  </si>
  <si>
    <t>0                      QV 0350000P  957         1998</t>
  </si>
  <si>
    <t>Principles of judicious use of antimicrobial agents : a compendium for the health care professional / American Academy of Pediatrics.</t>
  </si>
  <si>
    <t>Elk Grove Village, IL : American Academy of Pediatrics, 1998.</t>
  </si>
  <si>
    <t>1999-06-23</t>
  </si>
  <si>
    <t>33209524:eng</t>
  </si>
  <si>
    <t>44267945</t>
  </si>
  <si>
    <t>991001550029702656</t>
  </si>
  <si>
    <t>2270361670002656</t>
  </si>
  <si>
    <t>9781581100211</t>
  </si>
  <si>
    <t>30001004071652</t>
  </si>
  <si>
    <t>893149330</t>
  </si>
  <si>
    <t>QV350 S215r 1983</t>
  </si>
  <si>
    <t>0                      QV 0350000S  215r        1983</t>
  </si>
  <si>
    <t>Resistance to beta-lactam antibiotics : new challenges from old enzymes / Christine C. Sanders.</t>
  </si>
  <si>
    <t>Sanders, Christine C.</t>
  </si>
  <si>
    <t>Kalamazoo, MI : Upjohn Co., c1983.</t>
  </si>
  <si>
    <t>1999-10-12</t>
  </si>
  <si>
    <t>12215258:eng</t>
  </si>
  <si>
    <t>16416478</t>
  </si>
  <si>
    <t>991001276909702656</t>
  </si>
  <si>
    <t>2260874320002656</t>
  </si>
  <si>
    <t>30001000359697</t>
  </si>
  <si>
    <t>893278923</t>
  </si>
  <si>
    <t>QV 350 W111a 1983</t>
  </si>
  <si>
    <t>0                      QV 0350000W  111a        1983</t>
  </si>
  <si>
    <t>Antibiotic choice : the importance of colonisation resistance / Dirk van der Waaij.</t>
  </si>
  <si>
    <t>Waaij, Dirk van der, 1931-</t>
  </si>
  <si>
    <t>Chichester ; New York : Research Studies Press, c1983.</t>
  </si>
  <si>
    <t>Antimicrobial chemotherapy series ; 5</t>
  </si>
  <si>
    <t>3237212:eng</t>
  </si>
  <si>
    <t>10174746</t>
  </si>
  <si>
    <t>991000962509702656</t>
  </si>
  <si>
    <t>2268295030002656</t>
  </si>
  <si>
    <t>9780471901655</t>
  </si>
  <si>
    <t>30001000198285</t>
  </si>
  <si>
    <t>893560790</t>
  </si>
  <si>
    <t>QV 350 W439a 1951</t>
  </si>
  <si>
    <t>0                      QV 0350000W  439a        1951</t>
  </si>
  <si>
    <t>Antibiotic therapy / by Henry Welch and Charles N. Lewis ; Foreword by Chester S. Keefer.</t>
  </si>
  <si>
    <t>Welch, Henry, 1902-</t>
  </si>
  <si>
    <t>Washington : Arundel Press, 1951</t>
  </si>
  <si>
    <t>1997-09-28</t>
  </si>
  <si>
    <t>288197784:eng</t>
  </si>
  <si>
    <t>3199443</t>
  </si>
  <si>
    <t>991000962449702656</t>
  </si>
  <si>
    <t>2262174300002656</t>
  </si>
  <si>
    <t>30001000198251</t>
  </si>
  <si>
    <t>893831786</t>
  </si>
  <si>
    <t>QV 350 WH38p 1954</t>
  </si>
  <si>
    <t>0                      QV 0350000WH 38p         1954</t>
  </si>
  <si>
    <t>Principles and practice of antibiotic therapy / by Henry Welch in collaboration with [Alson E.] Braley [and others] Specially edited by Félix Martí-Ibáñex.</t>
  </si>
  <si>
    <t>New York : Medical Encyclopedia, Inc.; distributed by Blakiston Co., 1954.</t>
  </si>
  <si>
    <t>229700322:eng</t>
  </si>
  <si>
    <t>2392199</t>
  </si>
  <si>
    <t>991000962419702656</t>
  </si>
  <si>
    <t>2268825840002656</t>
  </si>
  <si>
    <t>30001000198244</t>
  </si>
  <si>
    <t>893831785</t>
  </si>
  <si>
    <t>QV 354 A127r 1945</t>
  </si>
  <si>
    <t>0                      QV 0354000A  127r        1945</t>
  </si>
  <si>
    <t>A review of the present information concerning penicillin / Abbott Laboratories.</t>
  </si>
  <si>
    <t>Abbott Laboratories.</t>
  </si>
  <si>
    <t>North Chicago, IL. : Abbott Laboratories, c1945.</t>
  </si>
  <si>
    <t>1945</t>
  </si>
  <si>
    <t>Completely rev. ed.</t>
  </si>
  <si>
    <t>2000-01-22</t>
  </si>
  <si>
    <t>2931532:eng</t>
  </si>
  <si>
    <t>2108511</t>
  </si>
  <si>
    <t>991000962379702656</t>
  </si>
  <si>
    <t>2257419160002656</t>
  </si>
  <si>
    <t>30001000198236</t>
  </si>
  <si>
    <t>893465050</t>
  </si>
  <si>
    <t>QV 354 F598p 1946</t>
  </si>
  <si>
    <t>0                      QV 0354000F  598p        1946</t>
  </si>
  <si>
    <t>Penicillin : its practical application / under the general editorship of Professor Sir Alexander Fleming.</t>
  </si>
  <si>
    <t>Fleming, Alexander, Sir, 1881-1955 editor.</t>
  </si>
  <si>
    <t>Philadelphia : Blakiston, 1946.</t>
  </si>
  <si>
    <t>356202898:eng</t>
  </si>
  <si>
    <t>3251217</t>
  </si>
  <si>
    <t>991000962299702656</t>
  </si>
  <si>
    <t>2256886950002656</t>
  </si>
  <si>
    <t>30001000198210</t>
  </si>
  <si>
    <t>893643081</t>
  </si>
  <si>
    <t>QV 354 H564p 1945</t>
  </si>
  <si>
    <t>0                      QV 0354000H  564p        1945</t>
  </si>
  <si>
    <t>Penicillin and other antibiotic agents / by Wallace E. Herrell.</t>
  </si>
  <si>
    <t>Herrell, Wallace Edgar.</t>
  </si>
  <si>
    <t>Philadelphia : Saunders, c1945.</t>
  </si>
  <si>
    <t>158682936:eng</t>
  </si>
  <si>
    <t>3641644</t>
  </si>
  <si>
    <t>991000962339702656</t>
  </si>
  <si>
    <t>2260351260002656</t>
  </si>
  <si>
    <t>30001000198202</t>
  </si>
  <si>
    <t>893557436</t>
  </si>
  <si>
    <t>QV 354 N277c 1949</t>
  </si>
  <si>
    <t>0                      QV 0354000N  277c        1949</t>
  </si>
  <si>
    <t>The chemistry of penicillin : report on a collaborative investigation by American and British chemists under the joint sponsorship of the Office of Scientific Research and Development, Washington, D.C., and the Medical Research Council, London / Comp. under the auspices of the National Academy of Sciences, Washington, D.C., pursuant to a contract with the Office of Scientific Research and Development. Editorial Board: Hans T. Clarke, John R. Johnson, Sir Robert Robinson.</t>
  </si>
  <si>
    <t>National Academy of Sciences (U.S.).</t>
  </si>
  <si>
    <t>Princeton : Princeton Univ. Press, c1949.</t>
  </si>
  <si>
    <t>1949</t>
  </si>
  <si>
    <t>4916486565:eng</t>
  </si>
  <si>
    <t>14646149</t>
  </si>
  <si>
    <t>991000962239702656</t>
  </si>
  <si>
    <t>2262203690002656</t>
  </si>
  <si>
    <t>30001000198194</t>
  </si>
  <si>
    <t>893278528</t>
  </si>
  <si>
    <t>QV 354 S541e 1982</t>
  </si>
  <si>
    <t>0                      QV 0354000S  541e        1982</t>
  </si>
  <si>
    <t>The enchanted ring : the untold story of penicillin / John C. Sheehan.</t>
  </si>
  <si>
    <t>Sheehan, John C.</t>
  </si>
  <si>
    <t>Cambridge, Mass. : MIT Press, c1982.</t>
  </si>
  <si>
    <t>2004-02-07</t>
  </si>
  <si>
    <t>21539601:eng</t>
  </si>
  <si>
    <t>8170304</t>
  </si>
  <si>
    <t>991000962119702656</t>
  </si>
  <si>
    <t>2264829690002656</t>
  </si>
  <si>
    <t>9780262192040</t>
  </si>
  <si>
    <t>30001000198160</t>
  </si>
  <si>
    <t>893727123</t>
  </si>
  <si>
    <t>QV 354 S654p 1951</t>
  </si>
  <si>
    <t>0                      QV 0354000S  654p        1951</t>
  </si>
  <si>
    <t>Penicillin decade, 1941-1951 : sensitizations and toxicities / by Lawrence Weld Smith and Ann Dolan Walker.</t>
  </si>
  <si>
    <t>Smith, Lawrence Weld.</t>
  </si>
  <si>
    <t>Washington : Arundel Press, c1951.</t>
  </si>
  <si>
    <t>1460057:eng</t>
  </si>
  <si>
    <t>374418</t>
  </si>
  <si>
    <t>991000962199702656</t>
  </si>
  <si>
    <t>2262411940002656</t>
  </si>
  <si>
    <t>30001000198186</t>
  </si>
  <si>
    <t>893740612</t>
  </si>
  <si>
    <t>QV 600 A681p 1979</t>
  </si>
  <si>
    <t>0                      QV 0600000A  681p        1979</t>
  </si>
  <si>
    <t>Poisoning : toxicology, symptoms, treatments / by Jay M. Arena.</t>
  </si>
  <si>
    <t>Arena, Jay M.</t>
  </si>
  <si>
    <t>Springfield, Ill. : Thomas, c1979.</t>
  </si>
  <si>
    <t>American lecture series ; no. 1019 : American lectures in living chemistry</t>
  </si>
  <si>
    <t>1988-12-30</t>
  </si>
  <si>
    <t>1293907:eng</t>
  </si>
  <si>
    <t>3845104</t>
  </si>
  <si>
    <t>991000499149702656</t>
  </si>
  <si>
    <t>2260605090002656</t>
  </si>
  <si>
    <t>9780398037673</t>
  </si>
  <si>
    <t>30001000198103</t>
  </si>
  <si>
    <t>893811785</t>
  </si>
  <si>
    <t>QV600 C335 2001</t>
  </si>
  <si>
    <t>0                      QV 0600000C  335         2001</t>
  </si>
  <si>
    <t>Casarett and Doull's toxicology : the basic science of poisons / editor, Curtis D. Klaassen.</t>
  </si>
  <si>
    <t>New York : McGraw-Hill Medical Pub. Division, c2001.</t>
  </si>
  <si>
    <t>2006-11-08</t>
  </si>
  <si>
    <t>2001-12-19</t>
  </si>
  <si>
    <t>1077431058:eng</t>
  </si>
  <si>
    <t>47965382</t>
  </si>
  <si>
    <t>991000298519702656</t>
  </si>
  <si>
    <t>2268932670002656</t>
  </si>
  <si>
    <t>9780071124539</t>
  </si>
  <si>
    <t>30001004560340</t>
  </si>
  <si>
    <t>893553374</t>
  </si>
  <si>
    <t>QV 600 C639 1983</t>
  </si>
  <si>
    <t>0                      QV 0600000C  639         1983</t>
  </si>
  <si>
    <t>Clinical management of poisoning and drug overdose / [editors] Lester M. Haddad, James Winchester.</t>
  </si>
  <si>
    <t>Philadelphia : Saunders, c1983.</t>
  </si>
  <si>
    <t>1996-10-09</t>
  </si>
  <si>
    <t>1988-03-30</t>
  </si>
  <si>
    <t>364727154:eng</t>
  </si>
  <si>
    <t>8284278</t>
  </si>
  <si>
    <t>991000962929702656</t>
  </si>
  <si>
    <t>2268045800002656</t>
  </si>
  <si>
    <t>9780721644479</t>
  </si>
  <si>
    <t>30001000198475</t>
  </si>
  <si>
    <t>893731565</t>
  </si>
  <si>
    <t>QV 600 C641 1976</t>
  </si>
  <si>
    <t>0                      QV 0600000C  641         1976</t>
  </si>
  <si>
    <t>Clinical toxicology of commercial products : acute poisoning / Robert E. Gosselin ... [et al.].</t>
  </si>
  <si>
    <t>Baltimore : Williams &amp; Wilkins, 1976.</t>
  </si>
  <si>
    <t>1987-12-04</t>
  </si>
  <si>
    <t>4928217824:eng</t>
  </si>
  <si>
    <t>1341470</t>
  </si>
  <si>
    <t>991001281629702656</t>
  </si>
  <si>
    <t>2262392820002656</t>
  </si>
  <si>
    <t>9780683036312</t>
  </si>
  <si>
    <t>30001000368888</t>
  </si>
  <si>
    <t>893740932</t>
  </si>
  <si>
    <t>QV 600 C6415 1982</t>
  </si>
  <si>
    <t>0                      QV 0600000C  6415        1982</t>
  </si>
  <si>
    <t>Clinical toxicology of drugs : principles and practice / [edited by] Vasilios A. Skoutakis.</t>
  </si>
  <si>
    <t>Philadelphia : Lea &amp; Febiger, c1982.</t>
  </si>
  <si>
    <t>2001-10-18</t>
  </si>
  <si>
    <t>472249:eng</t>
  </si>
  <si>
    <t>8111248</t>
  </si>
  <si>
    <t>991001006529702656</t>
  </si>
  <si>
    <t>2268955150002656</t>
  </si>
  <si>
    <t>9780812108071</t>
  </si>
  <si>
    <t>30001000902017</t>
  </si>
  <si>
    <t>893284309</t>
  </si>
  <si>
    <t>QV 600 D771h 1983 c.2</t>
  </si>
  <si>
    <t>0                      QV 0600000D  771h        1983                                        c.2</t>
  </si>
  <si>
    <t>Handbook of poisoning : prevention, diagnosis, &amp; treatment / Robert H. Dreisbach.</t>
  </si>
  <si>
    <t>c.2*</t>
  </si>
  <si>
    <t>Los Altos, Calif. : Lange Medical Publications, c1983.</t>
  </si>
  <si>
    <t>1997-08-30</t>
  </si>
  <si>
    <t>9683943</t>
  </si>
  <si>
    <t>991000748129702656</t>
  </si>
  <si>
    <t>2262092770002656</t>
  </si>
  <si>
    <t>9780870410758</t>
  </si>
  <si>
    <t>30001000046534</t>
  </si>
  <si>
    <t>893267309</t>
  </si>
  <si>
    <t>QV600 G618 2002</t>
  </si>
  <si>
    <t>0                      QV 0600000G  618         2002</t>
  </si>
  <si>
    <t>Goldfrank's toxicologic emergencies / [edited by] Lewis R. Goldfrank ... [et al.] ; with 116 contributors.</t>
  </si>
  <si>
    <t>New York : McGraw-Hill Medical Pub. Division, c2002.</t>
  </si>
  <si>
    <t>2005-07-28</t>
  </si>
  <si>
    <t>1077195727:eng</t>
  </si>
  <si>
    <t>48177200</t>
  </si>
  <si>
    <t>991000333899702656</t>
  </si>
  <si>
    <t>2255886790002656</t>
  </si>
  <si>
    <t>9780071360012</t>
  </si>
  <si>
    <t>30001004500841</t>
  </si>
  <si>
    <t>893728300</t>
  </si>
  <si>
    <t>QV600 G6785p 1994</t>
  </si>
  <si>
    <t>0                      QV 0600000G  6785p       1994</t>
  </si>
  <si>
    <t>Principles of clinical toxicology / Thomas A. Gossel, J. Douglas Bricker.</t>
  </si>
  <si>
    <t>Gossel, Thomas A.</t>
  </si>
  <si>
    <t>New York : Raven Press, c1994.</t>
  </si>
  <si>
    <t>2010-10-06</t>
  </si>
  <si>
    <t>2002-07-02</t>
  </si>
  <si>
    <t>3010345:eng</t>
  </si>
  <si>
    <t>28965101</t>
  </si>
  <si>
    <t>991000320899702656</t>
  </si>
  <si>
    <t>2256838350002656</t>
  </si>
  <si>
    <t>9780781701259</t>
  </si>
  <si>
    <t>30001004442515</t>
  </si>
  <si>
    <t>893122973</t>
  </si>
  <si>
    <t>QV 600 I61n 1998</t>
  </si>
  <si>
    <t>0                      QV 0600000I  61n         1998</t>
  </si>
  <si>
    <t>Natural antioxidants and anticarcinogens in nutrition, health and disease / edited by J.T. Kumpulainen, J.T. Salonen.</t>
  </si>
  <si>
    <t>International Conference on Natural Antioxidants and Anticarcinogens in Nutrition, Health and Disease (2nd : 1998 : Helsinki, Finland)</t>
  </si>
  <si>
    <t>Cambridge : Royal Society of Chemistry, c1999.</t>
  </si>
  <si>
    <t>Special publication ; no. 240</t>
  </si>
  <si>
    <t>2001-03-06</t>
  </si>
  <si>
    <t>1999-09-30</t>
  </si>
  <si>
    <t>9936918464:eng</t>
  </si>
  <si>
    <t>47013533</t>
  </si>
  <si>
    <t>991001565289702656</t>
  </si>
  <si>
    <t>2268166540002656</t>
  </si>
  <si>
    <t>9780854047932</t>
  </si>
  <si>
    <t>30001004015030</t>
  </si>
  <si>
    <t>893374742</t>
  </si>
  <si>
    <t>QV 600 L863e 1978</t>
  </si>
  <si>
    <t>0                      QV 0600000L  863e        1978</t>
  </si>
  <si>
    <t>Essentials of toxicology / Ted A. Loomis.</t>
  </si>
  <si>
    <t>Loomis, Ted A.</t>
  </si>
  <si>
    <t>Philadelphia : Lea &amp; Febiger, 1978.</t>
  </si>
  <si>
    <t>-- 3d ed. --</t>
  </si>
  <si>
    <t>1995-01-25</t>
  </si>
  <si>
    <t>472156:eng</t>
  </si>
  <si>
    <t>3892709</t>
  </si>
  <si>
    <t>991000962759702656</t>
  </si>
  <si>
    <t>2272321330002656</t>
  </si>
  <si>
    <t>9780812106473</t>
  </si>
  <si>
    <t>30001000198426</t>
  </si>
  <si>
    <t>893740613</t>
  </si>
  <si>
    <t>QV 600 M437t 1975</t>
  </si>
  <si>
    <t>0                      QV 0600000M  437t        1975</t>
  </si>
  <si>
    <t>Treatment of common acute poisonings / Henry Matthew, Alexander A.H. Lawson ; foreword by Sir Derrick Dunlop.</t>
  </si>
  <si>
    <t>Matthew, Henry.</t>
  </si>
  <si>
    <t>Edinburgh ; New York : Churchill Livingstone ; New York : distributed by Longman, 1975.</t>
  </si>
  <si>
    <t>1996-10-15</t>
  </si>
  <si>
    <t>1988-08-23</t>
  </si>
  <si>
    <t>1332510:eng</t>
  </si>
  <si>
    <t>1157661</t>
  </si>
  <si>
    <t>991000962819702656</t>
  </si>
  <si>
    <t>2264044570002656</t>
  </si>
  <si>
    <t>9780443012174</t>
  </si>
  <si>
    <t>30001000198442</t>
  </si>
  <si>
    <t>893363588</t>
  </si>
  <si>
    <t>QV600 M489 1997</t>
  </si>
  <si>
    <t>0                      QV 0600000M  489         1997</t>
  </si>
  <si>
    <t>Ellenhorn's medical toxicology : diagnosis and treatment of human poisoning / Matthew J. Ellenhorn ... [et al.]. ; technical associate, Sylvia Syma Ellenhorn.</t>
  </si>
  <si>
    <t>Baltimore : Williams &amp; Wilkins, c1997.</t>
  </si>
  <si>
    <t>2009-07-13</t>
  </si>
  <si>
    <t>3856640534:eng</t>
  </si>
  <si>
    <t>34471102</t>
  </si>
  <si>
    <t>991000838819702656</t>
  </si>
  <si>
    <t>2264563310002656</t>
  </si>
  <si>
    <t>9780683300314</t>
  </si>
  <si>
    <t>30001003443431</t>
  </si>
  <si>
    <t>893455173</t>
  </si>
  <si>
    <t>QV 600 O33t 1981</t>
  </si>
  <si>
    <t>0                      QV 0600000O  33t         1981</t>
  </si>
  <si>
    <t>Toxicants and drugs : kinetics and dynamics / Ellen J. O'Flaherty.</t>
  </si>
  <si>
    <t>O'Flaherty, Ellen J., 1936-</t>
  </si>
  <si>
    <t>311637230:eng</t>
  </si>
  <si>
    <t>6861807</t>
  </si>
  <si>
    <t>991000962709702656</t>
  </si>
  <si>
    <t>2268695420002656</t>
  </si>
  <si>
    <t>9780471060475</t>
  </si>
  <si>
    <t>30001000198368</t>
  </si>
  <si>
    <t>893363587</t>
  </si>
  <si>
    <t>QV600 O85c 1981</t>
  </si>
  <si>
    <t>0                      QV 0600000O  85c         1981</t>
  </si>
  <si>
    <t>Case studies in poisoning : a compilation of 50 clinical studies / Shirley K. Osterhout.</t>
  </si>
  <si>
    <t>Osterhout, Shirley K.</t>
  </si>
  <si>
    <t>2003-08-27</t>
  </si>
  <si>
    <t>28571782:eng</t>
  </si>
  <si>
    <t>7554508</t>
  </si>
  <si>
    <t>991000962669702656</t>
  </si>
  <si>
    <t>2264761980002656</t>
  </si>
  <si>
    <t>9780874880618</t>
  </si>
  <si>
    <t>30001000198350</t>
  </si>
  <si>
    <t>893278529</t>
  </si>
  <si>
    <t>QV 600 P754 1983</t>
  </si>
  <si>
    <t>0                      QV 0600000P  754         1983</t>
  </si>
  <si>
    <t>Poisoning &amp; overdose / Marc J. Bayer, Barry H. Rumack, editors.</t>
  </si>
  <si>
    <t>Rockville, Md. : Aspen Systems Corp., c1983.</t>
  </si>
  <si>
    <t>1780608559:eng</t>
  </si>
  <si>
    <t>8667547</t>
  </si>
  <si>
    <t>991000962639702656</t>
  </si>
  <si>
    <t>2271016480002656</t>
  </si>
  <si>
    <t>9780894438097</t>
  </si>
  <si>
    <t>30001000198343</t>
  </si>
  <si>
    <t>893455312</t>
  </si>
  <si>
    <t>QV 600 P754 1990</t>
  </si>
  <si>
    <t>0                      QV 0600000P  754         1990</t>
  </si>
  <si>
    <t>Poisoning &amp; drug overdose / San Francisco Bay Area Regional Poison Control Center ; edited by Kent R. Olson ... [et al.].</t>
  </si>
  <si>
    <t>Norwalk, CT : Appleton &amp; Lange, c1990.</t>
  </si>
  <si>
    <t>A Lange clinical manual.</t>
  </si>
  <si>
    <t>1990-11-27</t>
  </si>
  <si>
    <t>1077482972:eng</t>
  </si>
  <si>
    <t>26318597</t>
  </si>
  <si>
    <t>991000781099702656</t>
  </si>
  <si>
    <t>2260975770002656</t>
  </si>
  <si>
    <t>9780838512975</t>
  </si>
  <si>
    <t>30001002064618</t>
  </si>
  <si>
    <t>893551594</t>
  </si>
  <si>
    <t>QV600 P957 2001</t>
  </si>
  <si>
    <t>0                      QV 0600000P  957         2001</t>
  </si>
  <si>
    <t>Principles and methods of toxicology / edited by A. Wallace Hayes.</t>
  </si>
  <si>
    <t>Philadelphia, PA : Taylor &amp; Francis, c2001.</t>
  </si>
  <si>
    <t>2004-09-24</t>
  </si>
  <si>
    <t>2003-04-14</t>
  </si>
  <si>
    <t>54539327:eng</t>
  </si>
  <si>
    <t>43800997</t>
  </si>
  <si>
    <t>991000344709702656</t>
  </si>
  <si>
    <t>2259434580002656</t>
  </si>
  <si>
    <t>9781560328148</t>
  </si>
  <si>
    <t>30001004502698</t>
  </si>
  <si>
    <t>893452052</t>
  </si>
  <si>
    <t>QV 600 S464 1984</t>
  </si>
  <si>
    <t>0                      QV 0600000S  464         1984</t>
  </si>
  <si>
    <t>The Selection of doses in chronic toxicity/carcinogenicity studies : age associated (geriatric) pathology, its impact on long-term toxicity studies / edited by H.C. Grice.</t>
  </si>
  <si>
    <t>New York : Springer-Verlag, c1984.</t>
  </si>
  <si>
    <t>Current issues in toxicology</t>
  </si>
  <si>
    <t>1995-07-14</t>
  </si>
  <si>
    <t>43724034:eng</t>
  </si>
  <si>
    <t>9645383</t>
  </si>
  <si>
    <t>991000962069702656</t>
  </si>
  <si>
    <t>2269612520002656</t>
  </si>
  <si>
    <t>9780387128450</t>
  </si>
  <si>
    <t>30001000198145</t>
  </si>
  <si>
    <t>893831784</t>
  </si>
  <si>
    <t>QV 600 T434c 1972</t>
  </si>
  <si>
    <t>0                      QV 0600000T  434c        1972</t>
  </si>
  <si>
    <t>Clinical toxicology / Clinton H. Thienes, Thomas J. Haley.</t>
  </si>
  <si>
    <t>Thienes, Clinton H. (Clinton Hobart), 1896-1976.</t>
  </si>
  <si>
    <t>Philadelphia : Lea &amp; Febiger, c1972.</t>
  </si>
  <si>
    <t>2572368:eng</t>
  </si>
  <si>
    <t>16210229</t>
  </si>
  <si>
    <t>991000962589702656</t>
  </si>
  <si>
    <t>2258256520002656</t>
  </si>
  <si>
    <t>9780812102376</t>
  </si>
  <si>
    <t>30001000198335</t>
  </si>
  <si>
    <t>893284183</t>
  </si>
  <si>
    <t>QV 600 T7535 1984</t>
  </si>
  <si>
    <t>0                      QV 0600000T  7535        1984</t>
  </si>
  <si>
    <t>Toxic emergencies / edited by William Hanson, Jr.</t>
  </si>
  <si>
    <t>New York : Churchill Livingstone, c1984.</t>
  </si>
  <si>
    <t>Clinics in emergency medicine ; 5</t>
  </si>
  <si>
    <t>1988-09-28</t>
  </si>
  <si>
    <t>366637107:eng</t>
  </si>
  <si>
    <t>10695845</t>
  </si>
  <si>
    <t>991001091069702656</t>
  </si>
  <si>
    <t>2256416920002656</t>
  </si>
  <si>
    <t>9780443081965</t>
  </si>
  <si>
    <t>30001000262719</t>
  </si>
  <si>
    <t>893743624</t>
  </si>
  <si>
    <t>QV 600 T75436 1990</t>
  </si>
  <si>
    <t>0                      QV 0600000T  75436       1990</t>
  </si>
  <si>
    <t>Goldfrank's toxicologic emergencies / editors, Lewis R. Goldfrank ... [et al.].</t>
  </si>
  <si>
    <t>Toxicologic emergencies.</t>
  </si>
  <si>
    <t>Norwalk, Conn. : Appleton &amp; Lange, c1990.</t>
  </si>
  <si>
    <t>20566807</t>
  </si>
  <si>
    <t>991000821479702656</t>
  </si>
  <si>
    <t>2260413520002656</t>
  </si>
  <si>
    <t>30001002087601</t>
  </si>
  <si>
    <t>893731342</t>
  </si>
  <si>
    <t>QV 600 T755 1981 v.1</t>
  </si>
  <si>
    <t>0                      QV 0600000T  755         1981                                        v.1</t>
  </si>
  <si>
    <t>Toxicology : principles and practice : Volume 1 / edited by Andrew L. Reeves.</t>
  </si>
  <si>
    <t>V.1</t>
  </si>
  <si>
    <t>1993-02-26</t>
  </si>
  <si>
    <t>866844399:eng</t>
  </si>
  <si>
    <t>6554790</t>
  </si>
  <si>
    <t>991000962549702656</t>
  </si>
  <si>
    <t>2255429920002656</t>
  </si>
  <si>
    <t>9780471713401</t>
  </si>
  <si>
    <t>30001000198327</t>
  </si>
  <si>
    <t>893648803</t>
  </si>
  <si>
    <t>QV 600 T7552 1990</t>
  </si>
  <si>
    <t>0                      QV 0600000T  7552        1990</t>
  </si>
  <si>
    <t>Toxic interactions / edited by Robin S. Goldstein, William R. Hewitt, Jerry B. Hook.</t>
  </si>
  <si>
    <t>San Diego : Academic Press, c1990.</t>
  </si>
  <si>
    <t>1991-01-23</t>
  </si>
  <si>
    <t>1990-11-14</t>
  </si>
  <si>
    <t>365715541:eng</t>
  </si>
  <si>
    <t>20798883</t>
  </si>
  <si>
    <t>991000780139702656</t>
  </si>
  <si>
    <t>2263197010002656</t>
  </si>
  <si>
    <t>9780122895159</t>
  </si>
  <si>
    <t>30001002064006</t>
  </si>
  <si>
    <t>893283742</t>
  </si>
  <si>
    <t>QV 600 T755d 1987</t>
  </si>
  <si>
    <t>0                      QV 0600000T  755d        1987</t>
  </si>
  <si>
    <t>Toxicological and immunological aspects of drug metabolism and environmental chemicals : Symposium Hotel Schloss Fuschl, Austria, 1st-4th November, 1987 / editors: Ronald W. Estabrook ... [et al.]</t>
  </si>
  <si>
    <t>Stuttgart ; New York : F.K. Schattauer Verlag, c1988.</t>
  </si>
  <si>
    <t>Symposia medica Hoechst ; 22</t>
  </si>
  <si>
    <t>1989-06-28</t>
  </si>
  <si>
    <t>22737965:eng</t>
  </si>
  <si>
    <t>20896240</t>
  </si>
  <si>
    <t>991001309199702656</t>
  </si>
  <si>
    <t>2266462600002656</t>
  </si>
  <si>
    <t>9783794512690</t>
  </si>
  <si>
    <t>30001001750274</t>
  </si>
  <si>
    <t>893632937</t>
  </si>
  <si>
    <t>QV601 F583a 2001</t>
  </si>
  <si>
    <t>0                      QV 0601000F  583a        2001</t>
  </si>
  <si>
    <t>Antidotes / Robert J. Flanagan, Alison L. Jones ; with a section on antidotes and chemical warfare by Timothy C. Marrs and Robert L. Maynard.</t>
  </si>
  <si>
    <t>Flanagan, Robert James.</t>
  </si>
  <si>
    <t>2003-12-23</t>
  </si>
  <si>
    <t>2003-12-22</t>
  </si>
  <si>
    <t>3943611358:eng</t>
  </si>
  <si>
    <t>47717992</t>
  </si>
  <si>
    <t>991000362879702656</t>
  </si>
  <si>
    <t>2271397900002656</t>
  </si>
  <si>
    <t>9780748409655</t>
  </si>
  <si>
    <t>30001004506384</t>
  </si>
  <si>
    <t>893163370</t>
  </si>
  <si>
    <t>QV 602 T7545 1983</t>
  </si>
  <si>
    <t>0                      QV 0602000T  7545        1983</t>
  </si>
  <si>
    <t>Toxicity testing : new approaches and applications in human risk assessment / editor-in-chief, A.P. Li ; associate editors, T.L. Blank ... [et al.].</t>
  </si>
  <si>
    <t>796352478:eng</t>
  </si>
  <si>
    <t>11548383</t>
  </si>
  <si>
    <t>991000963109702656</t>
  </si>
  <si>
    <t>2263071040002656</t>
  </si>
  <si>
    <t>9780881670837</t>
  </si>
  <si>
    <t>30001000198608</t>
  </si>
  <si>
    <t>893368935</t>
  </si>
  <si>
    <t>QV 605 T755</t>
  </si>
  <si>
    <t>0                      QV 0605000T  755</t>
  </si>
  <si>
    <t>The Toxic substances list / Herbert E. Christensen, editor ... [et al.] ; prepared for the National Institute for Occupational Safety and Health by Tracor Jitco, inc.</t>
  </si>
  <si>
    <t>New York : Commerce Clearing House, 1973.</t>
  </si>
  <si>
    <t>1973 ed.</t>
  </si>
  <si>
    <t>CCH employment safety and health guide : special report ; Nov. 7, 1973</t>
  </si>
  <si>
    <t>1989-03-21</t>
  </si>
  <si>
    <t>423029967:eng</t>
  </si>
  <si>
    <t>7489950</t>
  </si>
  <si>
    <t>991000963079702656</t>
  </si>
  <si>
    <t>2271743350002656</t>
  </si>
  <si>
    <t>30001000198590</t>
  </si>
  <si>
    <t>893740614</t>
  </si>
  <si>
    <t>QV 610 H236 1979</t>
  </si>
  <si>
    <t>0                      QV 0610000H  236         1979</t>
  </si>
  <si>
    <t>Handbook on the toxicology of metals / edited by Lars Friberg, Gunnar F. Nordberg, and Velimir B. Vouk.</t>
  </si>
  <si>
    <t>Amsterdam ; New York : Elsevier/North-Holland Biomedical Press ; New York : sole distributors for the U.S.A. and Canada, 1979, c1978.</t>
  </si>
  <si>
    <t>1012161765:eng</t>
  </si>
  <si>
    <t>5239756</t>
  </si>
  <si>
    <t>991000963019702656</t>
  </si>
  <si>
    <t>2264366730002656</t>
  </si>
  <si>
    <t>9780444800756</t>
  </si>
  <si>
    <t>30001000198558</t>
  </si>
  <si>
    <t>893651816</t>
  </si>
  <si>
    <t>QV638 A6527 2006</t>
  </si>
  <si>
    <t>0                      QV 0638000A  6527        2006</t>
  </si>
  <si>
    <t>Applied pharmacokinetics &amp; pharmacodynamics : principles of therapeutic drug monitoring / editors, Michael E. Burton ... [et al.].</t>
  </si>
  <si>
    <t>Baltimore : Lippincott Williams &amp; Wilkins, c2006.</t>
  </si>
  <si>
    <t>2007-05-17</t>
  </si>
  <si>
    <t>365402414:eng</t>
  </si>
  <si>
    <t>59148565</t>
  </si>
  <si>
    <t>991000562199702656</t>
  </si>
  <si>
    <t>2267135360002656</t>
  </si>
  <si>
    <t>9780781744317</t>
  </si>
  <si>
    <t>30001005176716</t>
  </si>
  <si>
    <t>893734373</t>
  </si>
  <si>
    <t>QV 662 W784p 1920</t>
  </si>
  <si>
    <t>0                      QV 0662000W  784p        1920</t>
  </si>
  <si>
    <t>Collected studies on the pathology of war gas poisoning : from the Department of Pathology and Bacteriology, Medical Science Section, Chemical Warfare Service, under the direction of M.C. Winternitz.</t>
  </si>
  <si>
    <t>Winternitz, Milton Charles, 1885-1959.</t>
  </si>
  <si>
    <t>New Haven : Yale University Press, 1920.</t>
  </si>
  <si>
    <t>1920</t>
  </si>
  <si>
    <t>2007-08-16</t>
  </si>
  <si>
    <t>2866125720:eng</t>
  </si>
  <si>
    <t>729389</t>
  </si>
  <si>
    <t>991000963419702656</t>
  </si>
  <si>
    <t>2263185570002656</t>
  </si>
  <si>
    <t>30001000198798</t>
  </si>
  <si>
    <t>893740615</t>
  </si>
  <si>
    <t>QV 663 H236 2009</t>
  </si>
  <si>
    <t>0                      QV 0663000H  236         2009</t>
  </si>
  <si>
    <t>Handbook of toxicology of chemical warfare agents / edited by Ramesh C. Gupta.</t>
  </si>
  <si>
    <t>London : Academic Press, 2009.</t>
  </si>
  <si>
    <t>766906447:eng</t>
  </si>
  <si>
    <t>317442710</t>
  </si>
  <si>
    <t>991001463869702656</t>
  </si>
  <si>
    <t>2256865840002656</t>
  </si>
  <si>
    <t>9780123744845</t>
  </si>
  <si>
    <t>30001004916799</t>
  </si>
  <si>
    <t>893552533</t>
  </si>
  <si>
    <t>QV663 R586 2004</t>
  </si>
  <si>
    <t>0                      QV 0663000R  586         2004</t>
  </si>
  <si>
    <t>Riot control agents : issues in toxicology, safety, and health / edited by Eugene J. Olajos and Woodhall Stopford.</t>
  </si>
  <si>
    <t>Boca Raton, Fla. : CRC Press, c2004.</t>
  </si>
  <si>
    <t>2005-02-01</t>
  </si>
  <si>
    <t>2005-01-14</t>
  </si>
  <si>
    <t>801388120:eng</t>
  </si>
  <si>
    <t>52387988</t>
  </si>
  <si>
    <t>991000423149702656</t>
  </si>
  <si>
    <t>2267539370002656</t>
  </si>
  <si>
    <t>9780415299022</t>
  </si>
  <si>
    <t>30001004926434</t>
  </si>
  <si>
    <t>893832799</t>
  </si>
  <si>
    <t>QV 663 W145g 1942</t>
  </si>
  <si>
    <t>0                      QV 0663000W  145g        1942</t>
  </si>
  <si>
    <t>Gas warfare : the chemical weapon, its use, and protection against it / by Alden H. Waitt.</t>
  </si>
  <si>
    <t>Waitt, Alden Harry, 1892-1981.</t>
  </si>
  <si>
    <t>New York : Duell, Sloan &amp; Pearce, c1943, c1942.</t>
  </si>
  <si>
    <t>1943</t>
  </si>
  <si>
    <t>1995-03-21</t>
  </si>
  <si>
    <t>15613613:eng</t>
  </si>
  <si>
    <t>14750447</t>
  </si>
  <si>
    <t>991000963459702656</t>
  </si>
  <si>
    <t>2263965040002656</t>
  </si>
  <si>
    <t>30001000198806</t>
  </si>
  <si>
    <t>893148760</t>
  </si>
  <si>
    <t>QV 704 A641c 1975</t>
  </si>
  <si>
    <t>0                      QV 0704000A  641c        1975</t>
  </si>
  <si>
    <t>Clinical pharmacy handbook for patient counseling : one of the pharmacist's principal responsibilities / by Scott E. Apelgren, Brandt Rowles.</t>
  </si>
  <si>
    <t>Apelgren, Scott E.</t>
  </si>
  <si>
    <t>Hamilton, Ill. : Drug Intelligence Publications, c1975.</t>
  </si>
  <si>
    <t>2000-09-03</t>
  </si>
  <si>
    <t>197835665:eng</t>
  </si>
  <si>
    <t>1949951</t>
  </si>
  <si>
    <t>991000963319702656</t>
  </si>
  <si>
    <t>2260858950002656</t>
  </si>
  <si>
    <t>30001000198756</t>
  </si>
  <si>
    <t>893148759</t>
  </si>
  <si>
    <t>QV 704 B649c 1972</t>
  </si>
  <si>
    <t>0                      QV 0704000B  649c        1972</t>
  </si>
  <si>
    <t>Clinical pharmacy practice / edited by Charles W. Blissitt, O. Lynn Webb, Walter F. Stanaszek.</t>
  </si>
  <si>
    <t>Blissitt, Charles W.</t>
  </si>
  <si>
    <t>Philadelphia : Lea &amp; Febiger, 1972.</t>
  </si>
  <si>
    <t>1996-03-21</t>
  </si>
  <si>
    <t>1464612:eng</t>
  </si>
  <si>
    <t>413012</t>
  </si>
  <si>
    <t>991000964089702656</t>
  </si>
  <si>
    <t>2268200130002656</t>
  </si>
  <si>
    <t>30001000199135</t>
  </si>
  <si>
    <t>893368937</t>
  </si>
  <si>
    <t>QV 704 C641 1984</t>
  </si>
  <si>
    <t>0                      QV 0704000C  641         1984</t>
  </si>
  <si>
    <t>Clinical pharmacology / edited by Ronald H. Girdwood</t>
  </si>
  <si>
    <t>London : Baillière Tindall, c1984.</t>
  </si>
  <si>
    <t>25th ed.</t>
  </si>
  <si>
    <t>4335268:eng</t>
  </si>
  <si>
    <t>11497453</t>
  </si>
  <si>
    <t>991000963879702656</t>
  </si>
  <si>
    <t>2265038130002656</t>
  </si>
  <si>
    <t>9780702009747</t>
  </si>
  <si>
    <t>30001000199069</t>
  </si>
  <si>
    <t>893284184</t>
  </si>
  <si>
    <t>QV 704 I59 1981t</t>
  </si>
  <si>
    <t>0                      QV 0704000I  59          1981t</t>
  </si>
  <si>
    <t>Topics in pharmaceutical sciences : proceedings of the 41st International Congress of Pharmaceutical Sciences of F.I.P., held in Vienna, Austria, September 7-11, 1981 / editors, D.D. Breimer, P. Speiser.</t>
  </si>
  <si>
    <t>International Congress of Pharmaceutical Sciences (41st : 1981 : Vienna, Austria)</t>
  </si>
  <si>
    <t>Amsterdam ; New York : Elsevier/North-Holland Biomedical Press, 1981.</t>
  </si>
  <si>
    <t>935744662:eng</t>
  </si>
  <si>
    <t>8032101</t>
  </si>
  <si>
    <t>991000963839702656</t>
  </si>
  <si>
    <t>2268987460002656</t>
  </si>
  <si>
    <t>9780444804037</t>
  </si>
  <si>
    <t>30001000199051</t>
  </si>
  <si>
    <t>893557437</t>
  </si>
  <si>
    <t>QV 704 J52c 1966</t>
  </si>
  <si>
    <t>0                      QV 0704000J  52c         1966</t>
  </si>
  <si>
    <t>Clinical pharmacy : a text for dispensing pharmacy / Glenn L. Jenkins, Glen J. Sperandio, Clifton J. Latiolais.</t>
  </si>
  <si>
    <t>Jenkins, Glenn L. (Glenn Llewellyn), 1898-1979.</t>
  </si>
  <si>
    <t>New York : McGraw-Hill, 1966.</t>
  </si>
  <si>
    <t>1991-11-14</t>
  </si>
  <si>
    <t>1620011:eng</t>
  </si>
  <si>
    <t>756773</t>
  </si>
  <si>
    <t>991000963799702656</t>
  </si>
  <si>
    <t>2271368570002656</t>
  </si>
  <si>
    <t>30001000199010</t>
  </si>
  <si>
    <t>893460171</t>
  </si>
  <si>
    <t>QV 704 L985p 1949</t>
  </si>
  <si>
    <t>0                      QV 0704000L  985p        1949</t>
  </si>
  <si>
    <t>Textbook of pharmaceutical compounding and dispensing / edited by Rufus A. Lyman and Joseph B. Sprowls.</t>
  </si>
  <si>
    <t>Lyman, Rufus Ashley, 1875-1957.</t>
  </si>
  <si>
    <t>Philadelphia : Lippincott, c1955.</t>
  </si>
  <si>
    <t>1955</t>
  </si>
  <si>
    <t>1989-03-23</t>
  </si>
  <si>
    <t>432313538:eng</t>
  </si>
  <si>
    <t>2414081</t>
  </si>
  <si>
    <t>991000963699702656</t>
  </si>
  <si>
    <t>2268412620002656</t>
  </si>
  <si>
    <t>30001000198970</t>
  </si>
  <si>
    <t>893368936</t>
  </si>
  <si>
    <t>QV 704 M293 1972</t>
  </si>
  <si>
    <t>0                      QV 0704000M  293         1972</t>
  </si>
  <si>
    <t>Manual for pharmacy technicians / Jane M. Durgin, Charles O. Ward, Zachary I. Hanan.</t>
  </si>
  <si>
    <t>-- St. Louis : Mosby, 1972.</t>
  </si>
  <si>
    <t>2001-09-26</t>
  </si>
  <si>
    <t>3856973395:eng</t>
  </si>
  <si>
    <t>487738</t>
  </si>
  <si>
    <t>991000963649702656</t>
  </si>
  <si>
    <t>2255121330002656</t>
  </si>
  <si>
    <t>9780801614781</t>
  </si>
  <si>
    <t>30001000198962</t>
  </si>
  <si>
    <t>893148761</t>
  </si>
  <si>
    <t>QV 704 P468 1977</t>
  </si>
  <si>
    <t>0                      QV 0704000P  468         1977</t>
  </si>
  <si>
    <t>Perspectives on medicines in society / edited by Albert I. Wertheimer, Patricia J Bush.</t>
  </si>
  <si>
    <t>-- Hamilton, Il. : Drug Intelligence Publications, c1977.</t>
  </si>
  <si>
    <t>2006-09-22</t>
  </si>
  <si>
    <t>9833753:eng</t>
  </si>
  <si>
    <t>3332106</t>
  </si>
  <si>
    <t>991000964259702656</t>
  </si>
  <si>
    <t>2256556680002656</t>
  </si>
  <si>
    <t>30001000199218</t>
  </si>
  <si>
    <t>893450653</t>
  </si>
  <si>
    <t>QV 704 R362d 1972</t>
  </si>
  <si>
    <t>0                      QV 0704000R  362d        1972</t>
  </si>
  <si>
    <t>Drug information : literature review of needs, resources, and services / [Prepared] for Pharmacy-Related Programs Branch, National Center for Health Services Research and Development.</t>
  </si>
  <si>
    <t>Reilly, Mary-Jo, 1964-</t>
  </si>
  <si>
    <t>-- Rockville, Md. : U.S. Health Services and Mental Health Administration, [1972]</t>
  </si>
  <si>
    <t>DHEW publication ; no. (HSM) 72-3013</t>
  </si>
  <si>
    <t>1996-12-18</t>
  </si>
  <si>
    <t>2434808:eng</t>
  </si>
  <si>
    <t>1499660</t>
  </si>
  <si>
    <t>991000964129702656</t>
  </si>
  <si>
    <t>2270782670002656</t>
  </si>
  <si>
    <t>30001000199184</t>
  </si>
  <si>
    <t>893540868</t>
  </si>
  <si>
    <t>QV 704 R388p 1917</t>
  </si>
  <si>
    <t>0                      QV 0704000R  388p        1917</t>
  </si>
  <si>
    <t>The practice of pharmacy : a treatise on the modes of making and dispensing official, unofficial, and extemporaneous preparations, with descriptions of medicinal substances, their properties, uses, and doses, intended as a hand-book for pharmacists and physicians and a textbook for students.</t>
  </si>
  <si>
    <t>Remington, Joseph P. (Joseph Price), 1847-1918.</t>
  </si>
  <si>
    <t>Philadelphia ; London : J.B. Lippincott Co., c1917.</t>
  </si>
  <si>
    <t>1917</t>
  </si>
  <si>
    <t>6th ed. By Joseph P. Remington ... assisted by E. Fullerton Cook ... with over eight hundred illustrations.</t>
  </si>
  <si>
    <t>1988-11-16</t>
  </si>
  <si>
    <t>3855510946:eng</t>
  </si>
  <si>
    <t>3740581</t>
  </si>
  <si>
    <t>991000964219702656</t>
  </si>
  <si>
    <t>2269835130002656</t>
  </si>
  <si>
    <t>30001000199192</t>
  </si>
  <si>
    <t>893643083</t>
  </si>
  <si>
    <t>QV 704 R388p 1985</t>
  </si>
  <si>
    <t>0                      QV 0704000R  388p        1985</t>
  </si>
  <si>
    <t>Remington's Pharmaceutical sciences / Alfonso R. Gennaro, editor and chairman of the editorial board.</t>
  </si>
  <si>
    <t>Easton, Pa. : Mack, c1985.</t>
  </si>
  <si>
    <t>17th ed.</t>
  </si>
  <si>
    <t>2000-07-26</t>
  </si>
  <si>
    <t>3855364578:eng</t>
  </si>
  <si>
    <t>12015935</t>
  </si>
  <si>
    <t>991000748089702656</t>
  </si>
  <si>
    <t>2257005800002656</t>
  </si>
  <si>
    <t>9780912734033</t>
  </si>
  <si>
    <t>30001000046542</t>
  </si>
  <si>
    <t>893148214</t>
  </si>
  <si>
    <t>QV 704 R388p 1990</t>
  </si>
  <si>
    <t>0                      QV 0704000R  388p        1990</t>
  </si>
  <si>
    <t>Remington's pharmaceutical sciences / Alfonso Rl Gennaro, editor and chairman of the editorial board.</t>
  </si>
  <si>
    <t>Easton, Pa. : Mack Publishing Co. c1990.</t>
  </si>
  <si>
    <t>18th ed.</t>
  </si>
  <si>
    <t>2002-10-27</t>
  </si>
  <si>
    <t>24381485</t>
  </si>
  <si>
    <t>991000501259702656</t>
  </si>
  <si>
    <t>2269242750002656</t>
  </si>
  <si>
    <t>9780912734040</t>
  </si>
  <si>
    <t>30001001883455</t>
  </si>
  <si>
    <t>893817611</t>
  </si>
  <si>
    <t>QV 704 S771p 1963</t>
  </si>
  <si>
    <t>0                      QV 0704000S  771p        1963</t>
  </si>
  <si>
    <t>Prescription pharmacy : dosage formulation and pharmaceutical adjuncts.</t>
  </si>
  <si>
    <t>Sprowls, Joseph Barnett, editor.</t>
  </si>
  <si>
    <t>Philadelphia : Lippincott, c1963.</t>
  </si>
  <si>
    <t>324345579:eng</t>
  </si>
  <si>
    <t>1620783</t>
  </si>
  <si>
    <t>991000964959702656</t>
  </si>
  <si>
    <t>2269935420002656</t>
  </si>
  <si>
    <t>30001000199507</t>
  </si>
  <si>
    <t>893368938</t>
  </si>
  <si>
    <t>QV 704 W499p 1974</t>
  </si>
  <si>
    <t>0                      QV 0704000W  499p        1974</t>
  </si>
  <si>
    <t>Pharmacy practice : social and behavioral aspects / edited, with introductions, by Albert I. Wertheimer and Mickey C. Smith.</t>
  </si>
  <si>
    <t>Wertheimer, Albert I., compiler.</t>
  </si>
  <si>
    <t>Baltimore : University Park Press, 1974.</t>
  </si>
  <si>
    <t>1988-03-22</t>
  </si>
  <si>
    <t>836703314:eng</t>
  </si>
  <si>
    <t>1046087</t>
  </si>
  <si>
    <t>991000964879702656</t>
  </si>
  <si>
    <t>2266857730002656</t>
  </si>
  <si>
    <t>30001000199473</t>
  </si>
  <si>
    <t>893167976</t>
  </si>
  <si>
    <t>QV 704.3 T367p 1979</t>
  </si>
  <si>
    <t>0                      QV 0704300T  367p        1979</t>
  </si>
  <si>
    <t>Pharmacy management for students and practitioners / C. Patrick Tharp, Pedro J. Lecca.</t>
  </si>
  <si>
    <t>Tharp, C. Patrick (Charles Patrick), 1939-</t>
  </si>
  <si>
    <t>Saint Louis : Mosby, 1979.</t>
  </si>
  <si>
    <t>-- 2d ed. --</t>
  </si>
  <si>
    <t>1990-11-29</t>
  </si>
  <si>
    <t>1783794:eng</t>
  </si>
  <si>
    <t>4775095</t>
  </si>
  <si>
    <t>991000964919702656</t>
  </si>
  <si>
    <t>2255458650002656</t>
  </si>
  <si>
    <t>9780801648984</t>
  </si>
  <si>
    <t>30001000199499</t>
  </si>
  <si>
    <t>893134132</t>
  </si>
  <si>
    <t>QV 709 P467 1984</t>
  </si>
  <si>
    <t>0                      QV 0709000P  467         1984</t>
  </si>
  <si>
    <t>Perspectives in pharmacy : a series of addresses given at the University of Minnesota, College of Pharmacy, 1983-1984 / edited by Albert I. Wertheimer and Noreen L. Suntrup.</t>
  </si>
  <si>
    <t>Minneapolis, Minn. : College of Pharmacy, University of Minnesota, [1984?]</t>
  </si>
  <si>
    <t>mnu</t>
  </si>
  <si>
    <t>1995-01-24</t>
  </si>
  <si>
    <t>8907097015:eng</t>
  </si>
  <si>
    <t>11644085</t>
  </si>
  <si>
    <t>991000964819702656</t>
  </si>
  <si>
    <t>2256743660002656</t>
  </si>
  <si>
    <t>30001000199424</t>
  </si>
  <si>
    <t>893450654</t>
  </si>
  <si>
    <t>QV 711 AA1 A6s 1995</t>
  </si>
  <si>
    <t>0                      QV 0711000AA 1                  A  6s          1995</t>
  </si>
  <si>
    <t>The spirit of voluntarism : a legacy of commitment and contribution : the United States pharmacopeia 1820-1995 / by Lee Anderson and Gregory J. Higby.</t>
  </si>
  <si>
    <t>Anderson, Lee.</t>
  </si>
  <si>
    <t>Rockville, Md. : United States Pharmacopeial Convention, c1995.</t>
  </si>
  <si>
    <t>1996-06-07</t>
  </si>
  <si>
    <t>1996-03-20</t>
  </si>
  <si>
    <t>201970594:eng</t>
  </si>
  <si>
    <t>32281553</t>
  </si>
  <si>
    <t>991001505299702656</t>
  </si>
  <si>
    <t>2265220690002656</t>
  </si>
  <si>
    <t>9780913595886</t>
  </si>
  <si>
    <t>30001003264118</t>
  </si>
  <si>
    <t>893652051</t>
  </si>
  <si>
    <t>QV 711 AA1 C911p 1989</t>
  </si>
  <si>
    <t>0                      QV 0711000AA 1                  C  911p        1989</t>
  </si>
  <si>
    <t>The Pharmaceutical Manufacturers Association : the first 30 years / by William C. Cray.</t>
  </si>
  <si>
    <t>Cray, William C.</t>
  </si>
  <si>
    <t>Washington, D.C. : Pharmaceutical Manufacturers Association, [1989].</t>
  </si>
  <si>
    <t>1990-01-20</t>
  </si>
  <si>
    <t>31009460:eng</t>
  </si>
  <si>
    <t>28345418</t>
  </si>
  <si>
    <t>991001386279702656</t>
  </si>
  <si>
    <t>2264293150002656</t>
  </si>
  <si>
    <t>30001001799818</t>
  </si>
  <si>
    <t>893741083</t>
  </si>
  <si>
    <t>QV 711 AA1 K56s 1987</t>
  </si>
  <si>
    <t>0                      QV 0711000AA 1                  K  56s         1987</t>
  </si>
  <si>
    <t>A selection of primary sources for the history of pharmacy in the United States : books and trade catalogs from the colonial period to 1940 / by Nydia M. King.</t>
  </si>
  <si>
    <t>King, Nydia M.</t>
  </si>
  <si>
    <t>Madison, Wis. : American Institute of the History of Pharmacy, 1987, c1985.</t>
  </si>
  <si>
    <t>Fischelis publication on recent history and trends of pharmacy ; 2nd</t>
  </si>
  <si>
    <t>365417394:eng</t>
  </si>
  <si>
    <t>23148183</t>
  </si>
  <si>
    <t>991000770429702656</t>
  </si>
  <si>
    <t>2271014530002656</t>
  </si>
  <si>
    <t>9780931292163</t>
  </si>
  <si>
    <t>30001002061994</t>
  </si>
  <si>
    <t>893161120</t>
  </si>
  <si>
    <t>QV 711 AA1 L716m 1987</t>
  </si>
  <si>
    <t>0                      QV 0711000AA 1                  L  716m        1987</t>
  </si>
  <si>
    <t>Medical science and medical industry : the formation of the American pharmaceutical industry / Jonathan Liebenau.</t>
  </si>
  <si>
    <t>Liebenau, Jonathan.</t>
  </si>
  <si>
    <t>Baltimore : Johns Hopkins University Press, c1987.</t>
  </si>
  <si>
    <t>2002-01-06</t>
  </si>
  <si>
    <t>1988-04-26</t>
  </si>
  <si>
    <t>8573873:eng</t>
  </si>
  <si>
    <t>15017472</t>
  </si>
  <si>
    <t>991001187249702656</t>
  </si>
  <si>
    <t>2265588920002656</t>
  </si>
  <si>
    <t>9780801833564</t>
  </si>
  <si>
    <t>30001000978397</t>
  </si>
  <si>
    <t>893736300</t>
  </si>
  <si>
    <t>QV 711 F471 1931</t>
  </si>
  <si>
    <t>0                      QV 0711000F  471         1931</t>
  </si>
  <si>
    <t>Fighting disease with drugs : the story of pharmacy : a symposium / edited by John C. Krantz, jr. ; with an introduction by James H. Beal.</t>
  </si>
  <si>
    <t>Baltimore : The Williams &amp; Wilkins company, c1931.</t>
  </si>
  <si>
    <t>|||</t>
  </si>
  <si>
    <t>2007-03-20</t>
  </si>
  <si>
    <t>1860944:eng</t>
  </si>
  <si>
    <t>917999</t>
  </si>
  <si>
    <t>991000964739702656</t>
  </si>
  <si>
    <t>2259894450002656</t>
  </si>
  <si>
    <t>30001000199382</t>
  </si>
  <si>
    <t>893121057</t>
  </si>
  <si>
    <t>QV 711 FA1 T7p 1964</t>
  </si>
  <si>
    <t>0                      QV 0711000FA 1                  T  7p          1964</t>
  </si>
  <si>
    <t>Pharmacy in history.</t>
  </si>
  <si>
    <t>Trease, George Edward, 1902-1986.</t>
  </si>
  <si>
    <t>London : Baillière, Tindall and Cox, [1964]</t>
  </si>
  <si>
    <t>2007-02-20</t>
  </si>
  <si>
    <t>8476464:eng</t>
  </si>
  <si>
    <t>14618668</t>
  </si>
  <si>
    <t>991000964699702656</t>
  </si>
  <si>
    <t>2269336780002656</t>
  </si>
  <si>
    <t>30001000199366</t>
  </si>
  <si>
    <t>893267876</t>
  </si>
  <si>
    <t>QV 711 R281c 1973</t>
  </si>
  <si>
    <t>0                      QV 0711000R  281c        1973</t>
  </si>
  <si>
    <t>Circa instans / C.B. Rea and J. Rea.</t>
  </si>
  <si>
    <t>Rea, C. B.</t>
  </si>
  <si>
    <t>txu</t>
  </si>
  <si>
    <t>3944393793:eng</t>
  </si>
  <si>
    <t>794102</t>
  </si>
  <si>
    <t>991000964519702656</t>
  </si>
  <si>
    <t>2263690690002656</t>
  </si>
  <si>
    <t>30001000199309</t>
  </si>
  <si>
    <t>893377012</t>
  </si>
  <si>
    <t>QV 711 S587m 1941</t>
  </si>
  <si>
    <t>0                      QV 0711000S  587m        1941</t>
  </si>
  <si>
    <t>Magic in a bottle / by Milton Silverman.</t>
  </si>
  <si>
    <t>Silverman, Milton, 1910-1997.</t>
  </si>
  <si>
    <t>New York : The Macmillan Company, 1941.</t>
  </si>
  <si>
    <t>1941</t>
  </si>
  <si>
    <t>1977803:eng</t>
  </si>
  <si>
    <t>992904</t>
  </si>
  <si>
    <t>991000964449702656</t>
  </si>
  <si>
    <t>2255148400002656</t>
  </si>
  <si>
    <t>30001000199291</t>
  </si>
  <si>
    <t>893551977</t>
  </si>
  <si>
    <t>QV 711.1 I61 1940</t>
  </si>
  <si>
    <t>0                      QV 0711100I  61          1940</t>
  </si>
  <si>
    <t>Introductory essays on the history of pharmacy / selected and arranged by John Joseph Corcoran.</t>
  </si>
  <si>
    <t>Minneapolis, Minn. : Burgess Publishing Co., 1940.</t>
  </si>
  <si>
    <t>1940</t>
  </si>
  <si>
    <t>19732090:eng</t>
  </si>
  <si>
    <t>5813193</t>
  </si>
  <si>
    <t>991000965269702656</t>
  </si>
  <si>
    <t>2261200390002656</t>
  </si>
  <si>
    <t>30001000199739</t>
  </si>
  <si>
    <t>893637892</t>
  </si>
  <si>
    <t>QV 722 P5789q 1995</t>
  </si>
  <si>
    <t>0                      QV 0722000P  5789q       1995</t>
  </si>
  <si>
    <t>1995 Physicians' genRx : the complete drug reference.</t>
  </si>
  <si>
    <t>Riverside, CT : Denniston Publ. Inc., c1995.</t>
  </si>
  <si>
    <t>1995-12-12</t>
  </si>
  <si>
    <t>1995-01-18</t>
  </si>
  <si>
    <t>4989074146:eng</t>
  </si>
  <si>
    <t>31733205</t>
  </si>
  <si>
    <t>991001335839702656</t>
  </si>
  <si>
    <t>2254877790002656</t>
  </si>
  <si>
    <t>30001003110972</t>
  </si>
  <si>
    <t>893560980</t>
  </si>
  <si>
    <t>QV 735 C641 1993</t>
  </si>
  <si>
    <t>0                      QV 0735000C  641         1993</t>
  </si>
  <si>
    <t>Clinical clerkship manual / edited by Larry E. Boh.</t>
  </si>
  <si>
    <t>Vancouver, Wash. : Applied Therapeutics, c1993.</t>
  </si>
  <si>
    <t>xxc</t>
  </si>
  <si>
    <t>2005-10-08</t>
  </si>
  <si>
    <t>55651070:eng</t>
  </si>
  <si>
    <t>27097639</t>
  </si>
  <si>
    <t>991001511869702656</t>
  </si>
  <si>
    <t>2256578420002656</t>
  </si>
  <si>
    <t>9780915486175</t>
  </si>
  <si>
    <t>30001002600957</t>
  </si>
  <si>
    <t>893121582</t>
  </si>
  <si>
    <t>QV 735 P5365 2001</t>
  </si>
  <si>
    <t>0                      QV 0735000P  5365        2001</t>
  </si>
  <si>
    <t>Pharmacy practice manual : a guide to the clinical experience / editor, Larry E. Boh, consulting editor, Lloyd Y. Young.</t>
  </si>
  <si>
    <t>Philadelphia : Lippincott Williams &amp; Wilkins, 2001.</t>
  </si>
  <si>
    <t>2009-02-16</t>
  </si>
  <si>
    <t>2003-01-10</t>
  </si>
  <si>
    <t>3856867342:eng</t>
  </si>
  <si>
    <t>45420291</t>
  </si>
  <si>
    <t>991000335669702656</t>
  </si>
  <si>
    <t>22101749230002656</t>
  </si>
  <si>
    <t>9780781725415</t>
  </si>
  <si>
    <t>30001005382629</t>
  </si>
  <si>
    <t>893365339</t>
  </si>
  <si>
    <t>QV 735 S472g 2000</t>
  </si>
  <si>
    <t>0                      QV 0735000S  472g        2000</t>
  </si>
  <si>
    <t>Geriatric dosage handbook : including monitoring, clinical recommendations, and OBRA guidelines / Todd P. Selma, Judith L. Beizer, Martin D. Higbee.</t>
  </si>
  <si>
    <t>Semla, Todd P.</t>
  </si>
  <si>
    <t>Hudson, OH : Lexi-Comp Inc., c2000.</t>
  </si>
  <si>
    <t>5th. ed.</t>
  </si>
  <si>
    <t>2003-01-21</t>
  </si>
  <si>
    <t>2000-02-04</t>
  </si>
  <si>
    <t>654593:eng</t>
  </si>
  <si>
    <t>43273376</t>
  </si>
  <si>
    <t>991001410399702656</t>
  </si>
  <si>
    <t>2270253460002656</t>
  </si>
  <si>
    <t>9780916589882</t>
  </si>
  <si>
    <t>30001003831171</t>
  </si>
  <si>
    <t>893821187</t>
  </si>
  <si>
    <t>QV 735 T473p 1998</t>
  </si>
  <si>
    <t>0                      QV 0735000T  473p        1998</t>
  </si>
  <si>
    <t>A practical guide to contemporary pharmacy practice / Judith E. Thompson.</t>
  </si>
  <si>
    <t>Thompson, Judith E.</t>
  </si>
  <si>
    <t>2006-01-08</t>
  </si>
  <si>
    <t>766733:eng</t>
  </si>
  <si>
    <t>38562176</t>
  </si>
  <si>
    <t>991001440489702656</t>
  </si>
  <si>
    <t>2265764450002656</t>
  </si>
  <si>
    <t>9780683305388</t>
  </si>
  <si>
    <t>30001003882059</t>
  </si>
  <si>
    <t>893161994</t>
  </si>
  <si>
    <t>QV 736 B574f 1981</t>
  </si>
  <si>
    <t>0                      QV 0736000B  574f        1981</t>
  </si>
  <si>
    <t>The future of pharmaceuticals : the changing environment for the new drugs / Clement Bezold.</t>
  </si>
  <si>
    <t>Bezold, Clement.</t>
  </si>
  <si>
    <t>889809025:eng</t>
  </si>
  <si>
    <t>7716894</t>
  </si>
  <si>
    <t>991000965199702656</t>
  </si>
  <si>
    <t>2270676120002656</t>
  </si>
  <si>
    <t>9780471083436</t>
  </si>
  <si>
    <t>30001000199689</t>
  </si>
  <si>
    <t>893455314</t>
  </si>
  <si>
    <t>QV 736 B747c 1993</t>
  </si>
  <si>
    <t>0                      QV 0736000B  747c        1993</t>
  </si>
  <si>
    <t>The contribution of pharmaceutical companies : what's at stake for America : a report / prepared by The Boston Consulting Group, Inc.</t>
  </si>
  <si>
    <t>Boston Consulting Group.</t>
  </si>
  <si>
    <t>[Boston] : Boston Consuting Group, [1993]</t>
  </si>
  <si>
    <t>4160727809:eng</t>
  </si>
  <si>
    <t>28923860</t>
  </si>
  <si>
    <t>991001515439702656</t>
  </si>
  <si>
    <t>2272170370002656</t>
  </si>
  <si>
    <t>30001002601872</t>
  </si>
  <si>
    <t>893821266</t>
  </si>
  <si>
    <t>QV 736 C319f 1991</t>
  </si>
  <si>
    <t>0                      QV 0736000C  319f        1991</t>
  </si>
  <si>
    <t>Financial management for pharmacists : a decision-making approach / Norman V. Carroll.</t>
  </si>
  <si>
    <t>Carroll, Norman V.</t>
  </si>
  <si>
    <t>1990-10-26</t>
  </si>
  <si>
    <t>571860:eng</t>
  </si>
  <si>
    <t>21336618</t>
  </si>
  <si>
    <t>991000772139702656</t>
  </si>
  <si>
    <t>2263360840002656</t>
  </si>
  <si>
    <t>9780812113419</t>
  </si>
  <si>
    <t>30001002062398</t>
  </si>
  <si>
    <t>893368492</t>
  </si>
  <si>
    <t>QV 736 C456 1993</t>
  </si>
  <si>
    <t>0                      QV 0736000C  456         1993</t>
  </si>
  <si>
    <t>The Changing environment for U.S. pharmaceuticals : the role of pharmaceutical companies in a systems approach to health care : a report / prepared by The Boston Consulting Group, Inc. ; sponsored by Pfizer Inc.</t>
  </si>
  <si>
    <t>[Boston] : The Group, 1993.</t>
  </si>
  <si>
    <t>1993-06-03</t>
  </si>
  <si>
    <t>2287772501:eng</t>
  </si>
  <si>
    <t>28132018</t>
  </si>
  <si>
    <t>991001508909702656</t>
  </si>
  <si>
    <t>2255919130002656</t>
  </si>
  <si>
    <t>30001002600353</t>
  </si>
  <si>
    <t>893727717</t>
  </si>
  <si>
    <t>QV 736 G273m</t>
  </si>
  <si>
    <t>0                      QV 0736000G  273m</t>
  </si>
  <si>
    <t>Medicines for the masses : a window on pharmaceutical industry / by Madan Gaur.</t>
  </si>
  <si>
    <t>Gaur, Madan, 1933-</t>
  </si>
  <si>
    <t>Bombay : Press &amp; P.R. Services, [1981?].</t>
  </si>
  <si>
    <t xml:space="preserve">ii </t>
  </si>
  <si>
    <t>42849178:eng</t>
  </si>
  <si>
    <t>9206403</t>
  </si>
  <si>
    <t>991000965119702656</t>
  </si>
  <si>
    <t>2267145210002656</t>
  </si>
  <si>
    <t>30001000199598</t>
  </si>
  <si>
    <t>893643084</t>
  </si>
  <si>
    <t>QV 736 L439r 2003</t>
  </si>
  <si>
    <t>0                      QV 0736000L  439r        2003</t>
  </si>
  <si>
    <t>The real drug abusers / Fred Leavitt.</t>
  </si>
  <si>
    <t>Lanham, Md. : Rowman &amp; Littlefield Publishers, c2003.</t>
  </si>
  <si>
    <t>740250:eng</t>
  </si>
  <si>
    <t>51216484</t>
  </si>
  <si>
    <t>991000395799702656</t>
  </si>
  <si>
    <t>2270482050002656</t>
  </si>
  <si>
    <t>9780742525177</t>
  </si>
  <si>
    <t>30001004978740</t>
  </si>
  <si>
    <t>893817069</t>
  </si>
  <si>
    <t>QV 736 M339p 1980</t>
  </si>
  <si>
    <t>0                      QV 0736000M  339p        1980</t>
  </si>
  <si>
    <t>Principles of pharmaceutical accounting / Francis A. Marino, Edward J. Zabloski, Colman M. Herman.</t>
  </si>
  <si>
    <t>Marino, Francis A.</t>
  </si>
  <si>
    <t>Philadelphia : Lea &amp; Febiger, c1980.</t>
  </si>
  <si>
    <t>1989-11-04</t>
  </si>
  <si>
    <t>17125861:eng</t>
  </si>
  <si>
    <t>5353409</t>
  </si>
  <si>
    <t>991000748209702656</t>
  </si>
  <si>
    <t>2256440110002656</t>
  </si>
  <si>
    <t>9780812106343</t>
  </si>
  <si>
    <t>30001000046575</t>
  </si>
  <si>
    <t>893459777</t>
  </si>
  <si>
    <t>QV 736 N717d 1941</t>
  </si>
  <si>
    <t>0                      QV 0736000N  717d        1941</t>
  </si>
  <si>
    <t>Drug store management / by Herman C. Nolen and Harold H. Maynard.</t>
  </si>
  <si>
    <t>Nolen, Herman C. (Herman Christian), 1901-1993.</t>
  </si>
  <si>
    <t>New York : McGraw-Hill, c1941.</t>
  </si>
  <si>
    <t>1988-12-07</t>
  </si>
  <si>
    <t>5676289:eng</t>
  </si>
  <si>
    <t>2545598</t>
  </si>
  <si>
    <t>991000965299702656</t>
  </si>
  <si>
    <t>2270658990002656</t>
  </si>
  <si>
    <t>30001000199762</t>
  </si>
  <si>
    <t>893643085</t>
  </si>
  <si>
    <t>QV736 P142p 2005</t>
  </si>
  <si>
    <t>0                      QV 0736000P  142p        2005</t>
  </si>
  <si>
    <t>Pharmaceutical product strategy : using dynamic modeling for effective brand planning / Mark Paich, Corey Peck, and Jason Valant.</t>
  </si>
  <si>
    <t>Paich, Mark.</t>
  </si>
  <si>
    <t>Boca Raton, FL : Interpharm/CRC 2004.</t>
  </si>
  <si>
    <t>2006-02-07</t>
  </si>
  <si>
    <t>2006-02-06</t>
  </si>
  <si>
    <t>970780:eng</t>
  </si>
  <si>
    <t>56068953</t>
  </si>
  <si>
    <t>991000462989702656</t>
  </si>
  <si>
    <t>2272148030002656</t>
  </si>
  <si>
    <t>9780849327292</t>
  </si>
  <si>
    <t>30001004913408</t>
  </si>
  <si>
    <t>893354378</t>
  </si>
  <si>
    <t>QV 736 P361d 1926</t>
  </si>
  <si>
    <t>0                      QV 0736000P  361d        1926</t>
  </si>
  <si>
    <t>Drug store business methods : a text-book on commercial pharmacy / by Charles W. Pearson.</t>
  </si>
  <si>
    <t>Pearson, Charles W.</t>
  </si>
  <si>
    <t>Philadelphia ; New York : Lea &amp; Febiger, 1926.</t>
  </si>
  <si>
    <t>1926</t>
  </si>
  <si>
    <t>5583530:eng</t>
  </si>
  <si>
    <t>3734394</t>
  </si>
  <si>
    <t>991000965329702656</t>
  </si>
  <si>
    <t>2270154250002656</t>
  </si>
  <si>
    <t>30001000199796</t>
  </si>
  <si>
    <t>893632574</t>
  </si>
  <si>
    <t>QV 736 P536 1990</t>
  </si>
  <si>
    <t>0                      QV 0736000P  536         1990</t>
  </si>
  <si>
    <t>The Pharmaceutical industry : transition to the 1990s : speeches from the Annual Meeting, 1990.</t>
  </si>
  <si>
    <t>Washington, D.C. : Pharmaceutical Manufacturers Association, [1990]</t>
  </si>
  <si>
    <t>1990-10-09</t>
  </si>
  <si>
    <t>23344572:eng</t>
  </si>
  <si>
    <t>22174943</t>
  </si>
  <si>
    <t>991000767269702656</t>
  </si>
  <si>
    <t>2257827840002656</t>
  </si>
  <si>
    <t>30001002061200</t>
  </si>
  <si>
    <t>893148240</t>
  </si>
  <si>
    <t>QV 736 P5365 1982</t>
  </si>
  <si>
    <t>0                      QV 0736000P  5365        1982</t>
  </si>
  <si>
    <t>Pharmaceuticals in the year 2000 : the changing context for drug R&amp;D / Clement Bezold, editor.</t>
  </si>
  <si>
    <t>Alexandria, Va. : Institute for Alternative Futures, c1983.</t>
  </si>
  <si>
    <t>42981095:eng</t>
  </si>
  <si>
    <t>9442036</t>
  </si>
  <si>
    <t>991000965159702656</t>
  </si>
  <si>
    <t>2263634070002656</t>
  </si>
  <si>
    <t>30001000199622</t>
  </si>
  <si>
    <t>893284186</t>
  </si>
  <si>
    <t>QV 736 S655p 1968</t>
  </si>
  <si>
    <t>0                      QV 0736000S  655p        1968</t>
  </si>
  <si>
    <t>Principles of pharmaceutical marketing / Mickey C. Smith ; with chapters contributed by Max A. Fern ... [et al.].</t>
  </si>
  <si>
    <t>Smith, Mickey C.</t>
  </si>
  <si>
    <t>Philadelphia : Lea &amp; Febiger, 1968.</t>
  </si>
  <si>
    <t>1968</t>
  </si>
  <si>
    <t>2000-11-10</t>
  </si>
  <si>
    <t>1579639:eng</t>
  </si>
  <si>
    <t>546665</t>
  </si>
  <si>
    <t>991000965369702656</t>
  </si>
  <si>
    <t>2265034680002656</t>
  </si>
  <si>
    <t>30001000199838</t>
  </si>
  <si>
    <t>893278531</t>
  </si>
  <si>
    <t>QV 736 S655pa 1981</t>
  </si>
  <si>
    <t>0                      QV 0736000S  655pa       1981</t>
  </si>
  <si>
    <t>Pharmacy, drugs, and medical care / Mickey C. Smith, David A. Knapp.</t>
  </si>
  <si>
    <t>Baltimore : Williams &amp; Wilkins, c1981.</t>
  </si>
  <si>
    <t>1995-10-06</t>
  </si>
  <si>
    <t>432582:eng</t>
  </si>
  <si>
    <t>6889343</t>
  </si>
  <si>
    <t>991000965399702656</t>
  </si>
  <si>
    <t>2269278230002656</t>
  </si>
  <si>
    <t>9780683077612</t>
  </si>
  <si>
    <t>30001000199853</t>
  </si>
  <si>
    <t>893546250</t>
  </si>
  <si>
    <t>QV 736 S756m 1994</t>
  </si>
  <si>
    <t>0                      QV 0736000S  756m        1994</t>
  </si>
  <si>
    <t>Multinational pharmaceutical companies : principles and practices / Bert Spilker.</t>
  </si>
  <si>
    <t>Spilker, Bert.</t>
  </si>
  <si>
    <t>1994-06-08</t>
  </si>
  <si>
    <t>20612850:eng</t>
  </si>
  <si>
    <t>28587230</t>
  </si>
  <si>
    <t>991001193719702656</t>
  </si>
  <si>
    <t>2263106150002656</t>
  </si>
  <si>
    <t>9780781701006</t>
  </si>
  <si>
    <t>30001002983874</t>
  </si>
  <si>
    <t>893546440</t>
  </si>
  <si>
    <t>QV 737 D257p 1967</t>
  </si>
  <si>
    <t>0                      QV 0737000D  257p        1967</t>
  </si>
  <si>
    <t>The Pharmaceutical industry : a personal study : a medical, economic, and political survey of the world-wide pharmaceutical industry.</t>
  </si>
  <si>
    <t>Davies, Wyndham, 1926-1984</t>
  </si>
  <si>
    <t>Oxford ; New York : Pergamon Press, 1967.</t>
  </si>
  <si>
    <t>1988-03-27</t>
  </si>
  <si>
    <t>430513214:eng</t>
  </si>
  <si>
    <t>489576</t>
  </si>
  <si>
    <t>991000965429702656</t>
  </si>
  <si>
    <t>2255544450002656</t>
  </si>
  <si>
    <t>30001000199937</t>
  </si>
  <si>
    <t>893551978</t>
  </si>
  <si>
    <t>QV737 D475p 2005</t>
  </si>
  <si>
    <t>0                      QV 0737000D  475p        2005</t>
  </si>
  <si>
    <t>Pharmacy management : essentials for all practice settings / Shane P. Desselle and David P. Zgarrick.</t>
  </si>
  <si>
    <t>Desselle, Shane P.</t>
  </si>
  <si>
    <t>New York : McGraw-Hill, c2005.</t>
  </si>
  <si>
    <t>2009-05-02</t>
  </si>
  <si>
    <t>803186762:eng</t>
  </si>
  <si>
    <t>56011324</t>
  </si>
  <si>
    <t>991000422859702656</t>
  </si>
  <si>
    <t>2254849930002656</t>
  </si>
  <si>
    <t>9780071418690</t>
  </si>
  <si>
    <t>30001004926194</t>
  </si>
  <si>
    <t>893163410</t>
  </si>
  <si>
    <t>QV 737 M2648 1999</t>
  </si>
  <si>
    <t>0                      QV 0737000M  2648        1999</t>
  </si>
  <si>
    <t>Managed care pharmacy practice / [edited by] Robert P. Navarro.</t>
  </si>
  <si>
    <t>Gaithersburg, Md. : Aspen Publishers, c1999.</t>
  </si>
  <si>
    <t>2005-09-13</t>
  </si>
  <si>
    <t>1999-08-26</t>
  </si>
  <si>
    <t>476321650:eng</t>
  </si>
  <si>
    <t>41482478</t>
  </si>
  <si>
    <t>991000797549702656</t>
  </si>
  <si>
    <t>2263941820002656</t>
  </si>
  <si>
    <t>9780834212053</t>
  </si>
  <si>
    <t>30001004080125</t>
  </si>
  <si>
    <t>893743455</t>
  </si>
  <si>
    <t>QV 737 M265 1999</t>
  </si>
  <si>
    <t>0                      QV 0737000M  265         1999</t>
  </si>
  <si>
    <t>Managed care pharmacy : principles and practice / Albert I. Wertheimer, Robert Navarro, editors.</t>
  </si>
  <si>
    <t>New York : Pharmaceutical Products Press, c1999.</t>
  </si>
  <si>
    <t>2006-12-05</t>
  </si>
  <si>
    <t>1999-09-09</t>
  </si>
  <si>
    <t>3856750155:eng</t>
  </si>
  <si>
    <t>40200352</t>
  </si>
  <si>
    <t>991001564409702656</t>
  </si>
  <si>
    <t>2267086560002656</t>
  </si>
  <si>
    <t>9780789006394</t>
  </si>
  <si>
    <t>30001004063824</t>
  </si>
  <si>
    <t>893121640</t>
  </si>
  <si>
    <t>QV 737 P534 1996</t>
  </si>
  <si>
    <t>0                      QV 0737000P  534         1996</t>
  </si>
  <si>
    <t>Pharmaceutical care / edited by Calvin H. Knowlton &amp; Richard P. Penna.</t>
  </si>
  <si>
    <t>New York : Chapman &amp; Hall, c1996.</t>
  </si>
  <si>
    <t>2002-09-27</t>
  </si>
  <si>
    <t>2000-03-30</t>
  </si>
  <si>
    <t>354639471:eng</t>
  </si>
  <si>
    <t>32351943</t>
  </si>
  <si>
    <t>991001442619702656</t>
  </si>
  <si>
    <t>2272743870002656</t>
  </si>
  <si>
    <t>9780412069819</t>
  </si>
  <si>
    <t>30001003883057</t>
  </si>
  <si>
    <t>893816420</t>
  </si>
  <si>
    <t>QV737 P534 2003</t>
  </si>
  <si>
    <t>0                      QV 0737000P  534         2003</t>
  </si>
  <si>
    <t>Pharmaceutical care / [edited by] Calvin H. Knowlton, Richard P. Penna.</t>
  </si>
  <si>
    <t>Bethesda, MD : American Society of Health-System Pharmacists, c2003.</t>
  </si>
  <si>
    <t>50680535</t>
  </si>
  <si>
    <t>991000337629702656</t>
  </si>
  <si>
    <t>2255125850002656</t>
  </si>
  <si>
    <t>9781585280377</t>
  </si>
  <si>
    <t>30001004501450</t>
  </si>
  <si>
    <t>893822077</t>
  </si>
  <si>
    <t>QV 737 P5345 1991</t>
  </si>
  <si>
    <t>0                      QV 0737000P  5345        1991</t>
  </si>
  <si>
    <t>Pharmacy and the U.S. health care system / Jack E. Fincham and Albert I. Wertheimer, editors.</t>
  </si>
  <si>
    <t>Binghamton, NY : Pharmaceutical Products Press, c1991.</t>
  </si>
  <si>
    <t>355915499:eng</t>
  </si>
  <si>
    <t>22208754</t>
  </si>
  <si>
    <t>991001013699702656</t>
  </si>
  <si>
    <t>2255333940002656</t>
  </si>
  <si>
    <t>9781560240976</t>
  </si>
  <si>
    <t>30001002240283</t>
  </si>
  <si>
    <t>893820846</t>
  </si>
  <si>
    <t>QV737 P5345 2005</t>
  </si>
  <si>
    <t>0                      QV 0737000P  5345        2005</t>
  </si>
  <si>
    <t>Pharmacy and the U.S. health care system / Michael Ira Smith, Albert I. Wertheimer, Jack E. Fincham, editors.</t>
  </si>
  <si>
    <t>New York : Pharmaceutical Products Press, c2005.</t>
  </si>
  <si>
    <t>2010-09-08</t>
  </si>
  <si>
    <t>57405371</t>
  </si>
  <si>
    <t>991000446669702656</t>
  </si>
  <si>
    <t>2264396850002656</t>
  </si>
  <si>
    <t>9780789018755</t>
  </si>
  <si>
    <t>30001004914380</t>
  </si>
  <si>
    <t>893269463</t>
  </si>
  <si>
    <t>QV737 P8949 2003</t>
  </si>
  <si>
    <t>0                      QV 0737000P  8949        2003</t>
  </si>
  <si>
    <t>A practical guide to pharmaceutical care / John P. Rovers ... [et al.], editors.</t>
  </si>
  <si>
    <t>Washington, D.C. : American Pharmaceutical Association, 2003.</t>
  </si>
  <si>
    <t>2007-11-14</t>
  </si>
  <si>
    <t>56296232:eng</t>
  </si>
  <si>
    <t>51553581</t>
  </si>
  <si>
    <t>991000352389702656</t>
  </si>
  <si>
    <t>2263814020002656</t>
  </si>
  <si>
    <t>9781582120492</t>
  </si>
  <si>
    <t>30001004504967</t>
  </si>
  <si>
    <t>893633820</t>
  </si>
  <si>
    <t>QV 737 P8949 2007</t>
  </si>
  <si>
    <t>0                      QV 0737000P  8949        2007</t>
  </si>
  <si>
    <t>A practical guide to pharmaceutical care : a clinical skills primer / John P. Rovers, Jay D. Currie.</t>
  </si>
  <si>
    <t>Rovers, John P.</t>
  </si>
  <si>
    <t>Washington, D.C. : American Pharmacists Association, c2007.</t>
  </si>
  <si>
    <t>2009-09-29</t>
  </si>
  <si>
    <t>80180950</t>
  </si>
  <si>
    <t>991000660659702656</t>
  </si>
  <si>
    <t>2255915390002656</t>
  </si>
  <si>
    <t>9781582121048</t>
  </si>
  <si>
    <t>30001005270402</t>
  </si>
  <si>
    <t>893743049</t>
  </si>
  <si>
    <t>QV 738 AA1 P5e 1921</t>
  </si>
  <si>
    <t>0                      QV 0738000AA 1                  P  5e          1921</t>
  </si>
  <si>
    <t>Epitome of the Pharmacopeia of the United States and the National formulary, with comments / prepared for the use of physicians under authorization of the Council on Pharmacy and Chemistry of the American Medical Association.</t>
  </si>
  <si>
    <t>Chicago : American Medical Association, 1921.</t>
  </si>
  <si>
    <t>1921</t>
  </si>
  <si>
    <t>5613140103:eng</t>
  </si>
  <si>
    <t>4277891</t>
  </si>
  <si>
    <t>991000965499702656</t>
  </si>
  <si>
    <t>2257006970002656</t>
  </si>
  <si>
    <t>30001000199978</t>
  </si>
  <si>
    <t>893267877</t>
  </si>
  <si>
    <t>QV 738 H754 1992</t>
  </si>
  <si>
    <t>0                      QV 0738000H  754         1992</t>
  </si>
  <si>
    <t>The Homoeopathic pharmacopoeia of the United States revision service.</t>
  </si>
  <si>
    <t>V. 5</t>
  </si>
  <si>
    <t>[Washington, D.C.] : Homoeopathic Pharmacopoeia Convention of the United States, c1988-</t>
  </si>
  <si>
    <t>1993-11-22</t>
  </si>
  <si>
    <t>1994-06-16</t>
  </si>
  <si>
    <t>54685504:eng</t>
  </si>
  <si>
    <t>21793065</t>
  </si>
  <si>
    <t>991001231689702656</t>
  </si>
  <si>
    <t>2265077390002656</t>
  </si>
  <si>
    <t>30001003006345</t>
  </si>
  <si>
    <t>893369250</t>
  </si>
  <si>
    <t>30001002602250</t>
  </si>
  <si>
    <t>893369251</t>
  </si>
  <si>
    <t>30001002602235</t>
  </si>
  <si>
    <t>893369248</t>
  </si>
  <si>
    <t>1993-10-11</t>
  </si>
  <si>
    <t>30001002579425</t>
  </si>
  <si>
    <t>893374378</t>
  </si>
  <si>
    <t>V. 4</t>
  </si>
  <si>
    <t>30001002602276</t>
  </si>
  <si>
    <t>893369249</t>
  </si>
  <si>
    <t>QV 738 O58 1991</t>
  </si>
  <si>
    <t>0                      QV 0738000O  58          1991</t>
  </si>
  <si>
    <t>170 years of USP : the end of the beginning : proceedings of the United States Pharmacopeial Convention, Inc.</t>
  </si>
  <si>
    <t>Rockville, MD : United States Pharmacopeial Convention, Inc., Board of Trustees, c1991.</t>
  </si>
  <si>
    <t>1080856148:eng</t>
  </si>
  <si>
    <t>23961660</t>
  </si>
  <si>
    <t>991000943739702656</t>
  </si>
  <si>
    <t>2269923040002656</t>
  </si>
  <si>
    <t>30001002193193</t>
  </si>
  <si>
    <t>893727105</t>
  </si>
  <si>
    <t>QV 740 AA1 A17</t>
  </si>
  <si>
    <t>0                      QV 0740000AA 1                  A  17</t>
  </si>
  <si>
    <t>AMA drug evaluations / evaluated by the AMA Council on Drugs.</t>
  </si>
  <si>
    <t>Chicago : Americal Medical Association, 1971.</t>
  </si>
  <si>
    <t>1599212:eng</t>
  </si>
  <si>
    <t>17540175</t>
  </si>
  <si>
    <t>991000990659702656</t>
  </si>
  <si>
    <t>2264602580002656</t>
  </si>
  <si>
    <t>30001000225021</t>
  </si>
  <si>
    <t>893134162</t>
  </si>
  <si>
    <t>AMA drug evaluations / prepared by the AMA Department of Drugs in cooperation with the American Society for Clinical Pharmacology and Therapeutics.</t>
  </si>
  <si>
    <t>American Medical Association. Department of Drugs.</t>
  </si>
  <si>
    <t>Chicago : The Association, 1980.</t>
  </si>
  <si>
    <t>10628482578:eng</t>
  </si>
  <si>
    <t>16481943</t>
  </si>
  <si>
    <t>991001432409702656</t>
  </si>
  <si>
    <t>2258287610002656</t>
  </si>
  <si>
    <t>9780899700045</t>
  </si>
  <si>
    <t>30001000525891</t>
  </si>
  <si>
    <t>893161986</t>
  </si>
  <si>
    <t>Littleton, Mass. : Publishing Sciences Group, 1977.</t>
  </si>
  <si>
    <t>1988-03-26</t>
  </si>
  <si>
    <t>2926123</t>
  </si>
  <si>
    <t>991000990859702656</t>
  </si>
  <si>
    <t>2266834770002656</t>
  </si>
  <si>
    <t>9780884161752</t>
  </si>
  <si>
    <t>30001000225187</t>
  </si>
  <si>
    <t>893278583</t>
  </si>
  <si>
    <t>QV 740 AA1 A17 1986</t>
  </si>
  <si>
    <t>0                      QV 0740000AA 1                  A  17          1986</t>
  </si>
  <si>
    <t>AMA drug evaluations.</t>
  </si>
  <si>
    <t>American Medical Association. Division of Drugs and Technology.</t>
  </si>
  <si>
    <t>Chicago, Ill. : American Medical Association, c1986.</t>
  </si>
  <si>
    <t>6th ed. / prepared by the American Medical Association, Department of Drugs, Division of Drugs and Technology in cooperation with the American Society for Clinical Pharmacology and Therapeutics.</t>
  </si>
  <si>
    <t>24338392:eng</t>
  </si>
  <si>
    <t>14280121</t>
  </si>
  <si>
    <t>991001282119702656</t>
  </si>
  <si>
    <t>2260477060002656</t>
  </si>
  <si>
    <t>9780899702001</t>
  </si>
  <si>
    <t>30001000369316</t>
  </si>
  <si>
    <t>893121358</t>
  </si>
  <si>
    <t>QV 740 AA1 A53a 1987</t>
  </si>
  <si>
    <t>0                      QV 0740000AA 1                  A  53a         1987</t>
  </si>
  <si>
    <t>American Hospital Formulary Service drug information 87.</t>
  </si>
  <si>
    <t>Bethesda : American Society of Hospital Pharmacists, c1987.</t>
  </si>
  <si>
    <t>1989-12-04</t>
  </si>
  <si>
    <t>1987-09-29</t>
  </si>
  <si>
    <t>2863521418:eng</t>
  </si>
  <si>
    <t>15341455</t>
  </si>
  <si>
    <t>991000748309702656</t>
  </si>
  <si>
    <t>2264479270002656</t>
  </si>
  <si>
    <t>9780930530716</t>
  </si>
  <si>
    <t>30001000046591</t>
  </si>
  <si>
    <t>893648042</t>
  </si>
  <si>
    <t>QV 740 AA1 A5n 1957</t>
  </si>
  <si>
    <t>0                      QV 0740000AA 1                  A  5n          1957</t>
  </si>
  <si>
    <t>New and nonofficial remedies, 1957.</t>
  </si>
  <si>
    <t>American Medical Association.</t>
  </si>
  <si>
    <t>Philadelphia : Lippincott, c1957.</t>
  </si>
  <si>
    <t>1992-11-06</t>
  </si>
  <si>
    <t>1992-11-04</t>
  </si>
  <si>
    <t>4912373:eng</t>
  </si>
  <si>
    <t>20699646</t>
  </si>
  <si>
    <t>991001011139702656</t>
  </si>
  <si>
    <t>2262197600002656</t>
  </si>
  <si>
    <t>30001001571654</t>
  </si>
  <si>
    <t>893267985</t>
  </si>
  <si>
    <t>QV 740 AA1 B4d 1941</t>
  </si>
  <si>
    <t>0                      QV 0740000AA 1                  B  4d          1941</t>
  </si>
  <si>
    <t>Drug and specialty formulas : a selected collection of tested, modern and practical formulas for medicinal, household, industrial, commercial, veterinary, cosmetic and food specialties / by Emil J. Belanger.</t>
  </si>
  <si>
    <t>Belanger, Emil J.</t>
  </si>
  <si>
    <t>Brooklyn : Chemical Publ., c1941.</t>
  </si>
  <si>
    <t>234253213:eng</t>
  </si>
  <si>
    <t>829570</t>
  </si>
  <si>
    <t>991000991299702656</t>
  </si>
  <si>
    <t>2269695600002656</t>
  </si>
  <si>
    <t>30001000225328</t>
  </si>
  <si>
    <t>893637925</t>
  </si>
  <si>
    <t>QV 740 AN1 W637a 1990-91</t>
  </si>
  <si>
    <t>0                      QV 0740000AN 1                  W  637a        1990                  -91</t>
  </si>
  <si>
    <t>AMI Saint Joseph Hospital formulary, 1990-1991 / William D. Wickman.</t>
  </si>
  <si>
    <t>Wickman, William D.</t>
  </si>
  <si>
    <t>Omaha : Dept. of Pharmaceutical Services, Saint Joseph Hospital, 1990.</t>
  </si>
  <si>
    <t>10th ed. / Donald R. Fagan.</t>
  </si>
  <si>
    <t>1990-10-18</t>
  </si>
  <si>
    <t>24814743:eng</t>
  </si>
  <si>
    <t>23753338</t>
  </si>
  <si>
    <t>991000769819702656</t>
  </si>
  <si>
    <t>2271098520002656</t>
  </si>
  <si>
    <t>30001002061853</t>
  </si>
  <si>
    <t>893120359</t>
  </si>
  <si>
    <t>QV 740 AN1 W637s 1991-92</t>
  </si>
  <si>
    <t>0                      QV 0740000AN 1                  W  637s        1991                  -92</t>
  </si>
  <si>
    <t>Saint Joseph Hospital formulary, 1991-1992 / William D. Wickman.</t>
  </si>
  <si>
    <t>Omaha : Dept. of Pharmaceutical Services, Saint Joseph Hospital, 1991.</t>
  </si>
  <si>
    <t>11th ed. / Colleen M. Currie.</t>
  </si>
  <si>
    <t>1991-08-23</t>
  </si>
  <si>
    <t>43777651:eng</t>
  </si>
  <si>
    <t>24944417</t>
  </si>
  <si>
    <t>991000945619702656</t>
  </si>
  <si>
    <t>2265644080002656</t>
  </si>
  <si>
    <t>30001002193698</t>
  </si>
  <si>
    <t>893731549</t>
  </si>
  <si>
    <t>QV 740 FA1 P536 1994</t>
  </si>
  <si>
    <t>0                      QV 0740000FA 1                  P  536         1994</t>
  </si>
  <si>
    <t>The pharmaceutical codex : principles and practice of pharmaceutics / editor Walter Lund.</t>
  </si>
  <si>
    <t>London : Pharmaceutical Press, c1994.</t>
  </si>
  <si>
    <t>1994-06-22</t>
  </si>
  <si>
    <t>891393286:eng</t>
  </si>
  <si>
    <t>30547377</t>
  </si>
  <si>
    <t>991000671089702656</t>
  </si>
  <si>
    <t>2263902670002656</t>
  </si>
  <si>
    <t>9780853692904</t>
  </si>
  <si>
    <t>30001002695981</t>
  </si>
  <si>
    <t>893730914</t>
  </si>
  <si>
    <t>QV740 P964 2003</t>
  </si>
  <si>
    <t>0                      QV 0740000P  964         2003</t>
  </si>
  <si>
    <t>Profiles of drug substances, excipients and related methodology / edited by Harry G. Brittain.</t>
  </si>
  <si>
    <t>Amsterdam : Boston : Elsevier Science, c2003.</t>
  </si>
  <si>
    <t>2004-03-10</t>
  </si>
  <si>
    <t>2004-03-02</t>
  </si>
  <si>
    <t>4111577215:eng</t>
  </si>
  <si>
    <t>53982835</t>
  </si>
  <si>
    <t>991000367429702656</t>
  </si>
  <si>
    <t>2265751710002656</t>
  </si>
  <si>
    <t>9780122608308</t>
  </si>
  <si>
    <t>30001004509693</t>
  </si>
  <si>
    <t>893370415</t>
  </si>
  <si>
    <t>QV 744 C737 1990</t>
  </si>
  <si>
    <t>0                      QV 0744000C  737         1990</t>
  </si>
  <si>
    <t>Comprehensive medicinal chemistry : the rational design, mechanistic study &amp; therapeutic applications of chemical compounds / chairman of the editorial board, Corwin Hansch ; joint executive editors, Peter G. Sammes, John B. Taylor.</t>
  </si>
  <si>
    <t>Oxford ; New York : Pergamon Press, c1990.</t>
  </si>
  <si>
    <t>1995-11-20</t>
  </si>
  <si>
    <t>2005-11-18</t>
  </si>
  <si>
    <t>1990-06-21</t>
  </si>
  <si>
    <t>5377518033:eng</t>
  </si>
  <si>
    <t>20168118</t>
  </si>
  <si>
    <t>991001449629702656</t>
  </si>
  <si>
    <t>2260283390002656</t>
  </si>
  <si>
    <t>9780080325309</t>
  </si>
  <si>
    <t>30001001882523</t>
  </si>
  <si>
    <t>893821225</t>
  </si>
  <si>
    <t>30001001882515</t>
  </si>
  <si>
    <t>893826764</t>
  </si>
  <si>
    <t>V. 6</t>
  </si>
  <si>
    <t>1996-03-22</t>
  </si>
  <si>
    <t>30001001882549</t>
  </si>
  <si>
    <t>893834680</t>
  </si>
  <si>
    <t>1997-03-20</t>
  </si>
  <si>
    <t>30001001882531</t>
  </si>
  <si>
    <t>893832200</t>
  </si>
  <si>
    <t>1997-04-10</t>
  </si>
  <si>
    <t>30001001882499</t>
  </si>
  <si>
    <t>893826766</t>
  </si>
  <si>
    <t>30001001882507</t>
  </si>
  <si>
    <t>893826765</t>
  </si>
  <si>
    <t>QV 744 D7943 1993</t>
  </si>
  <si>
    <t>0                      QV 0744000D  7943        1993</t>
  </si>
  <si>
    <t>Drug stereochemistry : analytical methods and pharmacology / edited by Irving W. Wainer.</t>
  </si>
  <si>
    <t>Clinical pharmacology ; 18</t>
  </si>
  <si>
    <t>2001-12-06</t>
  </si>
  <si>
    <t>795705129:eng</t>
  </si>
  <si>
    <t>27187740</t>
  </si>
  <si>
    <t>991001512039702656</t>
  </si>
  <si>
    <t>2272736720002656</t>
  </si>
  <si>
    <t>9780824788193</t>
  </si>
  <si>
    <t>30001002600999</t>
  </si>
  <si>
    <t>893121583</t>
  </si>
  <si>
    <t>QV 744 F796p 1981</t>
  </si>
  <si>
    <t>0                      QV 0744000F  796p        1981</t>
  </si>
  <si>
    <t>Principles of medicinal chemistry / edited by William O. Foye.</t>
  </si>
  <si>
    <t>Foye, William O.</t>
  </si>
  <si>
    <t>Philadelphia : Lea &amp; Febiger, 1981.</t>
  </si>
  <si>
    <t>2003-09-07</t>
  </si>
  <si>
    <t>5091573859:eng</t>
  </si>
  <si>
    <t>6579734</t>
  </si>
  <si>
    <t>991000748399702656</t>
  </si>
  <si>
    <t>2264199600002656</t>
  </si>
  <si>
    <t>9780812107227</t>
  </si>
  <si>
    <t>30001000046625</t>
  </si>
  <si>
    <t>893551431</t>
  </si>
  <si>
    <t>QV 744 I58 1974</t>
  </si>
  <si>
    <t>0                      QV 0744000I  58          1974</t>
  </si>
  <si>
    <t>Inorganic medicinal and pharmaceutical chemistry [by] John H. Block [et al.]</t>
  </si>
  <si>
    <t>Philadelphia : Lea &amp; Febiger, 1974.</t>
  </si>
  <si>
    <t>1994-08-18</t>
  </si>
  <si>
    <t>3857028193:eng</t>
  </si>
  <si>
    <t>745967</t>
  </si>
  <si>
    <t>991000748469702656</t>
  </si>
  <si>
    <t>2268940410002656</t>
  </si>
  <si>
    <t>9780812104431</t>
  </si>
  <si>
    <t>30001000046641</t>
  </si>
  <si>
    <t>893459778</t>
  </si>
  <si>
    <t>QV 744 J52c 1957</t>
  </si>
  <si>
    <t>0                      QV 0744000J  52c         1957</t>
  </si>
  <si>
    <t>The chemistry of organic medicinal products / by Glenn L. Jenkins.</t>
  </si>
  <si>
    <t>New York : Wiley, c1957.</t>
  </si>
  <si>
    <t>2004-09-13</t>
  </si>
  <si>
    <t>1742827:eng</t>
  </si>
  <si>
    <t>831412</t>
  </si>
  <si>
    <t>991000991389702656</t>
  </si>
  <si>
    <t>2271896120002656</t>
  </si>
  <si>
    <t>30001000225476</t>
  </si>
  <si>
    <t>893552037</t>
  </si>
  <si>
    <t>QV 744 L554r 1992</t>
  </si>
  <si>
    <t>0                      QV 0744000L  554r        1992</t>
  </si>
  <si>
    <t>Review of organic functional groups : introduction to medicinal organic chemistry / Thomas L. Lemke.</t>
  </si>
  <si>
    <t>Lemke, Thomas L.</t>
  </si>
  <si>
    <t>2010-05-19</t>
  </si>
  <si>
    <t>1995-06-22</t>
  </si>
  <si>
    <t>766796:eng</t>
  </si>
  <si>
    <t>23941653</t>
  </si>
  <si>
    <t>991001401439702656</t>
  </si>
  <si>
    <t>2270424870002656</t>
  </si>
  <si>
    <t>9780812114287</t>
  </si>
  <si>
    <t>30001003148402</t>
  </si>
  <si>
    <t>893374506</t>
  </si>
  <si>
    <t>QV 744 P957 1995</t>
  </si>
  <si>
    <t>0                      QV 0744000P  957         1995</t>
  </si>
  <si>
    <t>Principles of medicinal chemistry / [edited by] William O. Foye, Thomas L. Lemke, David A. Williams.</t>
  </si>
  <si>
    <t>Baltimore ; Williams &amp; Wilkins, c1995.</t>
  </si>
  <si>
    <t>2010-12-04</t>
  </si>
  <si>
    <t>354622242:eng</t>
  </si>
  <si>
    <t>30892084</t>
  </si>
  <si>
    <t>991001491849702656</t>
  </si>
  <si>
    <t>2270150990002656</t>
  </si>
  <si>
    <t>9780683033236</t>
  </si>
  <si>
    <t>30001003264688</t>
  </si>
  <si>
    <t>893374653</t>
  </si>
  <si>
    <t>QV 744 R845a 1991 v.2</t>
  </si>
  <si>
    <t>0                      QV 0744000R  845a        1991                                        v.2</t>
  </si>
  <si>
    <t>Pharmaceutical chemistry / H.J. Roth and A. Kleemann, in collaboration with T. Beisswenger ; translated by M.D. Cooke ; special consultant, P.G. Sammes.</t>
  </si>
  <si>
    <t>V.2</t>
  </si>
  <si>
    <t>Roth, Hermann J.</t>
  </si>
  <si>
    <t>Chichester : Ellis Horwood ; New York : Halstead Press, c1991.</t>
  </si>
  <si>
    <t>v. 2: Ellis Horwood series in pharmaceutical technology</t>
  </si>
  <si>
    <t>2006-08-03</t>
  </si>
  <si>
    <t>10678214717:eng</t>
  </si>
  <si>
    <t>17440756</t>
  </si>
  <si>
    <t>991001297119702656</t>
  </si>
  <si>
    <t>2256461290002656</t>
  </si>
  <si>
    <t>9780136633600</t>
  </si>
  <si>
    <t>30001002410209</t>
  </si>
  <si>
    <t>893455673</t>
  </si>
  <si>
    <t>QV 744 W754 1991</t>
  </si>
  <si>
    <t>0                      QV 0744000W  754         1991</t>
  </si>
  <si>
    <t>Wilson and Gisvold's textbook of organic medicinal and pharmaceutical chemistry.</t>
  </si>
  <si>
    <t>9th ed. / edited by Jaime N. Delgado and William A. Remers ; 17 contributors.</t>
  </si>
  <si>
    <t>3376589301:eng</t>
  </si>
  <si>
    <t>22813514</t>
  </si>
  <si>
    <t>991000943969702656</t>
  </si>
  <si>
    <t>2267958900002656</t>
  </si>
  <si>
    <t>9780397508778</t>
  </si>
  <si>
    <t>30001002193227</t>
  </si>
  <si>
    <t>893727106</t>
  </si>
  <si>
    <t>QV 748 D794 1989</t>
  </si>
  <si>
    <t>0                      QV 0748000D  794         1989</t>
  </si>
  <si>
    <t>Drug regimen review : a process guide for pharmacists.</t>
  </si>
  <si>
    <t>Philadelphia : Geriatric Pharmacy Institute, Philadelphia College of Pharmacy and Science ; Arlington, VA. : American Society of Consultant Pharmacists, 1989.</t>
  </si>
  <si>
    <t>1999-06-04</t>
  </si>
  <si>
    <t>432617950:eng</t>
  </si>
  <si>
    <t>20803463</t>
  </si>
  <si>
    <t>991001298779702656</t>
  </si>
  <si>
    <t>2256514790002656</t>
  </si>
  <si>
    <t>30001002411009</t>
  </si>
  <si>
    <t>893121383</t>
  </si>
  <si>
    <t>QV 748 G778c 2006</t>
  </si>
  <si>
    <t>0                      QV 0748000G  778c        2006</t>
  </si>
  <si>
    <t>Calculate with confidence / Deborah C. Morris Gray.</t>
  </si>
  <si>
    <t>Morris, Deborah Gray.</t>
  </si>
  <si>
    <t>St. Louis, Mo. ; London : Elsevier Mosby, 2006.</t>
  </si>
  <si>
    <t>2006-08-25</t>
  </si>
  <si>
    <t>622721:eng</t>
  </si>
  <si>
    <t>61424876</t>
  </si>
  <si>
    <t>991001737179702656</t>
  </si>
  <si>
    <t>2265981300002656</t>
  </si>
  <si>
    <t>9780323029285</t>
  </si>
  <si>
    <t>30001005120409</t>
  </si>
  <si>
    <t>893279356</t>
  </si>
  <si>
    <t>QV 748 K26c 1988</t>
  </si>
  <si>
    <t>0                      QV 0748000K  26c         1988</t>
  </si>
  <si>
    <t>Clinical calculations : with applications to general and specialty areas / Joyce L. Kee, Sally M. Marshall.</t>
  </si>
  <si>
    <t>Philadelphia : Saunders, c1988.</t>
  </si>
  <si>
    <t>2000-10-03</t>
  </si>
  <si>
    <t>1989-08-08</t>
  </si>
  <si>
    <t>11949816:eng</t>
  </si>
  <si>
    <t>17201041</t>
  </si>
  <si>
    <t>991001313139702656</t>
  </si>
  <si>
    <t>2255403010002656</t>
  </si>
  <si>
    <t>9780721620732</t>
  </si>
  <si>
    <t>30001001751637</t>
  </si>
  <si>
    <t>893121398</t>
  </si>
  <si>
    <t>QV 748 M489d 1988</t>
  </si>
  <si>
    <t>0                      QV 0748000M  489d        1988</t>
  </si>
  <si>
    <t>Drug dosage calculations : a guide for clinical practice / Geraldine Ann Medici.</t>
  </si>
  <si>
    <t>Medici, Geraldine Ann.</t>
  </si>
  <si>
    <t>1995-08-06</t>
  </si>
  <si>
    <t>1988-08-05</t>
  </si>
  <si>
    <t>969678:eng</t>
  </si>
  <si>
    <t>16525315</t>
  </si>
  <si>
    <t>991001419079702656</t>
  </si>
  <si>
    <t>2255978610002656</t>
  </si>
  <si>
    <t>9780838517758</t>
  </si>
  <si>
    <t>30001001181694</t>
  </si>
  <si>
    <t>893557972</t>
  </si>
  <si>
    <t>QV 748 M694 1987</t>
  </si>
  <si>
    <t>0                      QV 0748000M  694         1987</t>
  </si>
  <si>
    <t>Medical dosage calculations / June Looby Olsen ... [et al.].</t>
  </si>
  <si>
    <t>Menlo Park, Calif. : Addison-Wesley Pub. Co., Health Sciences Division, c1987.</t>
  </si>
  <si>
    <t>2001-09-07</t>
  </si>
  <si>
    <t>54386439:eng</t>
  </si>
  <si>
    <t>14691947</t>
  </si>
  <si>
    <t>991001527989702656</t>
  </si>
  <si>
    <t>2272507340002656</t>
  </si>
  <si>
    <t>9780201191851</t>
  </si>
  <si>
    <t>30001000620460</t>
  </si>
  <si>
    <t>893743892</t>
  </si>
  <si>
    <t>QV 748 N937 1988</t>
  </si>
  <si>
    <t>0                      QV 0748000N  937         1988</t>
  </si>
  <si>
    <t>Novel drug delivery and its therapeutic application / edited by L.F. Prescott and W.S. Nimmo.</t>
  </si>
  <si>
    <t>Chichester ; New York : Wiley, c1989.</t>
  </si>
  <si>
    <t>1990-03-23</t>
  </si>
  <si>
    <t>510072093:eng</t>
  </si>
  <si>
    <t>19815352</t>
  </si>
  <si>
    <t>991001447699702656</t>
  </si>
  <si>
    <t>2259267850002656</t>
  </si>
  <si>
    <t>9780471921547</t>
  </si>
  <si>
    <t>30001001881194</t>
  </si>
  <si>
    <t>893652028</t>
  </si>
  <si>
    <t>QV 748 P365h 1978</t>
  </si>
  <si>
    <t>0                      QV 0748000P  365h        1978</t>
  </si>
  <si>
    <t>How to calculate drug dosages : a ready reference and textbook / by Angela R. Pecherer and Suzanne L. Vertuno ; consulting editor, Jill Burk.</t>
  </si>
  <si>
    <t>Carver, Angela R.</t>
  </si>
  <si>
    <t>Oradell, N.J. : Medical Economics Co., c1978.</t>
  </si>
  <si>
    <t>2002-04-06</t>
  </si>
  <si>
    <t>7045811:eng</t>
  </si>
  <si>
    <t>5513214</t>
  </si>
  <si>
    <t>991001282179702656</t>
  </si>
  <si>
    <t>2271841050002656</t>
  </si>
  <si>
    <t>9780874891409</t>
  </si>
  <si>
    <t>30001000369589</t>
  </si>
  <si>
    <t>893826617</t>
  </si>
  <si>
    <t>QV 748 P594d 1990</t>
  </si>
  <si>
    <t>0                      QV 0748000P  594d        1990</t>
  </si>
  <si>
    <t>Dosage calculations / Gloria D. Pickar.</t>
  </si>
  <si>
    <t>Pickar, Gloria D., 1946-</t>
  </si>
  <si>
    <t>789203:eng</t>
  </si>
  <si>
    <t>20220212</t>
  </si>
  <si>
    <t>991000815839702656</t>
  </si>
  <si>
    <t>2255181000002656</t>
  </si>
  <si>
    <t>9780827339514</t>
  </si>
  <si>
    <t>30001002086272</t>
  </si>
  <si>
    <t>893557286</t>
  </si>
  <si>
    <t>QV 748 P594d 2004</t>
  </si>
  <si>
    <t>0                      QV 0748000P  594d        2004</t>
  </si>
  <si>
    <t>Australia ; Clifton Park, NY : Thomson/Delmar Learning, c2004.</t>
  </si>
  <si>
    <t>52041266</t>
  </si>
  <si>
    <t>991001743909702656</t>
  </si>
  <si>
    <t>2258963170002656</t>
  </si>
  <si>
    <t>9780766862869</t>
  </si>
  <si>
    <t>30001005120177</t>
  </si>
  <si>
    <t>893633338</t>
  </si>
  <si>
    <t>QV 748 P594d 2008</t>
  </si>
  <si>
    <t>0                      QV 0748000P  594d        2008</t>
  </si>
  <si>
    <t>Dosage calculations / Gloria D. Pickar, Amy Pickar Abernethy.</t>
  </si>
  <si>
    <t>Clifton Park, NY : Thomson Delmar Learning, c2008.</t>
  </si>
  <si>
    <t>2008-10-03</t>
  </si>
  <si>
    <t>2008-10-02</t>
  </si>
  <si>
    <t>167769589</t>
  </si>
  <si>
    <t>991001322359702656</t>
  </si>
  <si>
    <t>2272213650002656</t>
  </si>
  <si>
    <t>9781418080471</t>
  </si>
  <si>
    <t>30001005372349</t>
  </si>
  <si>
    <t>893731884</t>
  </si>
  <si>
    <t>QV 748 R496m 1993</t>
  </si>
  <si>
    <t>0                      QV 0748000R  496m        1993</t>
  </si>
  <si>
    <t>Medications and mathematics for the nurse / Jane Rice, Esther G. Skelley.</t>
  </si>
  <si>
    <t>Albany, N.Y. : Delmar Publishers, c1993.</t>
  </si>
  <si>
    <t>1993-09-03</t>
  </si>
  <si>
    <t>4820364200:eng</t>
  </si>
  <si>
    <t>25867222</t>
  </si>
  <si>
    <t>991001512899702656</t>
  </si>
  <si>
    <t>2256143770002656</t>
  </si>
  <si>
    <t>9780827351196</t>
  </si>
  <si>
    <t>30001002601161</t>
  </si>
  <si>
    <t>893649286</t>
  </si>
  <si>
    <t>QV 748 S432a 1957</t>
  </si>
  <si>
    <t>0                      QV 0748000S  432a        1957</t>
  </si>
  <si>
    <t>Scoville's The art of compounding / by Glenn L. Jenkins [and others]</t>
  </si>
  <si>
    <t>Scoville, Wilbur L. (Wilbur Lincoln), 1865-1942.</t>
  </si>
  <si>
    <t>New York : Blakiston Division, 1957.</t>
  </si>
  <si>
    <t>1995-04-26</t>
  </si>
  <si>
    <t>192646136:eng</t>
  </si>
  <si>
    <t>14591769</t>
  </si>
  <si>
    <t>991000992379702656</t>
  </si>
  <si>
    <t>2255026050002656</t>
  </si>
  <si>
    <t>30001000226011</t>
  </si>
  <si>
    <t>893740657</t>
  </si>
  <si>
    <t>QV 748 W644d 1992</t>
  </si>
  <si>
    <t>0                      QV 0748000W  644d        1992</t>
  </si>
  <si>
    <t>Dosages and calculations / by Richard Wiederhold.</t>
  </si>
  <si>
    <t>Wiederhold, Richard.</t>
  </si>
  <si>
    <t>Orlando, FL : Prentice Hall, c1992.</t>
  </si>
  <si>
    <t>1999-06-25</t>
  </si>
  <si>
    <t>25154214:eng</t>
  </si>
  <si>
    <t>24068479</t>
  </si>
  <si>
    <t>991001297989702656</t>
  </si>
  <si>
    <t>2261468810002656</t>
  </si>
  <si>
    <t>30001002410498</t>
  </si>
  <si>
    <t>893727443</t>
  </si>
  <si>
    <t>QV 752 D782c 1928</t>
  </si>
  <si>
    <t>0                      QV 0752000D  782c        1928</t>
  </si>
  <si>
    <t>The chemistry of crude drugs : an elementary textbook for students of pharmacognosy / by John Edmund Driver and George Edward Trease.</t>
  </si>
  <si>
    <t>Driver, John Edmund, 1900-</t>
  </si>
  <si>
    <t>London ; New York : Longmans, Green, c1928.</t>
  </si>
  <si>
    <t>1928</t>
  </si>
  <si>
    <t>2000-04-04</t>
  </si>
  <si>
    <t>4021049058:eng</t>
  </si>
  <si>
    <t>2406076</t>
  </si>
  <si>
    <t>991000992249702656</t>
  </si>
  <si>
    <t>2272353790002656</t>
  </si>
  <si>
    <t>30001000225955</t>
  </si>
  <si>
    <t>893815987</t>
  </si>
  <si>
    <t>QV 752 H918 1992</t>
  </si>
  <si>
    <t>0                      QV 0752000H  918         1992</t>
  </si>
  <si>
    <t>Human medicinal agents from plants / [editors], A. Douglas Kinghorn, Manuel F. Balandrin.</t>
  </si>
  <si>
    <t>Washington, D.C. : American Chemical Society, c1993.</t>
  </si>
  <si>
    <t>ACS symposium series, 0097-6156 ; 534</t>
  </si>
  <si>
    <t>1994-04-21</t>
  </si>
  <si>
    <t>807475105:eng</t>
  </si>
  <si>
    <t>28291173</t>
  </si>
  <si>
    <t>991001161429702656</t>
  </si>
  <si>
    <t>2257945720002656</t>
  </si>
  <si>
    <t>9780841227057</t>
  </si>
  <si>
    <t>30001002974154</t>
  </si>
  <si>
    <t>893374298</t>
  </si>
  <si>
    <t>QV 752 R183m 1959</t>
  </si>
  <si>
    <t>0                      QV 0752000R  183m        1959</t>
  </si>
  <si>
    <t>Modern pharmacognosy.</t>
  </si>
  <si>
    <t>Ramstad, Egil.</t>
  </si>
  <si>
    <t>New York : Blackiston Division, McGraw-Hill, 1959.</t>
  </si>
  <si>
    <t>1997-10-02</t>
  </si>
  <si>
    <t>2675601:eng</t>
  </si>
  <si>
    <t>1824580</t>
  </si>
  <si>
    <t>991000992169702656</t>
  </si>
  <si>
    <t>2257266430002656</t>
  </si>
  <si>
    <t>30001000225922</t>
  </si>
  <si>
    <t>893736125</t>
  </si>
  <si>
    <t>QV 752 T984p 1981</t>
  </si>
  <si>
    <t>0                      QV 0752000T  984p        1981</t>
  </si>
  <si>
    <t>Pharmacognosy / Varro E. Tyler, Lynn R. Brady, James E. Robbers.</t>
  </si>
  <si>
    <t>Tyler, Varro E.</t>
  </si>
  <si>
    <t>Philadelphia : Lea &amp; Febiger, c1981.</t>
  </si>
  <si>
    <t>4187526:eng</t>
  </si>
  <si>
    <t>7555681</t>
  </si>
  <si>
    <t>991000992129702656</t>
  </si>
  <si>
    <t>2257180070002656</t>
  </si>
  <si>
    <t>9780812107937</t>
  </si>
  <si>
    <t>30001000225906</t>
  </si>
  <si>
    <t>893815986</t>
  </si>
  <si>
    <t>QV 766 E53n 1972</t>
  </si>
  <si>
    <t>0                      QV 0766000E  53n         1972</t>
  </si>
  <si>
    <t>Narcotic plants / William Emboden.</t>
  </si>
  <si>
    <t>Emboden, William A.</t>
  </si>
  <si>
    <t>London : Studio Vista, 1972.</t>
  </si>
  <si>
    <t>2006-09-18</t>
  </si>
  <si>
    <t>398173:eng</t>
  </si>
  <si>
    <t>2090997</t>
  </si>
  <si>
    <t>991000992009702656</t>
  </si>
  <si>
    <t>2267011090002656</t>
  </si>
  <si>
    <t>30001000225864</t>
  </si>
  <si>
    <t>893731585</t>
  </si>
  <si>
    <t>QV 766 K92g 1964</t>
  </si>
  <si>
    <t>0                      QV 0766000K  92g         1964</t>
  </si>
  <si>
    <t>Green medicine : the search for plants that heal.</t>
  </si>
  <si>
    <t>Kreig, Margaret.</t>
  </si>
  <si>
    <t>Chicago : Rand McNally, [1964]</t>
  </si>
  <si>
    <t>1997-10-10</t>
  </si>
  <si>
    <t>1599916:eng</t>
  </si>
  <si>
    <t>552260</t>
  </si>
  <si>
    <t>991000992059702656</t>
  </si>
  <si>
    <t>2259781030002656</t>
  </si>
  <si>
    <t>30001000225856</t>
  </si>
  <si>
    <t>893148793</t>
  </si>
  <si>
    <t>QV 766 S588m 1965</t>
  </si>
  <si>
    <t>0                      QV 0766000S  588m        1965</t>
  </si>
  <si>
    <t>Medicinal plant alkaloids : an introduction for pharmacy students / Stephen K. Sim.</t>
  </si>
  <si>
    <t>Sim, Stephen K.</t>
  </si>
  <si>
    <t>[Toronto] : University of Toronto Press, [1965]</t>
  </si>
  <si>
    <t>1965</t>
  </si>
  <si>
    <t>1988-11-15</t>
  </si>
  <si>
    <t>8776313:eng</t>
  </si>
  <si>
    <t>824858</t>
  </si>
  <si>
    <t>991000991959702656</t>
  </si>
  <si>
    <t>2267529770002656</t>
  </si>
  <si>
    <t>30001000225831</t>
  </si>
  <si>
    <t>893632643</t>
  </si>
  <si>
    <t>QV 766 S989p 1968</t>
  </si>
  <si>
    <t>0                      QV 0766000S  989p        1968</t>
  </si>
  <si>
    <t>Plants in the development of modern medicine / Edited by Tony Swain.</t>
  </si>
  <si>
    <t>Symposium "Plants in the Development of Modern Medicine" (1968 : Harvard University)</t>
  </si>
  <si>
    <t>Cambridge, Mass. : Harvard University Press, 1972.</t>
  </si>
  <si>
    <t>473851397:eng</t>
  </si>
  <si>
    <t>315554</t>
  </si>
  <si>
    <t>991000991929702656</t>
  </si>
  <si>
    <t>2268811690002656</t>
  </si>
  <si>
    <t>9780674673304</t>
  </si>
  <si>
    <t>30001000225807</t>
  </si>
  <si>
    <t>893540918</t>
  </si>
  <si>
    <t>QV 766 T244p 1965</t>
  </si>
  <si>
    <t>0                      QV 0766000T  244p        1965</t>
  </si>
  <si>
    <t>Plant drugs that changed the world / by Norman Taylor ; with drawings by Margaret Cosgrove.</t>
  </si>
  <si>
    <t>Taylor, Norman, 1883-1967.</t>
  </si>
  <si>
    <t>New York : Dodd, Mead, c1965.</t>
  </si>
  <si>
    <t>2006-04-12</t>
  </si>
  <si>
    <t>149214575:eng</t>
  </si>
  <si>
    <t>711515</t>
  </si>
  <si>
    <t>991000991909702656</t>
  </si>
  <si>
    <t>2261910200002656</t>
  </si>
  <si>
    <t>30001000225799</t>
  </si>
  <si>
    <t>893460196</t>
  </si>
  <si>
    <t>QV 770 AA1 C775u 1963</t>
  </si>
  <si>
    <t>0                      QV 0770000AA 1                  C  775u        1963</t>
  </si>
  <si>
    <t>Using plants for healing : an American herbal.</t>
  </si>
  <si>
    <t>Coon, Nelson.</t>
  </si>
  <si>
    <t>[New York] : Hearthside Press, [1963]</t>
  </si>
  <si>
    <t>1999-09-15</t>
  </si>
  <si>
    <t>793076094:eng</t>
  </si>
  <si>
    <t>1183112</t>
  </si>
  <si>
    <t>991000991839702656</t>
  </si>
  <si>
    <t>2267775520002656</t>
  </si>
  <si>
    <t>30001000225781</t>
  </si>
  <si>
    <t>893134164</t>
  </si>
  <si>
    <t>QV 770 JC6 H835p 1993</t>
  </si>
  <si>
    <t>0                      QV 0770000JC 6                  H  835p        1993</t>
  </si>
  <si>
    <t>The pharmacology of Chinese herbs / Kee Chang Huang.</t>
  </si>
  <si>
    <t>Huang, K. C. (Kee Chang), 1917-</t>
  </si>
  <si>
    <t>2004-09-01</t>
  </si>
  <si>
    <t>1993-06-25</t>
  </si>
  <si>
    <t>27824460:eng</t>
  </si>
  <si>
    <t>25509156</t>
  </si>
  <si>
    <t>991001509659702656</t>
  </si>
  <si>
    <t>2259108340002656</t>
  </si>
  <si>
    <t>9780849349157</t>
  </si>
  <si>
    <t>30001002600569</t>
  </si>
  <si>
    <t>893643654</t>
  </si>
  <si>
    <t>QV 771 D7942 1987</t>
  </si>
  <si>
    <t>0                      QV 0771000D  7942        1987</t>
  </si>
  <si>
    <t>Drug discovery and development / edited by Michael Williams and Jeffrey B. Malick.</t>
  </si>
  <si>
    <t>Clifton, N.J. : Humana Press, c1987.</t>
  </si>
  <si>
    <t>Contemporary biomedicine</t>
  </si>
  <si>
    <t>1995-03-07</t>
  </si>
  <si>
    <t>354616647:eng</t>
  </si>
  <si>
    <t>15860347</t>
  </si>
  <si>
    <t>991001422969702656</t>
  </si>
  <si>
    <t>2262618890002656</t>
  </si>
  <si>
    <t>9780896031081</t>
  </si>
  <si>
    <t>30001001182965</t>
  </si>
  <si>
    <t>893134565</t>
  </si>
  <si>
    <t>QV 771 G6465 1998</t>
  </si>
  <si>
    <t>0                      QV 0771000G  6465        1998</t>
  </si>
  <si>
    <t>Good clinical practice : standard operating procedures for clinical researchers / edited by Josef Kolman, Paul Meng, and Graeme Scott.</t>
  </si>
  <si>
    <t>Chichester, England ; New York : J. Wiley &amp; Sons, c1998.</t>
  </si>
  <si>
    <t>2003-10-15</t>
  </si>
  <si>
    <t>1999-07-09</t>
  </si>
  <si>
    <t>799560761:eng</t>
  </si>
  <si>
    <t>37696634</t>
  </si>
  <si>
    <t>991000795429702656</t>
  </si>
  <si>
    <t>2270370970002656</t>
  </si>
  <si>
    <t>9780471969365</t>
  </si>
  <si>
    <t>30001004077998</t>
  </si>
  <si>
    <t>893368571</t>
  </si>
  <si>
    <t>QV771 G946 2000</t>
  </si>
  <si>
    <t>0                      QV 0771000G  946         2000</t>
  </si>
  <si>
    <t>A guide to clinical drug research / edited by Adam Cohen and John Posner.</t>
  </si>
  <si>
    <t>Dordrecht ; Boston : Kluwer Academic Publishers, 2000.</t>
  </si>
  <si>
    <t>2002-12-10</t>
  </si>
  <si>
    <t>350419779:eng</t>
  </si>
  <si>
    <t>43095597</t>
  </si>
  <si>
    <t>991000321209702656</t>
  </si>
  <si>
    <t>2269355710002656</t>
  </si>
  <si>
    <t>9780792361718</t>
  </si>
  <si>
    <t>30001004442671</t>
  </si>
  <si>
    <t>893629093</t>
  </si>
  <si>
    <t>QV 771 H236 1995</t>
  </si>
  <si>
    <t>0                      QV 0771000H  236         1995</t>
  </si>
  <si>
    <t>Handbook of workplace drug testing / edited by Ray H. Liu, Bruce A. Goldberger.</t>
  </si>
  <si>
    <t>Washington, DC : AACC Press, c1995.</t>
  </si>
  <si>
    <t>1998-03-22</t>
  </si>
  <si>
    <t>1996-04-03</t>
  </si>
  <si>
    <t>350282879:eng</t>
  </si>
  <si>
    <t>32389235</t>
  </si>
  <si>
    <t>991001505549702656</t>
  </si>
  <si>
    <t>2258762010002656</t>
  </si>
  <si>
    <t>9780915274772</t>
  </si>
  <si>
    <t>30001003264258</t>
  </si>
  <si>
    <t>893374665</t>
  </si>
  <si>
    <t>QV 771 M514c 1996</t>
  </si>
  <si>
    <t>0                      QV 0771000M  514c        1996</t>
  </si>
  <si>
    <t>Clinical trials dictionary : terminology and usage recommendations / Curtis L. Meinert.</t>
  </si>
  <si>
    <t>Meinert, Curtis L.</t>
  </si>
  <si>
    <t>Baltimore, Md. : The Johns Hopkins University; School of Hygiene and Public Health; Center for Clinical Trials, c1996.</t>
  </si>
  <si>
    <t>Edition 1.0, 1st printing</t>
  </si>
  <si>
    <t>1996-09-27</t>
  </si>
  <si>
    <t>1062971721:eng</t>
  </si>
  <si>
    <t>34085231</t>
  </si>
  <si>
    <t>991000836119702656</t>
  </si>
  <si>
    <t>2267917570002656</t>
  </si>
  <si>
    <t>9780964642409</t>
  </si>
  <si>
    <t>30001003441856</t>
  </si>
  <si>
    <t>893368736</t>
  </si>
  <si>
    <t>QV 771 N53245 1993</t>
  </si>
  <si>
    <t>0                      QV 0771000N  53245       1993</t>
  </si>
  <si>
    <t>New technologies and concepts for reducing drug toxicities / edited by Harry Salem, Steven I. Baskin.</t>
  </si>
  <si>
    <t>365261707:eng</t>
  </si>
  <si>
    <t>26160254</t>
  </si>
  <si>
    <t>991001511269702656</t>
  </si>
  <si>
    <t>2256435330002656</t>
  </si>
  <si>
    <t>9780849388965</t>
  </si>
  <si>
    <t>30001002600858</t>
  </si>
  <si>
    <t>893552588</t>
  </si>
  <si>
    <t>QV 771 S525b 2006</t>
  </si>
  <si>
    <t>0                      QV 0771000S  525b        2006</t>
  </si>
  <si>
    <t>The body hunters : testing new drugs on the world's poorest patients / Sonia Shah.</t>
  </si>
  <si>
    <t>Shah, Sonia.</t>
  </si>
  <si>
    <t>New York : New Press : Distributed by W.W. Norton, 2006.</t>
  </si>
  <si>
    <t>2008-09-26</t>
  </si>
  <si>
    <t>865026370:eng</t>
  </si>
  <si>
    <t>62593856</t>
  </si>
  <si>
    <t>991001319229702656</t>
  </si>
  <si>
    <t>2263312520002656</t>
  </si>
  <si>
    <t>9781565849129</t>
  </si>
  <si>
    <t>30001005372117</t>
  </si>
  <si>
    <t>893161888</t>
  </si>
  <si>
    <t>QV 771 S562pa 1993</t>
  </si>
  <si>
    <t>0                      QV 0771000S  562pa       1993</t>
  </si>
  <si>
    <t>Practical handbook of sample size guidelines for clinical trials / Jonathan J. Shuster.</t>
  </si>
  <si>
    <t>Shuster, Jonathan J., 1943-</t>
  </si>
  <si>
    <t>IBM-compatible version.</t>
  </si>
  <si>
    <t>2001-10-17</t>
  </si>
  <si>
    <t>28573880:eng</t>
  </si>
  <si>
    <t>26550460</t>
  </si>
  <si>
    <t>991001512289702656</t>
  </si>
  <si>
    <t>2256199840002656</t>
  </si>
  <si>
    <t>9780849344879</t>
  </si>
  <si>
    <t>30001002601039</t>
  </si>
  <si>
    <t>893451286</t>
  </si>
  <si>
    <t>QV 771 S756ga 1987</t>
  </si>
  <si>
    <t>0                      QV 0771000S  756ga       1987</t>
  </si>
  <si>
    <t>Guide to planning and managing multiple clinical studies / Bert Spilker.</t>
  </si>
  <si>
    <t>1999-02-10</t>
  </si>
  <si>
    <t>8613460:eng</t>
  </si>
  <si>
    <t>15018790</t>
  </si>
  <si>
    <t>991001266899702656</t>
  </si>
  <si>
    <t>2256015380002656</t>
  </si>
  <si>
    <t>9780881672640</t>
  </si>
  <si>
    <t>30001000353625</t>
  </si>
  <si>
    <t>893560937</t>
  </si>
  <si>
    <t>QV 771 S797 1990</t>
  </si>
  <si>
    <t>0                      QV 0771000S  797         1990</t>
  </si>
  <si>
    <t>Statistical issues in drug research and development / edited by Karl E. Peace.</t>
  </si>
  <si>
    <t>Statistics, textbooks and monographs ; vol. 106.</t>
  </si>
  <si>
    <t>1992-07-14</t>
  </si>
  <si>
    <t>10227282913:eng</t>
  </si>
  <si>
    <t>20491808</t>
  </si>
  <si>
    <t>991001305099702656</t>
  </si>
  <si>
    <t>2267267160002656</t>
  </si>
  <si>
    <t>9780824782900</t>
  </si>
  <si>
    <t>30001002413476</t>
  </si>
  <si>
    <t>893168126</t>
  </si>
  <si>
    <t>QV 772 A287h 1992</t>
  </si>
  <si>
    <t>0                      QV 0772000A  287h        1992</t>
  </si>
  <si>
    <t>Handbook of prescribing medications for geriatric patients / Judith C. Ahronheim.</t>
  </si>
  <si>
    <t>Ahronheim, Judith C.</t>
  </si>
  <si>
    <t>Boston : Little, Brown and Company, c1992.</t>
  </si>
  <si>
    <t>2001-08-17</t>
  </si>
  <si>
    <t>1992-08-06</t>
  </si>
  <si>
    <t>44002162:eng</t>
  </si>
  <si>
    <t>24889759</t>
  </si>
  <si>
    <t>991001307949702656</t>
  </si>
  <si>
    <t>2264303700002656</t>
  </si>
  <si>
    <t>9780316020428</t>
  </si>
  <si>
    <t>30001002414995</t>
  </si>
  <si>
    <t>893743723</t>
  </si>
  <si>
    <t>QV772 A968p 2003</t>
  </si>
  <si>
    <t>0                      QV 0772000A  968p        2003</t>
  </si>
  <si>
    <t>Prehospital providers' guide to medication / Alan J. Azzara ; medical consultant, Matthew Sleeth with contributions by Sarah Mosher Skolfield.</t>
  </si>
  <si>
    <t>Azzara, Alan J.</t>
  </si>
  <si>
    <t>St. Louis, Mo. : MosbyJems, 2003.</t>
  </si>
  <si>
    <t>679714:eng</t>
  </si>
  <si>
    <t>52337451</t>
  </si>
  <si>
    <t>991000352529702656</t>
  </si>
  <si>
    <t>2257089060002656</t>
  </si>
  <si>
    <t>9780323024402</t>
  </si>
  <si>
    <t>30001004504843</t>
  </si>
  <si>
    <t>893370406</t>
  </si>
  <si>
    <t>QV 772 C737 1992</t>
  </si>
  <si>
    <t>0                      QV 0772000C  737         1992</t>
  </si>
  <si>
    <t>Compendium of pharmaceuticals and specialties / editor-in-chief, Carmen M.E. Krogh.</t>
  </si>
  <si>
    <t>Ottawa, Ont., Canada : Canadian Pharmaceutical Association, 1992.</t>
  </si>
  <si>
    <t>27th ed.</t>
  </si>
  <si>
    <t>1992-09-16</t>
  </si>
  <si>
    <t>2452645418:eng</t>
  </si>
  <si>
    <t>26203223</t>
  </si>
  <si>
    <t>991001341649702656</t>
  </si>
  <si>
    <t>2266696420002656</t>
  </si>
  <si>
    <t>9780919115316</t>
  </si>
  <si>
    <t>30001002455964</t>
  </si>
  <si>
    <t>893821131</t>
  </si>
  <si>
    <t>QV 772 C976 1984-86</t>
  </si>
  <si>
    <t>0                      QV 0772000C  976         1984                                        -86</t>
  </si>
  <si>
    <t>Current drug handbook 1984-1986 / H. Robert Patterson, Edward A. Gustafson, Eleanor Sidor Sheridan.</t>
  </si>
  <si>
    <t>Philadelphia : W.B. Saunders, c1984.</t>
  </si>
  <si>
    <t>1994-04-28</t>
  </si>
  <si>
    <t>43230057:eng</t>
  </si>
  <si>
    <t>9827818</t>
  </si>
  <si>
    <t>991001282219702656</t>
  </si>
  <si>
    <t>2269080710002656</t>
  </si>
  <si>
    <t>9780721612232</t>
  </si>
  <si>
    <t>30001000369662</t>
  </si>
  <si>
    <t>893369286</t>
  </si>
  <si>
    <t>QV 772 H236 1969</t>
  </si>
  <si>
    <t>0                      QV 0772000H  236         1969</t>
  </si>
  <si>
    <t>Handbook of non-prescription drugs / George B. Griffenhagen and Linda L. Hawkins.</t>
  </si>
  <si>
    <t>Washington : American Pharmaceutical Association, [c1971]</t>
  </si>
  <si>
    <t>1971 ed.</t>
  </si>
  <si>
    <t>2010-03-08</t>
  </si>
  <si>
    <t>4916100595:eng</t>
  </si>
  <si>
    <t>424524</t>
  </si>
  <si>
    <t>991000992549702656</t>
  </si>
  <si>
    <t>2268347710002656</t>
  </si>
  <si>
    <t>30001000226128</t>
  </si>
  <si>
    <t>893820829</t>
  </si>
  <si>
    <t>QV 772 H236 1973</t>
  </si>
  <si>
    <t>0                      QV 0772000H  236         1973</t>
  </si>
  <si>
    <t>Washington : American Pharmaceutical Association, [c1973]</t>
  </si>
  <si>
    <t>927241</t>
  </si>
  <si>
    <t>991000992499702656</t>
  </si>
  <si>
    <t>2266584310002656</t>
  </si>
  <si>
    <t>30001000226110</t>
  </si>
  <si>
    <t>893643118</t>
  </si>
  <si>
    <t>QV 772 L693n 1990</t>
  </si>
  <si>
    <t>0                      QV 0772000L  693n        1990</t>
  </si>
  <si>
    <t>Non-prescription drugs / Alain Li Wan Po.</t>
  </si>
  <si>
    <t>Li, Alain Wan Po.</t>
  </si>
  <si>
    <t>Oxford ; London : Blackwell Scientific, c1990.</t>
  </si>
  <si>
    <t>1998-12-06</t>
  </si>
  <si>
    <t>3233524:eng</t>
  </si>
  <si>
    <t>23256714</t>
  </si>
  <si>
    <t>991000815939702656</t>
  </si>
  <si>
    <t>2257922520002656</t>
  </si>
  <si>
    <t>9780632026722</t>
  </si>
  <si>
    <t>30001002086314</t>
  </si>
  <si>
    <t>893560668</t>
  </si>
  <si>
    <t>QV 772 L693o 1992</t>
  </si>
  <si>
    <t>0                      QV 0772000L  693o        1992</t>
  </si>
  <si>
    <t>OTC medications : symptoms and treatments of common illnesses / A. Li Wan Po and G. Li Wan Po.</t>
  </si>
  <si>
    <t>London : Blackwell Scientific, c1992.</t>
  </si>
  <si>
    <t>566581:eng</t>
  </si>
  <si>
    <t>27849290</t>
  </si>
  <si>
    <t>991001352239702656</t>
  </si>
  <si>
    <t>2264898010002656</t>
  </si>
  <si>
    <t>9780632029549</t>
  </si>
  <si>
    <t>30001002459842</t>
  </si>
  <si>
    <t>893377218</t>
  </si>
  <si>
    <t>QV 772 P5789g 1992</t>
  </si>
  <si>
    <t>0                      QV 0772000P  5789g       1992</t>
  </si>
  <si>
    <t>Physicians' generix : the official drug reference of FDA prescribing information and therapeutic equivalents.</t>
  </si>
  <si>
    <t>[Smithtown, N.Y.] : Data Pharmaceutica Inc., c1992.</t>
  </si>
  <si>
    <t>1992-08-28</t>
  </si>
  <si>
    <t>1992-08-04</t>
  </si>
  <si>
    <t>27740831:eng</t>
  </si>
  <si>
    <t>25506595</t>
  </si>
  <si>
    <t>991001305689702656</t>
  </si>
  <si>
    <t>2271842320002656</t>
  </si>
  <si>
    <t>9781880891025</t>
  </si>
  <si>
    <t>30001002413740</t>
  </si>
  <si>
    <t>893557815</t>
  </si>
  <si>
    <t>QV 772 P5789q 1994</t>
  </si>
  <si>
    <t>0                      QV 0772000P  5789q       1994</t>
  </si>
  <si>
    <t>1994 Physicians' genRx : the complete drug reference.</t>
  </si>
  <si>
    <t>Smithtown, N.Y. : Data Pharmaceutica Inc., c1994.</t>
  </si>
  <si>
    <t>1993-11-19</t>
  </si>
  <si>
    <t>31320843:eng</t>
  </si>
  <si>
    <t>29463652</t>
  </si>
  <si>
    <t>991000549029702656</t>
  </si>
  <si>
    <t>2268116800002656</t>
  </si>
  <si>
    <t>9781880891049</t>
  </si>
  <si>
    <t>30001002670745</t>
  </si>
  <si>
    <t>893265964</t>
  </si>
  <si>
    <t>QV 772 P5789q 1996</t>
  </si>
  <si>
    <t>0                      QV 0772000P  5789q       1996</t>
  </si>
  <si>
    <t>Physicians genRx : the complete drug reference, 1996.</t>
  </si>
  <si>
    <t>St. Louis, MO : Mosby, c1996.</t>
  </si>
  <si>
    <t>2000-09-11</t>
  </si>
  <si>
    <t>2865108692:eng</t>
  </si>
  <si>
    <t>33860272</t>
  </si>
  <si>
    <t>991000526289702656</t>
  </si>
  <si>
    <t>2268247380002656</t>
  </si>
  <si>
    <t>9780815172215</t>
  </si>
  <si>
    <t>30001003262161</t>
  </si>
  <si>
    <t>893724863</t>
  </si>
  <si>
    <t>QV772 P921n 2006</t>
  </si>
  <si>
    <t>0                      QV 0772000P  921n        2006</t>
  </si>
  <si>
    <t>Nonprescription product therapeutics / Walter Steven Pray.</t>
  </si>
  <si>
    <t>Pray, W. Steven.</t>
  </si>
  <si>
    <t>2009-03-04</t>
  </si>
  <si>
    <t>2006-03-02</t>
  </si>
  <si>
    <t>8909727419:eng</t>
  </si>
  <si>
    <t>61121117</t>
  </si>
  <si>
    <t>991000466349702656</t>
  </si>
  <si>
    <t>2255250640002656</t>
  </si>
  <si>
    <t>9780781734981</t>
  </si>
  <si>
    <t>30001005125895</t>
  </si>
  <si>
    <t>893817121</t>
  </si>
  <si>
    <t>QV 772 S741 1990</t>
  </si>
  <si>
    <t>0                      QV 0772000S  741         1990</t>
  </si>
  <si>
    <t>Specialized drug delivery systems : manufacturing and production technology / edited by Praveen Tyle.</t>
  </si>
  <si>
    <t>Drugs and the pharmaceutical sciences ; v. 41</t>
  </si>
  <si>
    <t>1990-01-16</t>
  </si>
  <si>
    <t>795535022:eng</t>
  </si>
  <si>
    <t>20265507</t>
  </si>
  <si>
    <t>991001356449702656</t>
  </si>
  <si>
    <t>2263457190002656</t>
  </si>
  <si>
    <t>9780824781903</t>
  </si>
  <si>
    <t>30001001796178</t>
  </si>
  <si>
    <t>893552407</t>
  </si>
  <si>
    <t>QV 772 V649 1993</t>
  </si>
  <si>
    <t>0                      QV 0772000V  649         1993</t>
  </si>
  <si>
    <t>Vidal : 1993.</t>
  </si>
  <si>
    <t>Paris : OVP, c1993.</t>
  </si>
  <si>
    <t>69e éd.</t>
  </si>
  <si>
    <t>fre</t>
  </si>
  <si>
    <t xml:space="preserve">fr </t>
  </si>
  <si>
    <t>1993-07-16</t>
  </si>
  <si>
    <t>364467133:fre</t>
  </si>
  <si>
    <t>27861892</t>
  </si>
  <si>
    <t>991001344019702656</t>
  </si>
  <si>
    <t>2261640940002656</t>
  </si>
  <si>
    <t>9782850910692</t>
  </si>
  <si>
    <t>30001002456442</t>
  </si>
  <si>
    <t>893632976</t>
  </si>
  <si>
    <t>QV778 A427a 2002</t>
  </si>
  <si>
    <t>0                      QV 0778000A  427a        2002</t>
  </si>
  <si>
    <t>The art, science, and technology of pharmaceutical compounding / Loyd V. Allen, Jr.</t>
  </si>
  <si>
    <t>Allen, Loyd V., Jr.</t>
  </si>
  <si>
    <t>2004-09-28</t>
  </si>
  <si>
    <t>3052364:eng</t>
  </si>
  <si>
    <t>49057633</t>
  </si>
  <si>
    <t>991000342839702656</t>
  </si>
  <si>
    <t>2265724910002656</t>
  </si>
  <si>
    <t>9781582120355</t>
  </si>
  <si>
    <t>30001004503779</t>
  </si>
  <si>
    <t>893644287</t>
  </si>
  <si>
    <t>QV778 A652 2003</t>
  </si>
  <si>
    <t>0                      QV 0778000A  652         2003</t>
  </si>
  <si>
    <t>Applied physical pharmacy / editors, Mansoor M. Amiji, Beverly J. Sandmann.</t>
  </si>
  <si>
    <t>New York : McGraw-Hill, Medical Pub. Division, c2003.</t>
  </si>
  <si>
    <t>2007-03-08</t>
  </si>
  <si>
    <t>2003-06-24</t>
  </si>
  <si>
    <t>354654515:eng</t>
  </si>
  <si>
    <t>51333617</t>
  </si>
  <si>
    <t>991000351499702656</t>
  </si>
  <si>
    <t>2257604040002656</t>
  </si>
  <si>
    <t>9780071350761</t>
  </si>
  <si>
    <t>30001004504785</t>
  </si>
  <si>
    <t>893644292</t>
  </si>
  <si>
    <t>QV 778 B6167 1993</t>
  </si>
  <si>
    <t>0                      QV 0778000B  6167        1993</t>
  </si>
  <si>
    <t>Biotechnology and pharmacy / editors, John M. Pezzuto, Michael E. Johnson, Henri R. Manasse.</t>
  </si>
  <si>
    <t>New York : Chapman &amp; Hall, c1993.</t>
  </si>
  <si>
    <t>1993-06-15</t>
  </si>
  <si>
    <t>365071030:eng</t>
  </si>
  <si>
    <t>26163629</t>
  </si>
  <si>
    <t>991001481229702656</t>
  </si>
  <si>
    <t>2271036990002656</t>
  </si>
  <si>
    <t>9780412038716</t>
  </si>
  <si>
    <t>30001002569640</t>
  </si>
  <si>
    <t>893546746</t>
  </si>
  <si>
    <t>QV 778 H968p 1951</t>
  </si>
  <si>
    <t>0                      QV 0778000H  968p        1951</t>
  </si>
  <si>
    <t>Pharmaceutical dispensing : a textbook for students of pharmaceutical compounding and dispensing and a reference book for pharmacists.</t>
  </si>
  <si>
    <t>Husa, William J. (William John), 1896-1985.</t>
  </si>
  <si>
    <t>Iowa City : Distributed by Husa Bros.; 1951.</t>
  </si>
  <si>
    <t>iou</t>
  </si>
  <si>
    <t>3754588423:eng</t>
  </si>
  <si>
    <t>3590270</t>
  </si>
  <si>
    <t>991000994729702656</t>
  </si>
  <si>
    <t>2263951390002656</t>
  </si>
  <si>
    <t>30001000227571</t>
  </si>
  <si>
    <t>893651827</t>
  </si>
  <si>
    <t>QV 778 P957 1995</t>
  </si>
  <si>
    <t>0                      QV 0778000P  957         1995</t>
  </si>
  <si>
    <t>Principles of sterile product preparation / E. Clyde Buchanan ... [et al.].</t>
  </si>
  <si>
    <t>Bethesda, MD : American Society of Health-System Pharamacists, c1995.</t>
  </si>
  <si>
    <t>2004-10-30</t>
  </si>
  <si>
    <t>1998-09-17</t>
  </si>
  <si>
    <t>55976087:eng</t>
  </si>
  <si>
    <t>33234995</t>
  </si>
  <si>
    <t>991000666489702656</t>
  </si>
  <si>
    <t>2255149310002656</t>
  </si>
  <si>
    <t>9781879907577</t>
  </si>
  <si>
    <t>30001004030567</t>
  </si>
  <si>
    <t>893825362</t>
  </si>
  <si>
    <t>QV778 P957 2002</t>
  </si>
  <si>
    <t>0                      QV 0778000P  957         2002</t>
  </si>
  <si>
    <t>Bethesda, MD : American Society of Health-System Pharamacists, c2002.</t>
  </si>
  <si>
    <t>Rev. 1st ed.</t>
  </si>
  <si>
    <t>2008-06-10</t>
  </si>
  <si>
    <t>2004-01-23</t>
  </si>
  <si>
    <t>48547984</t>
  </si>
  <si>
    <t>991000329439702656</t>
  </si>
  <si>
    <t>2267479230002656</t>
  </si>
  <si>
    <t>9781585280261</t>
  </si>
  <si>
    <t>30001004508695</t>
  </si>
  <si>
    <t>893741684</t>
  </si>
  <si>
    <t>QV 778 T147m 1987</t>
  </si>
  <si>
    <t>0                      QV 0778000T  147m        1987</t>
  </si>
  <si>
    <t>Manual of pharmacologic calculations with computer programs / Ronald J. Tallarida, Rodney B. Murray.</t>
  </si>
  <si>
    <t>Tallarida, Ronald J.</t>
  </si>
  <si>
    <t>New York : Springer-Verlag, c1987.</t>
  </si>
  <si>
    <t>1993-01-23</t>
  </si>
  <si>
    <t>7711396:eng</t>
  </si>
  <si>
    <t>13643625</t>
  </si>
  <si>
    <t>991000994539702656</t>
  </si>
  <si>
    <t>2269487500002656</t>
  </si>
  <si>
    <t>9780387963570</t>
  </si>
  <si>
    <t>30001000227506</t>
  </si>
  <si>
    <t>893546292</t>
  </si>
  <si>
    <t>QV778 T396 2005</t>
  </si>
  <si>
    <t>0                      QV 0778000T  396         2005</t>
  </si>
  <si>
    <t>Theory and practice of contemporary pharmaceutics / edited by Tapash K. Ghosh, Bhaskara R. Jasti.</t>
  </si>
  <si>
    <t>Boca Raton : CRC Press, c2005.</t>
  </si>
  <si>
    <t>2009-11-18</t>
  </si>
  <si>
    <t>2005-03-02</t>
  </si>
  <si>
    <t>766866123:eng</t>
  </si>
  <si>
    <t>50858958</t>
  </si>
  <si>
    <t>991000430989702656</t>
  </si>
  <si>
    <t>2266379710002656</t>
  </si>
  <si>
    <t>9780415288637</t>
  </si>
  <si>
    <t>30001004928026</t>
  </si>
  <si>
    <t>893466258</t>
  </si>
  <si>
    <t>QV 778 T933s 1987</t>
  </si>
  <si>
    <t>0                      QV 0778000T  933s        1987</t>
  </si>
  <si>
    <t>Sterile dosage forms : their preparation and clinical application / Salvatore Turco, Robert E. King.</t>
  </si>
  <si>
    <t>Turco, Salvatore J.</t>
  </si>
  <si>
    <t>Philadelphia : Lea &amp; Febiger, c1987.</t>
  </si>
  <si>
    <t>2000-12-07</t>
  </si>
  <si>
    <t>9083293:eng</t>
  </si>
  <si>
    <t>14242644</t>
  </si>
  <si>
    <t>991001452089702656</t>
  </si>
  <si>
    <t>2267366040002656</t>
  </si>
  <si>
    <t>9780812110678</t>
  </si>
  <si>
    <t>30001001883430</t>
  </si>
  <si>
    <t>893162022</t>
  </si>
  <si>
    <t>QV 778 T933s 1994</t>
  </si>
  <si>
    <t>0                      QV 0778000T  933s        1994</t>
  </si>
  <si>
    <t>Sterile dosage forms : their preparation and clinical application / Salvatore Turco.</t>
  </si>
  <si>
    <t>2004-09-27</t>
  </si>
  <si>
    <t>28427868</t>
  </si>
  <si>
    <t>991001487229702656</t>
  </si>
  <si>
    <t>2262951660002656</t>
  </si>
  <si>
    <t>9780812116175</t>
  </si>
  <si>
    <t>30001002579623</t>
  </si>
  <si>
    <t>893455847</t>
  </si>
  <si>
    <t>QV 785 A618i 1990</t>
  </si>
  <si>
    <t>0                      QV 0785000A  618i        1990</t>
  </si>
  <si>
    <t>Pharmaceutical dosage forms and drug delivery systems / Howard C. Ansel, Nicholas G. Popovich.</t>
  </si>
  <si>
    <t>Ansel, Howard C., 1933-</t>
  </si>
  <si>
    <t>Philadelphia : Lea &amp; Febiger, c1990.</t>
  </si>
  <si>
    <t>2007-03-26</t>
  </si>
  <si>
    <t>3901289784:eng</t>
  </si>
  <si>
    <t>19739330</t>
  </si>
  <si>
    <t>991001452419702656</t>
  </si>
  <si>
    <t>2258618720002656</t>
  </si>
  <si>
    <t>9780812112559</t>
  </si>
  <si>
    <t>30001001883596</t>
  </si>
  <si>
    <t>893369409</t>
  </si>
  <si>
    <t>QV 785 A618i 1999</t>
  </si>
  <si>
    <t>0                      QV 0785000A  618i        1999</t>
  </si>
  <si>
    <t>Pharmaceutical dosage forms and drug delivery systems / Howard C. Ansel, Loyd V. Allen, Jr., Nicholas G. Popovich.</t>
  </si>
  <si>
    <t>Philadelphia, Pa. : Lippincott-Williams &amp; Wilkins, c1999.</t>
  </si>
  <si>
    <t>2007-04-05</t>
  </si>
  <si>
    <t>1999-11-05</t>
  </si>
  <si>
    <t>40881470</t>
  </si>
  <si>
    <t>991001408449702656</t>
  </si>
  <si>
    <t>2258500770002656</t>
  </si>
  <si>
    <t>9780683305722</t>
  </si>
  <si>
    <t>30001003830165</t>
  </si>
  <si>
    <t>893287403</t>
  </si>
  <si>
    <t>QV 785 B6144 1990</t>
  </si>
  <si>
    <t>0                      QV 0785000B  6144        1990</t>
  </si>
  <si>
    <t>Bioadhesive drug delivery systems / editors, Vincent Lenaerts, Robert Gurny.</t>
  </si>
  <si>
    <t>Boca Raton, Fla. : CRC Press, c1990.</t>
  </si>
  <si>
    <t>365356496:eng</t>
  </si>
  <si>
    <t>19553672</t>
  </si>
  <si>
    <t>991001452629702656</t>
  </si>
  <si>
    <t>2257024010002656</t>
  </si>
  <si>
    <t>9780849353673</t>
  </si>
  <si>
    <t>30001001883679</t>
  </si>
  <si>
    <t>893552519</t>
  </si>
  <si>
    <t>QV 785 C7642 1989</t>
  </si>
  <si>
    <t>0                      QV 0785000C  7642        1989</t>
  </si>
  <si>
    <t>Controlled release of drugs : polymers and aggregate systems / edited by Morton Rosoff.</t>
  </si>
  <si>
    <t>New York, N.Y. : VCH Publishers ; Federal Republic of Germany : VCH Verlagsgesellschaft, c1989.</t>
  </si>
  <si>
    <t>1990-05-24</t>
  </si>
  <si>
    <t>897836639:eng</t>
  </si>
  <si>
    <t>18106215</t>
  </si>
  <si>
    <t>991001448629702656</t>
  </si>
  <si>
    <t>2265450920002656</t>
  </si>
  <si>
    <t>9780895733214</t>
  </si>
  <si>
    <t>30001001881962</t>
  </si>
  <si>
    <t>893279116</t>
  </si>
  <si>
    <t>QV 785 C951p 1952</t>
  </si>
  <si>
    <t>0                      QV 0785000C  951p        1952</t>
  </si>
  <si>
    <t>Pharmaceutical preparations / by George E. Crossen and Karl J. Goldner.</t>
  </si>
  <si>
    <t>Crossen, George Edward, 1905-</t>
  </si>
  <si>
    <t>Philadelphia : Lea &amp; Febiger, c1952.</t>
  </si>
  <si>
    <t>3d ed., thoroughly rev.</t>
  </si>
  <si>
    <t>1999-09-10</t>
  </si>
  <si>
    <t>8568765:eng</t>
  </si>
  <si>
    <t>3254114</t>
  </si>
  <si>
    <t>991000994489702656</t>
  </si>
  <si>
    <t>2254725520002656</t>
  </si>
  <si>
    <t>30001000227480</t>
  </si>
  <si>
    <t>893820830</t>
  </si>
  <si>
    <t>QV 785 I34 1991</t>
  </si>
  <si>
    <t>0                      QV 0785000I  34          1991</t>
  </si>
  <si>
    <t>Implantable drug delivery systems / editors, U. Laffer, I. Bachmann-Mettler, U. Metzger.</t>
  </si>
  <si>
    <t>Basel ; New York : Karger, c1991.</t>
  </si>
  <si>
    <t>2000-02-23</t>
  </si>
  <si>
    <t>347310019:eng</t>
  </si>
  <si>
    <t>24143030</t>
  </si>
  <si>
    <t>991001021749702656</t>
  </si>
  <si>
    <t>2254741870002656</t>
  </si>
  <si>
    <t>9783805554343</t>
  </si>
  <si>
    <t>30001002241869</t>
  </si>
  <si>
    <t>893648836</t>
  </si>
  <si>
    <t>QV 785 I61f 1977</t>
  </si>
  <si>
    <t>0                      QV 0785000I  61f         1977</t>
  </si>
  <si>
    <t>Formulation and preparation of dosage forms : proceedings of the 37th International Congress of Pharmaceutical Sciences of F.I.P. held in The Hauge, The Netherlands, September 5-9, 1977 / editor, J. Polderman.</t>
  </si>
  <si>
    <t>International Congress of Pharmaceutical Sciences (37th : 1977 : Hague, Netherlands)</t>
  </si>
  <si>
    <t>Amsterdam ; New York : Elsevier/North-Holland Biomedical Press ; New York : sole distributors for the U.S.A. and Canada, Elsevier North-Holland, 1977.</t>
  </si>
  <si>
    <t>509139949:eng</t>
  </si>
  <si>
    <t>3481984</t>
  </si>
  <si>
    <t>991000994449702656</t>
  </si>
  <si>
    <t>2264521260002656</t>
  </si>
  <si>
    <t>9780444800336</t>
  </si>
  <si>
    <t>30001000227456</t>
  </si>
  <si>
    <t>893736127</t>
  </si>
  <si>
    <t>QV 785 L764 1991</t>
  </si>
  <si>
    <t>0                      QV 0785000L  764         1991</t>
  </si>
  <si>
    <t>Lipoproteins as carriers of pharmacological agents / edited by J. Michael Shaw.</t>
  </si>
  <si>
    <t>Targeted diagnosis and therapy ; 5</t>
  </si>
  <si>
    <t>1991-12-16</t>
  </si>
  <si>
    <t>25336203:eng</t>
  </si>
  <si>
    <t>23732143</t>
  </si>
  <si>
    <t>991001021789702656</t>
  </si>
  <si>
    <t>2267838060002656</t>
  </si>
  <si>
    <t>9780824785055</t>
  </si>
  <si>
    <t>30001002241885</t>
  </si>
  <si>
    <t>893465125</t>
  </si>
  <si>
    <t>QV 785 P535 1989-90</t>
  </si>
  <si>
    <t>0                      QV 0785000P  535         1989                                        -90</t>
  </si>
  <si>
    <t>Pharmaceutical dosage forms--tablets / edited by Herbert A. Lieberman, Leon Lachman, Joseph B. Schwartz.</t>
  </si>
  <si>
    <t>New York : Dekker, c1989-1990.</t>
  </si>
  <si>
    <t>1992-02-05</t>
  </si>
  <si>
    <t>1999-08-24</t>
  </si>
  <si>
    <t>1992-01-30</t>
  </si>
  <si>
    <t>365213716:eng</t>
  </si>
  <si>
    <t>19222483</t>
  </si>
  <si>
    <t>991001031209702656</t>
  </si>
  <si>
    <t>2259620360002656</t>
  </si>
  <si>
    <t>9780824780449</t>
  </si>
  <si>
    <t>30001002243816</t>
  </si>
  <si>
    <t>893168005</t>
  </si>
  <si>
    <t>30001002243790</t>
  </si>
  <si>
    <t>893168006</t>
  </si>
  <si>
    <t>30001002243832</t>
  </si>
  <si>
    <t>893148815</t>
  </si>
  <si>
    <t>QV 785 P5353 1993</t>
  </si>
  <si>
    <t>0                      QV 0785000P  5353        1993</t>
  </si>
  <si>
    <t>Pharmaceutical particulate carriers : therapeutic applications carriers / edited by Alain Rolland.</t>
  </si>
  <si>
    <t>New York : Marcel Dekker, c1993.</t>
  </si>
  <si>
    <t>Drugs and the pharmaceutical sciences ; v. 61</t>
  </si>
  <si>
    <t>2009-04-07</t>
  </si>
  <si>
    <t>809416026:eng</t>
  </si>
  <si>
    <t>28020024</t>
  </si>
  <si>
    <t>991000668849702656</t>
  </si>
  <si>
    <t>2269683700002656</t>
  </si>
  <si>
    <t>9780824790165</t>
  </si>
  <si>
    <t>30001002695577</t>
  </si>
  <si>
    <t>893119836</t>
  </si>
  <si>
    <t>QV785 P7833 2005</t>
  </si>
  <si>
    <t>0                      QV 0785000P  7833        2005</t>
  </si>
  <si>
    <t>Polymeric drug delivery systems / [edited by] Glen S. Kwon.</t>
  </si>
  <si>
    <t>Drugs and the pharmaceutical sciences ; v. 148</t>
  </si>
  <si>
    <t>2010-06-12</t>
  </si>
  <si>
    <t>2006-04-24</t>
  </si>
  <si>
    <t>766868439:eng</t>
  </si>
  <si>
    <t>60565344</t>
  </si>
  <si>
    <t>991000476849702656</t>
  </si>
  <si>
    <t>2261364350002656</t>
  </si>
  <si>
    <t>9780824725327</t>
  </si>
  <si>
    <t>30001005126778</t>
  </si>
  <si>
    <t>893822190</t>
  </si>
  <si>
    <t>QV 785 R869 1990</t>
  </si>
  <si>
    <t>0                      QV 0785000R  869         1990</t>
  </si>
  <si>
    <t>Routes of drug administration / edited by A.T. Florence and E.G. Salole.</t>
  </si>
  <si>
    <t>Topics in pharmacy ; v. 2</t>
  </si>
  <si>
    <t>1991-01-28</t>
  </si>
  <si>
    <t>354613840:eng</t>
  </si>
  <si>
    <t>21299168</t>
  </si>
  <si>
    <t>991000816209702656</t>
  </si>
  <si>
    <t>2261658070002656</t>
  </si>
  <si>
    <t>9780723609223</t>
  </si>
  <si>
    <t>30001002086421</t>
  </si>
  <si>
    <t>893363196</t>
  </si>
  <si>
    <t>QV 785 S734p 1950</t>
  </si>
  <si>
    <t>0                      QV 0785000S  734p        1950</t>
  </si>
  <si>
    <t>Pharmaceutical emulsions and emulsifying agents / Lawrence Spalton.</t>
  </si>
  <si>
    <t>Spalton, Lawrence M.</t>
  </si>
  <si>
    <t>Brooklyn : Chemical Publishing Co., 1950.</t>
  </si>
  <si>
    <t>1758493:eng</t>
  </si>
  <si>
    <t>633698</t>
  </si>
  <si>
    <t>991000994409702656</t>
  </si>
  <si>
    <t>2256982320002656</t>
  </si>
  <si>
    <t>30001000227431</t>
  </si>
  <si>
    <t>893731587</t>
  </si>
  <si>
    <t>QV 785 S964 1978</t>
  </si>
  <si>
    <t>0                      QV 0785000S  964         1978</t>
  </si>
  <si>
    <t>Sustained and controlled release drug delivery systems / edited by Joseph R. Robinson.</t>
  </si>
  <si>
    <t>-- New York : M. Dekker, c1978.</t>
  </si>
  <si>
    <t>Drugs and the pharmaceutical sciences ; v. 6</t>
  </si>
  <si>
    <t>2864479345:eng</t>
  </si>
  <si>
    <t>4494288</t>
  </si>
  <si>
    <t>991000994359702656</t>
  </si>
  <si>
    <t>2265456680002656</t>
  </si>
  <si>
    <t>9780824767150</t>
  </si>
  <si>
    <t>30001000227407</t>
  </si>
  <si>
    <t>893267953</t>
  </si>
  <si>
    <t>QV 790 A512a 1934</t>
  </si>
  <si>
    <t>0                      QV 0790000A  512a        1934</t>
  </si>
  <si>
    <t>American druggist formula compendium / American Druggist.</t>
  </si>
  <si>
    <t>American druggist.</t>
  </si>
  <si>
    <t>New York : American Druggist, 1934.</t>
  </si>
  <si>
    <t>1934</t>
  </si>
  <si>
    <t>1818489981:eng</t>
  </si>
  <si>
    <t>2625679</t>
  </si>
  <si>
    <t>991000994969702656</t>
  </si>
  <si>
    <t>2269998110002656</t>
  </si>
  <si>
    <t>30001000227936</t>
  </si>
  <si>
    <t>893363648</t>
  </si>
  <si>
    <t>QV 800 A6134 2000</t>
  </si>
  <si>
    <t>0                      QV 0800000A  6134        2000</t>
  </si>
  <si>
    <t>Antioxidant and redox regulation of genes / edited by Chandan K. Sen, Helmut Sies, Patrick A. Baeuerle.</t>
  </si>
  <si>
    <t>San Diego, Calif. ; London : Academic, c2000.</t>
  </si>
  <si>
    <t>2000-03-28</t>
  </si>
  <si>
    <t>943451641:eng</t>
  </si>
  <si>
    <t>42214730</t>
  </si>
  <si>
    <t>991001442959702656</t>
  </si>
  <si>
    <t>2262549710002656</t>
  </si>
  <si>
    <t>9780126366709</t>
  </si>
  <si>
    <t>30001003883453</t>
  </si>
  <si>
    <t>893467980</t>
  </si>
  <si>
    <t>QV 800 N285 1994</t>
  </si>
  <si>
    <t>0                      QV 0800000N  285         1994</t>
  </si>
  <si>
    <t>Natural antioxidants in human health and disease / edited by Balz Frei.</t>
  </si>
  <si>
    <t>1995-02-20</t>
  </si>
  <si>
    <t>32228415:eng</t>
  </si>
  <si>
    <t>30031896</t>
  </si>
  <si>
    <t>991001396329702656</t>
  </si>
  <si>
    <t>2270532550002656</t>
  </si>
  <si>
    <t>9780122669750</t>
  </si>
  <si>
    <t>30001003146125</t>
  </si>
  <si>
    <t>893741093</t>
  </si>
  <si>
    <t>ZQV 600 W454i 1988</t>
  </si>
  <si>
    <t>0Z                     QV 0600000W  454i        1988</t>
  </si>
  <si>
    <t>Information resources in toxicology / Philip Wexler.</t>
  </si>
  <si>
    <t>Wexler, Philip, 1950-</t>
  </si>
  <si>
    <t>New York : Elsevier, c1988.</t>
  </si>
  <si>
    <t>1988-09-13</t>
  </si>
  <si>
    <t>4923637039:eng</t>
  </si>
  <si>
    <t>16527321</t>
  </si>
  <si>
    <t>991001423489702656</t>
  </si>
  <si>
    <t>2271842000002656</t>
  </si>
  <si>
    <t>9780444012142</t>
  </si>
  <si>
    <t>30001001183187</t>
  </si>
  <si>
    <t>893460575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</si>
</sst>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3</xdr:col>
          <xdr:colOff>95250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AC388D9-A069-4657-BF94-BA61BE9CC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3</xdr:col>
          <xdr:colOff>95250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5223B28-9D01-4F76-9CD4-1937C76DDB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3</xdr:col>
          <xdr:colOff>95250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BC490B5-2C7C-44EC-AD7B-953592DED1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3</xdr:col>
          <xdr:colOff>95250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D69BF0E-F6B5-4E4E-A82B-D66C61E2B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3</xdr:col>
          <xdr:colOff>95250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0C622B4-1F0C-45F0-B5FA-E59B3E598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3</xdr:col>
          <xdr:colOff>95250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4E776E9-3876-4AC9-A199-811ACEEFF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3</xdr:col>
          <xdr:colOff>95250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372B69B-C9B6-465A-8B31-2A7819EDD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3</xdr:col>
          <xdr:colOff>95250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40951700-5AD3-47AF-A25C-9053B7741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3</xdr:col>
          <xdr:colOff>95250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041C03C-987E-4A0A-A356-372AC020D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3</xdr:col>
          <xdr:colOff>95250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212D9AE-ABFB-4CBF-9A50-CB4EAB066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3</xdr:col>
          <xdr:colOff>95250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ADC9BA4-F6F2-4F93-8E38-FC3C66A91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3</xdr:col>
          <xdr:colOff>95250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79FB04D-C8A5-4EE0-9C5A-C1AF92211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3</xdr:col>
          <xdr:colOff>95250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7C035E5-53DA-48ED-82CD-F6CCD2C71F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3</xdr:col>
          <xdr:colOff>95250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DB471FE-8107-40D3-B7C5-7A778CFC2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3</xdr:col>
          <xdr:colOff>95250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76AE0CA-E76C-4FED-B586-99F381311F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3</xdr:col>
          <xdr:colOff>95250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02A8481-E0EF-4ED6-81F8-8A1EAB7FF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3</xdr:col>
          <xdr:colOff>95250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4AE0CCE-FC2D-41C4-A047-D3CCF9634A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3</xdr:col>
          <xdr:colOff>95250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CBB3119-B687-4999-9FDB-34189DC64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3</xdr:col>
          <xdr:colOff>95250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8F092FDF-908C-4DAF-B4C6-C1263618B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3</xdr:col>
          <xdr:colOff>95250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8D04742-6B84-4ABD-B8B1-372ADAB6E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3</xdr:col>
          <xdr:colOff>95250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1CD0A66E-C07A-47FA-9177-A1ACB9895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3</xdr:col>
          <xdr:colOff>95250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FB933234-68DB-4AE6-8606-3C9EA02406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3</xdr:col>
          <xdr:colOff>95250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33DACE7-8486-4883-B48D-24E158DD6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3</xdr:col>
          <xdr:colOff>95250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390C1E6-0F19-48C0-9E3C-45641687F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3</xdr:col>
          <xdr:colOff>95250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5D0CAB74-7A0F-492C-8925-32173E581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3</xdr:col>
          <xdr:colOff>95250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7BA20565-8D42-42E2-9E3C-1FA9DA1F4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3</xdr:col>
          <xdr:colOff>95250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D8427E9-5EF6-4813-9502-A5A0AD802E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3</xdr:col>
          <xdr:colOff>95250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9426FC89-F9E3-4B2A-B288-D0F20D6F0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3</xdr:col>
          <xdr:colOff>95250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ABA42F7A-43C7-4C3C-B6D0-D0EB3C00A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3</xdr:col>
          <xdr:colOff>95250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4D700A01-2EE3-4DBD-BA8F-586195D128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3</xdr:col>
          <xdr:colOff>95250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B708089B-0FDC-4B5F-BF1B-8E858C84A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3</xdr:col>
          <xdr:colOff>95250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BC88F478-E61E-4123-8A04-92630172CF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3</xdr:col>
          <xdr:colOff>95250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4BC26030-C8CB-4232-8154-D3E1DD6753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3</xdr:col>
          <xdr:colOff>95250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4C304F6B-FBC2-4791-9465-372991E40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3</xdr:col>
          <xdr:colOff>95250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8813556F-3DAA-48BC-869D-1155EC86A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3</xdr:col>
          <xdr:colOff>95250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B0EAFA5D-C107-402E-A8BE-E2C6FA9C8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3</xdr:col>
          <xdr:colOff>95250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FC77369-F353-4E4E-9FE7-202306515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3</xdr:col>
          <xdr:colOff>95250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867D4894-8941-43FC-9760-510F5FCAF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3</xdr:col>
          <xdr:colOff>95250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77DCA36D-E3D8-45E7-A4E6-DAC7D6C2F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3</xdr:col>
          <xdr:colOff>95250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F2373986-61F5-44F3-BD7A-070DB5F24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3</xdr:col>
          <xdr:colOff>95250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E142B5F9-45DB-4E1D-9E68-231A76723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3</xdr:col>
          <xdr:colOff>95250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A73844E6-5D03-44B6-B58A-FD9600597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3</xdr:col>
          <xdr:colOff>95250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C946AAC7-82E8-49F3-AE97-F11514DAD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3</xdr:col>
          <xdr:colOff>95250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1F574EA9-F69A-474A-8891-1E7969D4B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3</xdr:col>
          <xdr:colOff>95250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F653B234-F899-4796-9788-C8359CDF5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3</xdr:col>
          <xdr:colOff>95250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DE2024DB-5407-4167-A4C8-E241632DA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3</xdr:col>
          <xdr:colOff>95250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8DB62B0B-87A8-4B61-9269-3CBC98D35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3</xdr:col>
          <xdr:colOff>95250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8B065FE6-651B-46D2-B3D6-D5B6816EF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3</xdr:col>
          <xdr:colOff>95250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43B714C0-E63D-4436-B763-2C0F5B0F09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3</xdr:col>
          <xdr:colOff>95250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C26E0418-6C85-4F75-9DB7-02C14B100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3</xdr:col>
          <xdr:colOff>95250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12D96021-A528-49CE-B962-5851796DE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3</xdr:col>
          <xdr:colOff>95250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6387A5CC-814A-43BB-9677-4665345E0F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3</xdr:col>
          <xdr:colOff>95250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238190C2-5ADA-4537-88D5-C8A5AA170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3</xdr:col>
          <xdr:colOff>95250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07DCDB8-D2B9-430E-92A8-246CD4DFD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3</xdr:col>
          <xdr:colOff>95250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5BB296F1-408C-493B-B2C2-7FDB24A64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3</xdr:col>
          <xdr:colOff>95250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D0C4AC69-E5D3-41F2-9288-62514CA2C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3</xdr:col>
          <xdr:colOff>95250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9BC060AD-4963-49AF-BF61-C72871EC2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3</xdr:col>
          <xdr:colOff>95250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12A3691D-BEA9-4345-A013-5C5C8EC7C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3</xdr:col>
          <xdr:colOff>95250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B5615116-E56F-42D3-974A-B058370A4D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3</xdr:col>
          <xdr:colOff>95250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CCDA0645-57B2-4958-87B2-83AF28F5D2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3</xdr:col>
          <xdr:colOff>95250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1D082804-36B3-4C76-8C30-9E892B9D1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3</xdr:col>
          <xdr:colOff>95250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7E23E17D-D9FC-4A8E-9311-B316BF3036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3</xdr:col>
          <xdr:colOff>95250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E118E5C6-AEA7-4E8C-9344-C3B07A5C3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3</xdr:col>
          <xdr:colOff>95250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7902E08A-B621-4658-9696-4290F9A63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3</xdr:col>
          <xdr:colOff>95250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9CDBC57A-5FC2-4A68-A721-8F211C978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3</xdr:col>
          <xdr:colOff>95250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5B1FC734-C56B-4357-BEE9-B57ED93EED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3</xdr:col>
          <xdr:colOff>95250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4BA611F6-D088-4F2C-8455-2044ABC12F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3</xdr:col>
          <xdr:colOff>95250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11D0207F-57A8-4670-8774-C27202D3E2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3</xdr:col>
          <xdr:colOff>95250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7317BDAD-D049-4225-82C6-A1235210D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3</xdr:col>
          <xdr:colOff>95250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2B622DA4-F937-4D91-A637-0B74E85018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3</xdr:col>
          <xdr:colOff>95250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AAC42498-E46C-49EC-B0CF-FBE5166FD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3</xdr:col>
          <xdr:colOff>95250</xdr:colOff>
          <xdr:row>72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3DB9D094-814C-426D-9DC3-7E510F870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3</xdr:col>
          <xdr:colOff>95250</xdr:colOff>
          <xdr:row>73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4DA2C64A-446C-465C-A3D5-7F2FE4C75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3</xdr:col>
          <xdr:colOff>95250</xdr:colOff>
          <xdr:row>74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246B7D33-64CC-4688-B184-9877185F2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3</xdr:col>
          <xdr:colOff>95250</xdr:colOff>
          <xdr:row>75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2AB4FD57-5A53-4CF9-870D-150F6FA78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3</xdr:col>
          <xdr:colOff>95250</xdr:colOff>
          <xdr:row>76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556EBFD9-2905-4C22-8067-35E363BD1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3</xdr:col>
          <xdr:colOff>95250</xdr:colOff>
          <xdr:row>77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EC28CB5F-3666-4DE4-ADCD-7F36FD3E48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3</xdr:col>
          <xdr:colOff>95250</xdr:colOff>
          <xdr:row>78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E8CB2406-6844-4B06-9CBD-7B6FFB997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79</xdr:row>
          <xdr:rowOff>9525</xdr:rowOff>
        </xdr:from>
        <xdr:to>
          <xdr:col>3</xdr:col>
          <xdr:colOff>95250</xdr:colOff>
          <xdr:row>79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4E357AD9-3B22-483D-BC28-81F1F07D4D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80</xdr:row>
          <xdr:rowOff>9525</xdr:rowOff>
        </xdr:from>
        <xdr:to>
          <xdr:col>3</xdr:col>
          <xdr:colOff>95250</xdr:colOff>
          <xdr:row>80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CEE7E3E4-7895-429A-B2B3-C94B397F2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81</xdr:row>
          <xdr:rowOff>9525</xdr:rowOff>
        </xdr:from>
        <xdr:to>
          <xdr:col>3</xdr:col>
          <xdr:colOff>95250</xdr:colOff>
          <xdr:row>81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212AA9C2-67F1-4626-8F6B-83EF5506A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82</xdr:row>
          <xdr:rowOff>9525</xdr:rowOff>
        </xdr:from>
        <xdr:to>
          <xdr:col>3</xdr:col>
          <xdr:colOff>95250</xdr:colOff>
          <xdr:row>82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806B3272-97AE-42BE-A7FB-5E0A4C789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83</xdr:row>
          <xdr:rowOff>9525</xdr:rowOff>
        </xdr:from>
        <xdr:to>
          <xdr:col>3</xdr:col>
          <xdr:colOff>95250</xdr:colOff>
          <xdr:row>83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27D87417-B132-4E38-B45E-23639178A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84</xdr:row>
          <xdr:rowOff>9525</xdr:rowOff>
        </xdr:from>
        <xdr:to>
          <xdr:col>3</xdr:col>
          <xdr:colOff>95250</xdr:colOff>
          <xdr:row>84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B761F34F-FB6D-4AB7-BF32-DFCC19BC0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85</xdr:row>
          <xdr:rowOff>9525</xdr:rowOff>
        </xdr:from>
        <xdr:to>
          <xdr:col>3</xdr:col>
          <xdr:colOff>95250</xdr:colOff>
          <xdr:row>85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43E12FEF-DD44-4083-B89C-C58A649835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86</xdr:row>
          <xdr:rowOff>9525</xdr:rowOff>
        </xdr:from>
        <xdr:to>
          <xdr:col>3</xdr:col>
          <xdr:colOff>95250</xdr:colOff>
          <xdr:row>86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179BEEFA-7DAE-4295-97B6-A0611B3327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87</xdr:row>
          <xdr:rowOff>9525</xdr:rowOff>
        </xdr:from>
        <xdr:to>
          <xdr:col>3</xdr:col>
          <xdr:colOff>95250</xdr:colOff>
          <xdr:row>87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1951492E-2C52-4B38-88FE-45ACBCAED2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88</xdr:row>
          <xdr:rowOff>9525</xdr:rowOff>
        </xdr:from>
        <xdr:to>
          <xdr:col>3</xdr:col>
          <xdr:colOff>95250</xdr:colOff>
          <xdr:row>88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46F51ED3-5BBD-42EF-AE99-E8A498B50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89</xdr:row>
          <xdr:rowOff>9525</xdr:rowOff>
        </xdr:from>
        <xdr:to>
          <xdr:col>3</xdr:col>
          <xdr:colOff>95250</xdr:colOff>
          <xdr:row>89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A3CF9264-E472-4AB1-9422-35BB5CF5E6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90</xdr:row>
          <xdr:rowOff>9525</xdr:rowOff>
        </xdr:from>
        <xdr:to>
          <xdr:col>3</xdr:col>
          <xdr:colOff>95250</xdr:colOff>
          <xdr:row>90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B221758D-45CE-4EBD-BF30-83F08FB2E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91</xdr:row>
          <xdr:rowOff>9525</xdr:rowOff>
        </xdr:from>
        <xdr:to>
          <xdr:col>3</xdr:col>
          <xdr:colOff>95250</xdr:colOff>
          <xdr:row>91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8BF3F27F-AF51-460E-B1F8-BB8A69E37B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92</xdr:row>
          <xdr:rowOff>9525</xdr:rowOff>
        </xdr:from>
        <xdr:to>
          <xdr:col>3</xdr:col>
          <xdr:colOff>95250</xdr:colOff>
          <xdr:row>92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705A8393-9442-47F8-ACFB-B622A2FADD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93</xdr:row>
          <xdr:rowOff>9525</xdr:rowOff>
        </xdr:from>
        <xdr:to>
          <xdr:col>3</xdr:col>
          <xdr:colOff>95250</xdr:colOff>
          <xdr:row>93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D5D3EF7-F552-42CF-A22E-F4C578DB5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94</xdr:row>
          <xdr:rowOff>9525</xdr:rowOff>
        </xdr:from>
        <xdr:to>
          <xdr:col>3</xdr:col>
          <xdr:colOff>95250</xdr:colOff>
          <xdr:row>94</xdr:row>
          <xdr:rowOff>485775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A09246DF-A144-484E-B83F-0F7F4B37B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95</xdr:row>
          <xdr:rowOff>9525</xdr:rowOff>
        </xdr:from>
        <xdr:to>
          <xdr:col>3</xdr:col>
          <xdr:colOff>95250</xdr:colOff>
          <xdr:row>95</xdr:row>
          <xdr:rowOff>485775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135C000F-35F9-4E20-8032-6A108B68C1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96</xdr:row>
          <xdr:rowOff>9525</xdr:rowOff>
        </xdr:from>
        <xdr:to>
          <xdr:col>3</xdr:col>
          <xdr:colOff>95250</xdr:colOff>
          <xdr:row>96</xdr:row>
          <xdr:rowOff>485775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4CB0A170-1555-4F9D-88D2-FF92CAC3A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97</xdr:row>
          <xdr:rowOff>9525</xdr:rowOff>
        </xdr:from>
        <xdr:to>
          <xdr:col>3</xdr:col>
          <xdr:colOff>95250</xdr:colOff>
          <xdr:row>97</xdr:row>
          <xdr:rowOff>485775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71E78DA3-3250-453B-A6E2-42F0F126A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98</xdr:row>
          <xdr:rowOff>9525</xdr:rowOff>
        </xdr:from>
        <xdr:to>
          <xdr:col>3</xdr:col>
          <xdr:colOff>95250</xdr:colOff>
          <xdr:row>98</xdr:row>
          <xdr:rowOff>485775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37A586D4-3BD3-4C32-8B48-FC73E604E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99</xdr:row>
          <xdr:rowOff>9525</xdr:rowOff>
        </xdr:from>
        <xdr:to>
          <xdr:col>3</xdr:col>
          <xdr:colOff>95250</xdr:colOff>
          <xdr:row>99</xdr:row>
          <xdr:rowOff>485775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87809012-91EE-449A-8B98-95FA11C17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100</xdr:row>
          <xdr:rowOff>9525</xdr:rowOff>
        </xdr:from>
        <xdr:to>
          <xdr:col>3</xdr:col>
          <xdr:colOff>95250</xdr:colOff>
          <xdr:row>100</xdr:row>
          <xdr:rowOff>485775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1A13E973-28B9-4CBD-BF0E-B609CCCD8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101</xdr:row>
          <xdr:rowOff>9525</xdr:rowOff>
        </xdr:from>
        <xdr:to>
          <xdr:col>3</xdr:col>
          <xdr:colOff>95250</xdr:colOff>
          <xdr:row>101</xdr:row>
          <xdr:rowOff>485775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E59A9731-FC2D-4176-A312-8715D331BD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102</xdr:row>
          <xdr:rowOff>9525</xdr:rowOff>
        </xdr:from>
        <xdr:to>
          <xdr:col>3</xdr:col>
          <xdr:colOff>95250</xdr:colOff>
          <xdr:row>102</xdr:row>
          <xdr:rowOff>485775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46BB400A-0BBB-451D-9200-7A9807E4D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103</xdr:row>
          <xdr:rowOff>9525</xdr:rowOff>
        </xdr:from>
        <xdr:to>
          <xdr:col>3</xdr:col>
          <xdr:colOff>95250</xdr:colOff>
          <xdr:row>103</xdr:row>
          <xdr:rowOff>485775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97BB695E-7D97-4391-A39F-526D64FCA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104</xdr:row>
          <xdr:rowOff>9525</xdr:rowOff>
        </xdr:from>
        <xdr:to>
          <xdr:col>3</xdr:col>
          <xdr:colOff>95250</xdr:colOff>
          <xdr:row>104</xdr:row>
          <xdr:rowOff>485775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503473DE-D2F7-41EE-BB1C-C10C51858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105</xdr:row>
          <xdr:rowOff>9525</xdr:rowOff>
        </xdr:from>
        <xdr:to>
          <xdr:col>3</xdr:col>
          <xdr:colOff>95250</xdr:colOff>
          <xdr:row>105</xdr:row>
          <xdr:rowOff>485775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20662B5-FA98-4DE0-A0D6-7A9021A6B8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106</xdr:row>
          <xdr:rowOff>9525</xdr:rowOff>
        </xdr:from>
        <xdr:to>
          <xdr:col>3</xdr:col>
          <xdr:colOff>95250</xdr:colOff>
          <xdr:row>106</xdr:row>
          <xdr:rowOff>485775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AF92F090-7A86-419E-960F-9EA0C6E424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107</xdr:row>
          <xdr:rowOff>9525</xdr:rowOff>
        </xdr:from>
        <xdr:to>
          <xdr:col>3</xdr:col>
          <xdr:colOff>95250</xdr:colOff>
          <xdr:row>107</xdr:row>
          <xdr:rowOff>485775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B909DAE9-F40A-48DF-A53F-AD1615136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108</xdr:row>
          <xdr:rowOff>9525</xdr:rowOff>
        </xdr:from>
        <xdr:to>
          <xdr:col>3</xdr:col>
          <xdr:colOff>95250</xdr:colOff>
          <xdr:row>108</xdr:row>
          <xdr:rowOff>485775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122C0969-65D4-4B3B-87BF-B5B74F31D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109</xdr:row>
          <xdr:rowOff>9525</xdr:rowOff>
        </xdr:from>
        <xdr:to>
          <xdr:col>3</xdr:col>
          <xdr:colOff>95250</xdr:colOff>
          <xdr:row>109</xdr:row>
          <xdr:rowOff>485775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378949F0-98D6-4D1C-9CCA-DC2B285F27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110</xdr:row>
          <xdr:rowOff>9525</xdr:rowOff>
        </xdr:from>
        <xdr:to>
          <xdr:col>3</xdr:col>
          <xdr:colOff>95250</xdr:colOff>
          <xdr:row>110</xdr:row>
          <xdr:rowOff>485775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589A6F68-5D3F-4C55-B511-12555CC33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111</xdr:row>
          <xdr:rowOff>9525</xdr:rowOff>
        </xdr:from>
        <xdr:to>
          <xdr:col>3</xdr:col>
          <xdr:colOff>95250</xdr:colOff>
          <xdr:row>111</xdr:row>
          <xdr:rowOff>485775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42268358-5B40-4860-8728-21211E6F0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112</xdr:row>
          <xdr:rowOff>9525</xdr:rowOff>
        </xdr:from>
        <xdr:to>
          <xdr:col>3</xdr:col>
          <xdr:colOff>95250</xdr:colOff>
          <xdr:row>112</xdr:row>
          <xdr:rowOff>485775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BF3BD085-E522-4D37-9C4F-C065F98CA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113</xdr:row>
          <xdr:rowOff>9525</xdr:rowOff>
        </xdr:from>
        <xdr:to>
          <xdr:col>3</xdr:col>
          <xdr:colOff>95250</xdr:colOff>
          <xdr:row>113</xdr:row>
          <xdr:rowOff>485775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17BFCF9-F4FC-42CA-AAA5-581480CBB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114</xdr:row>
          <xdr:rowOff>9525</xdr:rowOff>
        </xdr:from>
        <xdr:to>
          <xdr:col>3</xdr:col>
          <xdr:colOff>95250</xdr:colOff>
          <xdr:row>114</xdr:row>
          <xdr:rowOff>485775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D1DB71CD-7C85-4027-88B6-B734F2D7C1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115</xdr:row>
          <xdr:rowOff>9525</xdr:rowOff>
        </xdr:from>
        <xdr:to>
          <xdr:col>3</xdr:col>
          <xdr:colOff>95250</xdr:colOff>
          <xdr:row>115</xdr:row>
          <xdr:rowOff>485775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D75E36F7-DD3B-4DBD-AF83-D2F0A11C5D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116</xdr:row>
          <xdr:rowOff>9525</xdr:rowOff>
        </xdr:from>
        <xdr:to>
          <xdr:col>3</xdr:col>
          <xdr:colOff>95250</xdr:colOff>
          <xdr:row>116</xdr:row>
          <xdr:rowOff>485775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15545C45-BA46-4F57-BCEF-B8175493B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117</xdr:row>
          <xdr:rowOff>9525</xdr:rowOff>
        </xdr:from>
        <xdr:to>
          <xdr:col>3</xdr:col>
          <xdr:colOff>95250</xdr:colOff>
          <xdr:row>117</xdr:row>
          <xdr:rowOff>485775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78B03B8F-3E5B-4EA7-B3A8-19AECD911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118</xdr:row>
          <xdr:rowOff>9525</xdr:rowOff>
        </xdr:from>
        <xdr:to>
          <xdr:col>3</xdr:col>
          <xdr:colOff>95250</xdr:colOff>
          <xdr:row>118</xdr:row>
          <xdr:rowOff>485775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246C11CD-389A-4A44-BA33-E60E2D352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119</xdr:row>
          <xdr:rowOff>9525</xdr:rowOff>
        </xdr:from>
        <xdr:to>
          <xdr:col>3</xdr:col>
          <xdr:colOff>95250</xdr:colOff>
          <xdr:row>119</xdr:row>
          <xdr:rowOff>485775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E6EEEFFB-D4BA-463B-84A4-9BB732A00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120</xdr:row>
          <xdr:rowOff>9525</xdr:rowOff>
        </xdr:from>
        <xdr:to>
          <xdr:col>3</xdr:col>
          <xdr:colOff>95250</xdr:colOff>
          <xdr:row>120</xdr:row>
          <xdr:rowOff>485775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F99B204D-A79D-4FBA-8C61-D540EF0C5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121</xdr:row>
          <xdr:rowOff>9525</xdr:rowOff>
        </xdr:from>
        <xdr:to>
          <xdr:col>3</xdr:col>
          <xdr:colOff>95250</xdr:colOff>
          <xdr:row>121</xdr:row>
          <xdr:rowOff>485775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C21BD0BF-94A7-46FC-BD30-17827E1B20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122</xdr:row>
          <xdr:rowOff>9525</xdr:rowOff>
        </xdr:from>
        <xdr:to>
          <xdr:col>3</xdr:col>
          <xdr:colOff>95250</xdr:colOff>
          <xdr:row>122</xdr:row>
          <xdr:rowOff>485775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5C64A37D-CD6A-4445-A25E-99114E6E3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123</xdr:row>
          <xdr:rowOff>9525</xdr:rowOff>
        </xdr:from>
        <xdr:to>
          <xdr:col>3</xdr:col>
          <xdr:colOff>95250</xdr:colOff>
          <xdr:row>123</xdr:row>
          <xdr:rowOff>485775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3EBBFD12-CA57-41AC-9DD6-C35E2C5DB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124</xdr:row>
          <xdr:rowOff>9525</xdr:rowOff>
        </xdr:from>
        <xdr:to>
          <xdr:col>3</xdr:col>
          <xdr:colOff>95250</xdr:colOff>
          <xdr:row>124</xdr:row>
          <xdr:rowOff>485775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3620552A-042A-444E-AD4C-16697A2A0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125</xdr:row>
          <xdr:rowOff>9525</xdr:rowOff>
        </xdr:from>
        <xdr:to>
          <xdr:col>3</xdr:col>
          <xdr:colOff>95250</xdr:colOff>
          <xdr:row>125</xdr:row>
          <xdr:rowOff>485775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FBCF852-1165-4C1E-8946-A06E909B4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126</xdr:row>
          <xdr:rowOff>9525</xdr:rowOff>
        </xdr:from>
        <xdr:to>
          <xdr:col>3</xdr:col>
          <xdr:colOff>95250</xdr:colOff>
          <xdr:row>126</xdr:row>
          <xdr:rowOff>485775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E84E37F-01DE-4B2E-8C5C-319DFE444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127</xdr:row>
          <xdr:rowOff>9525</xdr:rowOff>
        </xdr:from>
        <xdr:to>
          <xdr:col>3</xdr:col>
          <xdr:colOff>95250</xdr:colOff>
          <xdr:row>127</xdr:row>
          <xdr:rowOff>485775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CAE8A9B7-C24B-4634-A7C3-83A98EC59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128</xdr:row>
          <xdr:rowOff>9525</xdr:rowOff>
        </xdr:from>
        <xdr:to>
          <xdr:col>3</xdr:col>
          <xdr:colOff>95250</xdr:colOff>
          <xdr:row>128</xdr:row>
          <xdr:rowOff>485775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1EE2A738-6633-480C-9DB2-8BD2EAAB8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129</xdr:row>
          <xdr:rowOff>9525</xdr:rowOff>
        </xdr:from>
        <xdr:to>
          <xdr:col>3</xdr:col>
          <xdr:colOff>95250</xdr:colOff>
          <xdr:row>129</xdr:row>
          <xdr:rowOff>485775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14056BAA-6B59-49C6-A565-BA7E58155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130</xdr:row>
          <xdr:rowOff>9525</xdr:rowOff>
        </xdr:from>
        <xdr:to>
          <xdr:col>3</xdr:col>
          <xdr:colOff>95250</xdr:colOff>
          <xdr:row>130</xdr:row>
          <xdr:rowOff>485775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7F93C44A-DD19-48C9-9503-6B9F5A914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131</xdr:row>
          <xdr:rowOff>9525</xdr:rowOff>
        </xdr:from>
        <xdr:to>
          <xdr:col>3</xdr:col>
          <xdr:colOff>95250</xdr:colOff>
          <xdr:row>131</xdr:row>
          <xdr:rowOff>485775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C21D6C69-376F-48B7-9B0D-5E283DC8B8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132</xdr:row>
          <xdr:rowOff>9525</xdr:rowOff>
        </xdr:from>
        <xdr:to>
          <xdr:col>3</xdr:col>
          <xdr:colOff>95250</xdr:colOff>
          <xdr:row>132</xdr:row>
          <xdr:rowOff>485775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6C31F64D-F3EE-4660-9774-7882EF6B5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133</xdr:row>
          <xdr:rowOff>9525</xdr:rowOff>
        </xdr:from>
        <xdr:to>
          <xdr:col>3</xdr:col>
          <xdr:colOff>95250</xdr:colOff>
          <xdr:row>133</xdr:row>
          <xdr:rowOff>485775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57E23D8B-96C0-431A-9626-9282FAF16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134</xdr:row>
          <xdr:rowOff>9525</xdr:rowOff>
        </xdr:from>
        <xdr:to>
          <xdr:col>3</xdr:col>
          <xdr:colOff>95250</xdr:colOff>
          <xdr:row>134</xdr:row>
          <xdr:rowOff>485775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519F44BD-F0B3-404B-95B8-64FA4F660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135</xdr:row>
          <xdr:rowOff>9525</xdr:rowOff>
        </xdr:from>
        <xdr:to>
          <xdr:col>3</xdr:col>
          <xdr:colOff>95250</xdr:colOff>
          <xdr:row>135</xdr:row>
          <xdr:rowOff>485775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4FC5E601-5851-4473-A2DF-975DFD647D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136</xdr:row>
          <xdr:rowOff>9525</xdr:rowOff>
        </xdr:from>
        <xdr:to>
          <xdr:col>3</xdr:col>
          <xdr:colOff>95250</xdr:colOff>
          <xdr:row>136</xdr:row>
          <xdr:rowOff>485775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DF7B6BFB-5818-4439-AAC1-C18B47697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137</xdr:row>
          <xdr:rowOff>9525</xdr:rowOff>
        </xdr:from>
        <xdr:to>
          <xdr:col>3</xdr:col>
          <xdr:colOff>95250</xdr:colOff>
          <xdr:row>137</xdr:row>
          <xdr:rowOff>485775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AFB661B7-6D5F-4684-BD4D-62D11A135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138</xdr:row>
          <xdr:rowOff>9525</xdr:rowOff>
        </xdr:from>
        <xdr:to>
          <xdr:col>3</xdr:col>
          <xdr:colOff>95250</xdr:colOff>
          <xdr:row>138</xdr:row>
          <xdr:rowOff>485775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49EEDAA5-E527-43B0-A48E-60AB94C8D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139</xdr:row>
          <xdr:rowOff>9525</xdr:rowOff>
        </xdr:from>
        <xdr:to>
          <xdr:col>3</xdr:col>
          <xdr:colOff>95250</xdr:colOff>
          <xdr:row>139</xdr:row>
          <xdr:rowOff>485775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BE4DFBFB-E63D-4225-8E70-2DAD08047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140</xdr:row>
          <xdr:rowOff>9525</xdr:rowOff>
        </xdr:from>
        <xdr:to>
          <xdr:col>3</xdr:col>
          <xdr:colOff>95250</xdr:colOff>
          <xdr:row>140</xdr:row>
          <xdr:rowOff>485775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B25B6A3-FDB0-4867-BAE5-5245AC532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141</xdr:row>
          <xdr:rowOff>9525</xdr:rowOff>
        </xdr:from>
        <xdr:to>
          <xdr:col>3</xdr:col>
          <xdr:colOff>95250</xdr:colOff>
          <xdr:row>141</xdr:row>
          <xdr:rowOff>485775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26BC2DCB-DD54-4B41-9835-4F40EEC46C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142</xdr:row>
          <xdr:rowOff>9525</xdr:rowOff>
        </xdr:from>
        <xdr:to>
          <xdr:col>3</xdr:col>
          <xdr:colOff>95250</xdr:colOff>
          <xdr:row>142</xdr:row>
          <xdr:rowOff>485775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E47FA3C5-3E53-46AE-BF69-F33FFE934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143</xdr:row>
          <xdr:rowOff>9525</xdr:rowOff>
        </xdr:from>
        <xdr:to>
          <xdr:col>3</xdr:col>
          <xdr:colOff>95250</xdr:colOff>
          <xdr:row>143</xdr:row>
          <xdr:rowOff>485775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D519396B-F2B6-48F6-8A45-64B61A78D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144</xdr:row>
          <xdr:rowOff>9525</xdr:rowOff>
        </xdr:from>
        <xdr:to>
          <xdr:col>3</xdr:col>
          <xdr:colOff>95250</xdr:colOff>
          <xdr:row>144</xdr:row>
          <xdr:rowOff>485775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4A485821-FB27-422E-BC72-476DCF336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145</xdr:row>
          <xdr:rowOff>9525</xdr:rowOff>
        </xdr:from>
        <xdr:to>
          <xdr:col>3</xdr:col>
          <xdr:colOff>95250</xdr:colOff>
          <xdr:row>145</xdr:row>
          <xdr:rowOff>485775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449B0FB-4608-4E56-88C3-68C2C6790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146</xdr:row>
          <xdr:rowOff>9525</xdr:rowOff>
        </xdr:from>
        <xdr:to>
          <xdr:col>3</xdr:col>
          <xdr:colOff>95250</xdr:colOff>
          <xdr:row>146</xdr:row>
          <xdr:rowOff>485775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4E01BE9-047D-4A86-9D5F-8EEDF7FF8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147</xdr:row>
          <xdr:rowOff>9525</xdr:rowOff>
        </xdr:from>
        <xdr:to>
          <xdr:col>3</xdr:col>
          <xdr:colOff>95250</xdr:colOff>
          <xdr:row>147</xdr:row>
          <xdr:rowOff>485775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58789598-AB84-4F4C-B91B-2548498577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148</xdr:row>
          <xdr:rowOff>9525</xdr:rowOff>
        </xdr:from>
        <xdr:to>
          <xdr:col>3</xdr:col>
          <xdr:colOff>95250</xdr:colOff>
          <xdr:row>148</xdr:row>
          <xdr:rowOff>485775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F6762C6D-FAD3-4B80-B655-FE49C07FE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149</xdr:row>
          <xdr:rowOff>9525</xdr:rowOff>
        </xdr:from>
        <xdr:to>
          <xdr:col>3</xdr:col>
          <xdr:colOff>95250</xdr:colOff>
          <xdr:row>149</xdr:row>
          <xdr:rowOff>485775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253E0443-D2DA-44A1-9178-3CBD8A265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150</xdr:row>
          <xdr:rowOff>9525</xdr:rowOff>
        </xdr:from>
        <xdr:to>
          <xdr:col>3</xdr:col>
          <xdr:colOff>95250</xdr:colOff>
          <xdr:row>150</xdr:row>
          <xdr:rowOff>485775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2239E73D-2661-4964-8EC5-29AE472C9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151</xdr:row>
          <xdr:rowOff>9525</xdr:rowOff>
        </xdr:from>
        <xdr:to>
          <xdr:col>3</xdr:col>
          <xdr:colOff>95250</xdr:colOff>
          <xdr:row>151</xdr:row>
          <xdr:rowOff>485775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78620458-8E53-40CA-B022-22E0552E1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152</xdr:row>
          <xdr:rowOff>9525</xdr:rowOff>
        </xdr:from>
        <xdr:to>
          <xdr:col>3</xdr:col>
          <xdr:colOff>95250</xdr:colOff>
          <xdr:row>152</xdr:row>
          <xdr:rowOff>485775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2E21F16A-631E-471A-B316-EF3D80D2F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153</xdr:row>
          <xdr:rowOff>9525</xdr:rowOff>
        </xdr:from>
        <xdr:to>
          <xdr:col>3</xdr:col>
          <xdr:colOff>95250</xdr:colOff>
          <xdr:row>153</xdr:row>
          <xdr:rowOff>485775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B0713AE2-F5A4-4110-9762-13CAEEB8D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154</xdr:row>
          <xdr:rowOff>9525</xdr:rowOff>
        </xdr:from>
        <xdr:to>
          <xdr:col>3</xdr:col>
          <xdr:colOff>95250</xdr:colOff>
          <xdr:row>154</xdr:row>
          <xdr:rowOff>485775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D40C1BC8-295D-4230-AADF-17228B993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155</xdr:row>
          <xdr:rowOff>9525</xdr:rowOff>
        </xdr:from>
        <xdr:to>
          <xdr:col>3</xdr:col>
          <xdr:colOff>95250</xdr:colOff>
          <xdr:row>155</xdr:row>
          <xdr:rowOff>485775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773D429F-318F-4DFD-98DF-954AE2BC4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156</xdr:row>
          <xdr:rowOff>9525</xdr:rowOff>
        </xdr:from>
        <xdr:to>
          <xdr:col>3</xdr:col>
          <xdr:colOff>95250</xdr:colOff>
          <xdr:row>156</xdr:row>
          <xdr:rowOff>485775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43EAF0E5-F1CD-410D-87B2-B2F30DCBF4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157</xdr:row>
          <xdr:rowOff>9525</xdr:rowOff>
        </xdr:from>
        <xdr:to>
          <xdr:col>3</xdr:col>
          <xdr:colOff>95250</xdr:colOff>
          <xdr:row>157</xdr:row>
          <xdr:rowOff>485775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CB74D149-FF15-48A2-B3BE-B25E58E94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158</xdr:row>
          <xdr:rowOff>9525</xdr:rowOff>
        </xdr:from>
        <xdr:to>
          <xdr:col>3</xdr:col>
          <xdr:colOff>95250</xdr:colOff>
          <xdr:row>158</xdr:row>
          <xdr:rowOff>485775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2E0301E3-18F9-4A79-96FE-4C57C51CAB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159</xdr:row>
          <xdr:rowOff>9525</xdr:rowOff>
        </xdr:from>
        <xdr:to>
          <xdr:col>3</xdr:col>
          <xdr:colOff>95250</xdr:colOff>
          <xdr:row>159</xdr:row>
          <xdr:rowOff>485775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33C01079-70DB-43A2-A4ED-45E043895E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160</xdr:row>
          <xdr:rowOff>9525</xdr:rowOff>
        </xdr:from>
        <xdr:to>
          <xdr:col>3</xdr:col>
          <xdr:colOff>95250</xdr:colOff>
          <xdr:row>160</xdr:row>
          <xdr:rowOff>485775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7AC70CC-02D5-483D-A230-2C58745B77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161</xdr:row>
          <xdr:rowOff>9525</xdr:rowOff>
        </xdr:from>
        <xdr:to>
          <xdr:col>3</xdr:col>
          <xdr:colOff>95250</xdr:colOff>
          <xdr:row>161</xdr:row>
          <xdr:rowOff>485775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E02C5F01-3978-407E-8555-44AC412883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162</xdr:row>
          <xdr:rowOff>9525</xdr:rowOff>
        </xdr:from>
        <xdr:to>
          <xdr:col>3</xdr:col>
          <xdr:colOff>95250</xdr:colOff>
          <xdr:row>162</xdr:row>
          <xdr:rowOff>485775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EA589E62-9E80-40B4-BCBE-4AA851988F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163</xdr:row>
          <xdr:rowOff>9525</xdr:rowOff>
        </xdr:from>
        <xdr:to>
          <xdr:col>3</xdr:col>
          <xdr:colOff>95250</xdr:colOff>
          <xdr:row>163</xdr:row>
          <xdr:rowOff>485775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30D3AF45-CC4B-4D30-9630-048D5AA59D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164</xdr:row>
          <xdr:rowOff>9525</xdr:rowOff>
        </xdr:from>
        <xdr:to>
          <xdr:col>3</xdr:col>
          <xdr:colOff>95250</xdr:colOff>
          <xdr:row>164</xdr:row>
          <xdr:rowOff>485775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117A7E66-780C-4BA8-918A-AFE6965EC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165</xdr:row>
          <xdr:rowOff>9525</xdr:rowOff>
        </xdr:from>
        <xdr:to>
          <xdr:col>3</xdr:col>
          <xdr:colOff>95250</xdr:colOff>
          <xdr:row>165</xdr:row>
          <xdr:rowOff>485775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B7EEE697-D7E9-4502-A008-43F58CA7E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166</xdr:row>
          <xdr:rowOff>9525</xdr:rowOff>
        </xdr:from>
        <xdr:to>
          <xdr:col>3</xdr:col>
          <xdr:colOff>95250</xdr:colOff>
          <xdr:row>166</xdr:row>
          <xdr:rowOff>485775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68C3E1DC-AD99-45D5-81E6-0A8443E72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167</xdr:row>
          <xdr:rowOff>9525</xdr:rowOff>
        </xdr:from>
        <xdr:to>
          <xdr:col>3</xdr:col>
          <xdr:colOff>95250</xdr:colOff>
          <xdr:row>167</xdr:row>
          <xdr:rowOff>485775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99AC7464-5273-43C0-954D-9DE44F5A7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168</xdr:row>
          <xdr:rowOff>9525</xdr:rowOff>
        </xdr:from>
        <xdr:to>
          <xdr:col>3</xdr:col>
          <xdr:colOff>95250</xdr:colOff>
          <xdr:row>168</xdr:row>
          <xdr:rowOff>485775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1C895B09-7B83-4DB9-8641-5448FA3143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169</xdr:row>
          <xdr:rowOff>9525</xdr:rowOff>
        </xdr:from>
        <xdr:to>
          <xdr:col>3</xdr:col>
          <xdr:colOff>95250</xdr:colOff>
          <xdr:row>169</xdr:row>
          <xdr:rowOff>485775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9477FEFE-A0CA-41E1-96C2-497CA3A5ED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170</xdr:row>
          <xdr:rowOff>9525</xdr:rowOff>
        </xdr:from>
        <xdr:to>
          <xdr:col>3</xdr:col>
          <xdr:colOff>95250</xdr:colOff>
          <xdr:row>170</xdr:row>
          <xdr:rowOff>485775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D625D63A-9EC9-4128-9EB4-A1A1AC4A6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171</xdr:row>
          <xdr:rowOff>9525</xdr:rowOff>
        </xdr:from>
        <xdr:to>
          <xdr:col>3</xdr:col>
          <xdr:colOff>95250</xdr:colOff>
          <xdr:row>171</xdr:row>
          <xdr:rowOff>485775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207B05DB-A6D3-4EAC-B8A3-FD3369448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172</xdr:row>
          <xdr:rowOff>9525</xdr:rowOff>
        </xdr:from>
        <xdr:to>
          <xdr:col>3</xdr:col>
          <xdr:colOff>95250</xdr:colOff>
          <xdr:row>172</xdr:row>
          <xdr:rowOff>485775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A275DFC1-4278-459B-BAAD-1C03EE844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173</xdr:row>
          <xdr:rowOff>9525</xdr:rowOff>
        </xdr:from>
        <xdr:to>
          <xdr:col>3</xdr:col>
          <xdr:colOff>95250</xdr:colOff>
          <xdr:row>173</xdr:row>
          <xdr:rowOff>485775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1A1AC511-BEF4-476B-848C-C98D1ABD2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174</xdr:row>
          <xdr:rowOff>9525</xdr:rowOff>
        </xdr:from>
        <xdr:to>
          <xdr:col>3</xdr:col>
          <xdr:colOff>95250</xdr:colOff>
          <xdr:row>174</xdr:row>
          <xdr:rowOff>485775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F937B834-97B5-45C4-BEC2-931AB3E908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175</xdr:row>
          <xdr:rowOff>9525</xdr:rowOff>
        </xdr:from>
        <xdr:to>
          <xdr:col>3</xdr:col>
          <xdr:colOff>95250</xdr:colOff>
          <xdr:row>175</xdr:row>
          <xdr:rowOff>485775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41BC234C-A9F2-47BA-A7ED-9816564F48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176</xdr:row>
          <xdr:rowOff>9525</xdr:rowOff>
        </xdr:from>
        <xdr:to>
          <xdr:col>3</xdr:col>
          <xdr:colOff>95250</xdr:colOff>
          <xdr:row>176</xdr:row>
          <xdr:rowOff>485775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EBF1B626-67B9-47AC-ACC4-D28BB4CFA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177</xdr:row>
          <xdr:rowOff>9525</xdr:rowOff>
        </xdr:from>
        <xdr:to>
          <xdr:col>3</xdr:col>
          <xdr:colOff>95250</xdr:colOff>
          <xdr:row>177</xdr:row>
          <xdr:rowOff>485775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14AB5C6B-5AA8-4931-B434-6F1326C079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178</xdr:row>
          <xdr:rowOff>9525</xdr:rowOff>
        </xdr:from>
        <xdr:to>
          <xdr:col>3</xdr:col>
          <xdr:colOff>95250</xdr:colOff>
          <xdr:row>178</xdr:row>
          <xdr:rowOff>485775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2B10FBC-8A29-45F2-84F1-F09D2AABE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179</xdr:row>
          <xdr:rowOff>9525</xdr:rowOff>
        </xdr:from>
        <xdr:to>
          <xdr:col>3</xdr:col>
          <xdr:colOff>95250</xdr:colOff>
          <xdr:row>179</xdr:row>
          <xdr:rowOff>485775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E1DF355A-78AE-4307-8A81-1668494D6F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180</xdr:row>
          <xdr:rowOff>9525</xdr:rowOff>
        </xdr:from>
        <xdr:to>
          <xdr:col>3</xdr:col>
          <xdr:colOff>95250</xdr:colOff>
          <xdr:row>180</xdr:row>
          <xdr:rowOff>485775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2BC062AA-ED7B-4471-8573-6449617E0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181</xdr:row>
          <xdr:rowOff>9525</xdr:rowOff>
        </xdr:from>
        <xdr:to>
          <xdr:col>3</xdr:col>
          <xdr:colOff>95250</xdr:colOff>
          <xdr:row>181</xdr:row>
          <xdr:rowOff>485775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856CCB3A-B412-4309-AC0C-4D06133F3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182</xdr:row>
          <xdr:rowOff>9525</xdr:rowOff>
        </xdr:from>
        <xdr:to>
          <xdr:col>3</xdr:col>
          <xdr:colOff>95250</xdr:colOff>
          <xdr:row>182</xdr:row>
          <xdr:rowOff>485775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AB9A72F1-44FC-4BF3-A4E4-3FEFE5230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183</xdr:row>
          <xdr:rowOff>9525</xdr:rowOff>
        </xdr:from>
        <xdr:to>
          <xdr:col>3</xdr:col>
          <xdr:colOff>95250</xdr:colOff>
          <xdr:row>183</xdr:row>
          <xdr:rowOff>485775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EE180E92-5928-4F09-B605-8170D8CD6C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184</xdr:row>
          <xdr:rowOff>9525</xdr:rowOff>
        </xdr:from>
        <xdr:to>
          <xdr:col>3</xdr:col>
          <xdr:colOff>95250</xdr:colOff>
          <xdr:row>184</xdr:row>
          <xdr:rowOff>485775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1A58BF0B-67BB-4C2D-A2E6-F983EA59B5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185</xdr:row>
          <xdr:rowOff>9525</xdr:rowOff>
        </xdr:from>
        <xdr:to>
          <xdr:col>3</xdr:col>
          <xdr:colOff>95250</xdr:colOff>
          <xdr:row>185</xdr:row>
          <xdr:rowOff>485775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43708C2D-AD12-45E8-9552-7A9C69583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186</xdr:row>
          <xdr:rowOff>9525</xdr:rowOff>
        </xdr:from>
        <xdr:to>
          <xdr:col>3</xdr:col>
          <xdr:colOff>95250</xdr:colOff>
          <xdr:row>186</xdr:row>
          <xdr:rowOff>485775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FFF31DF0-A142-4318-A1E9-39209CB1E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187</xdr:row>
          <xdr:rowOff>9525</xdr:rowOff>
        </xdr:from>
        <xdr:to>
          <xdr:col>3</xdr:col>
          <xdr:colOff>95250</xdr:colOff>
          <xdr:row>187</xdr:row>
          <xdr:rowOff>485775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EA5D8B12-E8E9-45D7-8CC4-C6226BE06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188</xdr:row>
          <xdr:rowOff>9525</xdr:rowOff>
        </xdr:from>
        <xdr:to>
          <xdr:col>3</xdr:col>
          <xdr:colOff>95250</xdr:colOff>
          <xdr:row>188</xdr:row>
          <xdr:rowOff>485775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CFC1D014-7D1F-4733-B44B-6EE60A721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189</xdr:row>
          <xdr:rowOff>9525</xdr:rowOff>
        </xdr:from>
        <xdr:to>
          <xdr:col>3</xdr:col>
          <xdr:colOff>95250</xdr:colOff>
          <xdr:row>189</xdr:row>
          <xdr:rowOff>485775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50BA87E7-FDFF-4D4C-B3D3-F3627872E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190</xdr:row>
          <xdr:rowOff>9525</xdr:rowOff>
        </xdr:from>
        <xdr:to>
          <xdr:col>3</xdr:col>
          <xdr:colOff>95250</xdr:colOff>
          <xdr:row>190</xdr:row>
          <xdr:rowOff>485775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18DF2C9D-2881-4F3F-81AD-B3F0C68B41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191</xdr:row>
          <xdr:rowOff>9525</xdr:rowOff>
        </xdr:from>
        <xdr:to>
          <xdr:col>3</xdr:col>
          <xdr:colOff>95250</xdr:colOff>
          <xdr:row>191</xdr:row>
          <xdr:rowOff>485775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A8697A31-5177-46B2-824D-3929C3F57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192</xdr:row>
          <xdr:rowOff>9525</xdr:rowOff>
        </xdr:from>
        <xdr:to>
          <xdr:col>3</xdr:col>
          <xdr:colOff>95250</xdr:colOff>
          <xdr:row>192</xdr:row>
          <xdr:rowOff>485775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E0D89B47-BFB5-4C8F-BEDD-5D8A983F3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193</xdr:row>
          <xdr:rowOff>9525</xdr:rowOff>
        </xdr:from>
        <xdr:to>
          <xdr:col>3</xdr:col>
          <xdr:colOff>95250</xdr:colOff>
          <xdr:row>193</xdr:row>
          <xdr:rowOff>485775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C770CBF6-B53D-474B-8CB5-2220A2BC4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194</xdr:row>
          <xdr:rowOff>9525</xdr:rowOff>
        </xdr:from>
        <xdr:to>
          <xdr:col>3</xdr:col>
          <xdr:colOff>95250</xdr:colOff>
          <xdr:row>194</xdr:row>
          <xdr:rowOff>485775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E2D7F1BC-825A-4EFC-A889-D3FD73C72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195</xdr:row>
          <xdr:rowOff>9525</xdr:rowOff>
        </xdr:from>
        <xdr:to>
          <xdr:col>3</xdr:col>
          <xdr:colOff>95250</xdr:colOff>
          <xdr:row>195</xdr:row>
          <xdr:rowOff>485775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851E39D7-FAF3-4AC7-8156-072937B7C3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196</xdr:row>
          <xdr:rowOff>9525</xdr:rowOff>
        </xdr:from>
        <xdr:to>
          <xdr:col>3</xdr:col>
          <xdr:colOff>95250</xdr:colOff>
          <xdr:row>196</xdr:row>
          <xdr:rowOff>485775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CE13DEAC-21C1-4DA6-A323-712B7414D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197</xdr:row>
          <xdr:rowOff>9525</xdr:rowOff>
        </xdr:from>
        <xdr:to>
          <xdr:col>3</xdr:col>
          <xdr:colOff>95250</xdr:colOff>
          <xdr:row>197</xdr:row>
          <xdr:rowOff>485775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13433115-390B-4FCD-A510-6D8F91D9BA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198</xdr:row>
          <xdr:rowOff>9525</xdr:rowOff>
        </xdr:from>
        <xdr:to>
          <xdr:col>3</xdr:col>
          <xdr:colOff>95250</xdr:colOff>
          <xdr:row>198</xdr:row>
          <xdr:rowOff>485775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DBE8F03D-CF97-41F4-8836-7B3F683E0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199</xdr:row>
          <xdr:rowOff>9525</xdr:rowOff>
        </xdr:from>
        <xdr:to>
          <xdr:col>3</xdr:col>
          <xdr:colOff>95250</xdr:colOff>
          <xdr:row>199</xdr:row>
          <xdr:rowOff>485775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47CA9C5B-E5BB-4037-BF18-40DBBCC65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200</xdr:row>
          <xdr:rowOff>9525</xdr:rowOff>
        </xdr:from>
        <xdr:to>
          <xdr:col>3</xdr:col>
          <xdr:colOff>95250</xdr:colOff>
          <xdr:row>200</xdr:row>
          <xdr:rowOff>485775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B0044C9B-9B26-41E3-BCB2-0D5FBDC34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201</xdr:row>
          <xdr:rowOff>9525</xdr:rowOff>
        </xdr:from>
        <xdr:to>
          <xdr:col>3</xdr:col>
          <xdr:colOff>95250</xdr:colOff>
          <xdr:row>201</xdr:row>
          <xdr:rowOff>485775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EDEE3D6A-9242-42FB-A52D-CA6A40BE8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202</xdr:row>
          <xdr:rowOff>9525</xdr:rowOff>
        </xdr:from>
        <xdr:to>
          <xdr:col>3</xdr:col>
          <xdr:colOff>95250</xdr:colOff>
          <xdr:row>202</xdr:row>
          <xdr:rowOff>485775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472619D7-136C-4A7A-8EF5-E0CE6E1E9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203</xdr:row>
          <xdr:rowOff>9525</xdr:rowOff>
        </xdr:from>
        <xdr:to>
          <xdr:col>3</xdr:col>
          <xdr:colOff>95250</xdr:colOff>
          <xdr:row>203</xdr:row>
          <xdr:rowOff>485775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760DAAA7-1086-4AD2-A1DA-8873ABF66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204</xdr:row>
          <xdr:rowOff>9525</xdr:rowOff>
        </xdr:from>
        <xdr:to>
          <xdr:col>3</xdr:col>
          <xdr:colOff>95250</xdr:colOff>
          <xdr:row>204</xdr:row>
          <xdr:rowOff>485775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257FC49-D7D3-443F-847B-3E1DF13BEE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205</xdr:row>
          <xdr:rowOff>9525</xdr:rowOff>
        </xdr:from>
        <xdr:to>
          <xdr:col>3</xdr:col>
          <xdr:colOff>95250</xdr:colOff>
          <xdr:row>205</xdr:row>
          <xdr:rowOff>485775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18866D0F-DAD0-4140-BF2A-FFBC16A60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206</xdr:row>
          <xdr:rowOff>9525</xdr:rowOff>
        </xdr:from>
        <xdr:to>
          <xdr:col>3</xdr:col>
          <xdr:colOff>95250</xdr:colOff>
          <xdr:row>206</xdr:row>
          <xdr:rowOff>485775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B2A31BF8-D9B8-400A-BE78-61535DA64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207</xdr:row>
          <xdr:rowOff>9525</xdr:rowOff>
        </xdr:from>
        <xdr:to>
          <xdr:col>3</xdr:col>
          <xdr:colOff>95250</xdr:colOff>
          <xdr:row>207</xdr:row>
          <xdr:rowOff>485775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7F8A4D40-C51B-48A4-BF1F-C6FA55075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208</xdr:row>
          <xdr:rowOff>9525</xdr:rowOff>
        </xdr:from>
        <xdr:to>
          <xdr:col>3</xdr:col>
          <xdr:colOff>95250</xdr:colOff>
          <xdr:row>208</xdr:row>
          <xdr:rowOff>485775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68B39BEC-8FB7-41C9-AFB0-760257746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209</xdr:row>
          <xdr:rowOff>9525</xdr:rowOff>
        </xdr:from>
        <xdr:to>
          <xdr:col>3</xdr:col>
          <xdr:colOff>95250</xdr:colOff>
          <xdr:row>209</xdr:row>
          <xdr:rowOff>485775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B587B6BE-EC60-45A6-A8A6-1ED246ADD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210</xdr:row>
          <xdr:rowOff>9525</xdr:rowOff>
        </xdr:from>
        <xdr:to>
          <xdr:col>3</xdr:col>
          <xdr:colOff>95250</xdr:colOff>
          <xdr:row>210</xdr:row>
          <xdr:rowOff>485775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67532773-32B4-4B12-8FF7-F806D65AB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211</xdr:row>
          <xdr:rowOff>9525</xdr:rowOff>
        </xdr:from>
        <xdr:to>
          <xdr:col>3</xdr:col>
          <xdr:colOff>95250</xdr:colOff>
          <xdr:row>211</xdr:row>
          <xdr:rowOff>485775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A3AD204E-5740-4A7E-8E10-82115654A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212</xdr:row>
          <xdr:rowOff>9525</xdr:rowOff>
        </xdr:from>
        <xdr:to>
          <xdr:col>3</xdr:col>
          <xdr:colOff>95250</xdr:colOff>
          <xdr:row>212</xdr:row>
          <xdr:rowOff>485775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284AF238-C671-4D35-8960-E357B343A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213</xdr:row>
          <xdr:rowOff>9525</xdr:rowOff>
        </xdr:from>
        <xdr:to>
          <xdr:col>3</xdr:col>
          <xdr:colOff>95250</xdr:colOff>
          <xdr:row>213</xdr:row>
          <xdr:rowOff>485775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1C56AE4B-8439-44F2-8848-9A01D9FF22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214</xdr:row>
          <xdr:rowOff>9525</xdr:rowOff>
        </xdr:from>
        <xdr:to>
          <xdr:col>3</xdr:col>
          <xdr:colOff>95250</xdr:colOff>
          <xdr:row>214</xdr:row>
          <xdr:rowOff>485775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5061AC3C-2E65-4FB6-93C5-05753BE62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215</xdr:row>
          <xdr:rowOff>9525</xdr:rowOff>
        </xdr:from>
        <xdr:to>
          <xdr:col>3</xdr:col>
          <xdr:colOff>95250</xdr:colOff>
          <xdr:row>215</xdr:row>
          <xdr:rowOff>485775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D47AAA0F-F21D-4DB0-89F8-1D7097D83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216</xdr:row>
          <xdr:rowOff>9525</xdr:rowOff>
        </xdr:from>
        <xdr:to>
          <xdr:col>3</xdr:col>
          <xdr:colOff>95250</xdr:colOff>
          <xdr:row>216</xdr:row>
          <xdr:rowOff>485775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7CCEA608-3783-43E2-A784-33A9EF09B7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217</xdr:row>
          <xdr:rowOff>9525</xdr:rowOff>
        </xdr:from>
        <xdr:to>
          <xdr:col>3</xdr:col>
          <xdr:colOff>95250</xdr:colOff>
          <xdr:row>217</xdr:row>
          <xdr:rowOff>485775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D57B70D0-6131-44D7-BFD8-D80CC3D10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218</xdr:row>
          <xdr:rowOff>9525</xdr:rowOff>
        </xdr:from>
        <xdr:to>
          <xdr:col>3</xdr:col>
          <xdr:colOff>95250</xdr:colOff>
          <xdr:row>218</xdr:row>
          <xdr:rowOff>485775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FF0FD387-C298-4B4F-A1F2-B6C44E368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219</xdr:row>
          <xdr:rowOff>9525</xdr:rowOff>
        </xdr:from>
        <xdr:to>
          <xdr:col>3</xdr:col>
          <xdr:colOff>95250</xdr:colOff>
          <xdr:row>219</xdr:row>
          <xdr:rowOff>485775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79ACD0FD-A677-4723-B194-2817E9EE2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220</xdr:row>
          <xdr:rowOff>9525</xdr:rowOff>
        </xdr:from>
        <xdr:to>
          <xdr:col>3</xdr:col>
          <xdr:colOff>95250</xdr:colOff>
          <xdr:row>220</xdr:row>
          <xdr:rowOff>485775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F8ADDE5B-4BD0-4E17-B3C2-CFACC61DC4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221</xdr:row>
          <xdr:rowOff>9525</xdr:rowOff>
        </xdr:from>
        <xdr:to>
          <xdr:col>3</xdr:col>
          <xdr:colOff>95250</xdr:colOff>
          <xdr:row>221</xdr:row>
          <xdr:rowOff>485775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D52080EB-97F2-4550-8349-EBB22AE32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222</xdr:row>
          <xdr:rowOff>9525</xdr:rowOff>
        </xdr:from>
        <xdr:to>
          <xdr:col>3</xdr:col>
          <xdr:colOff>95250</xdr:colOff>
          <xdr:row>222</xdr:row>
          <xdr:rowOff>485775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5732ADED-D39D-4313-9232-DBE8CE163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223</xdr:row>
          <xdr:rowOff>9525</xdr:rowOff>
        </xdr:from>
        <xdr:to>
          <xdr:col>3</xdr:col>
          <xdr:colOff>95250</xdr:colOff>
          <xdr:row>223</xdr:row>
          <xdr:rowOff>485775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72E54F8B-64A1-4F38-B397-AD35B8CFD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224</xdr:row>
          <xdr:rowOff>9525</xdr:rowOff>
        </xdr:from>
        <xdr:to>
          <xdr:col>3</xdr:col>
          <xdr:colOff>95250</xdr:colOff>
          <xdr:row>224</xdr:row>
          <xdr:rowOff>485775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E8B34A21-09AE-4832-B804-2BE410609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225</xdr:row>
          <xdr:rowOff>9525</xdr:rowOff>
        </xdr:from>
        <xdr:to>
          <xdr:col>3</xdr:col>
          <xdr:colOff>95250</xdr:colOff>
          <xdr:row>225</xdr:row>
          <xdr:rowOff>485775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E75C2D4F-D5DB-4888-9F3C-FD1943E78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226</xdr:row>
          <xdr:rowOff>9525</xdr:rowOff>
        </xdr:from>
        <xdr:to>
          <xdr:col>3</xdr:col>
          <xdr:colOff>95250</xdr:colOff>
          <xdr:row>226</xdr:row>
          <xdr:rowOff>485775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1CBE3B94-43C6-4520-BDCB-80F610487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227</xdr:row>
          <xdr:rowOff>9525</xdr:rowOff>
        </xdr:from>
        <xdr:to>
          <xdr:col>3</xdr:col>
          <xdr:colOff>95250</xdr:colOff>
          <xdr:row>227</xdr:row>
          <xdr:rowOff>485775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D7A15283-360E-49BA-B519-47DF3D332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228</xdr:row>
          <xdr:rowOff>9525</xdr:rowOff>
        </xdr:from>
        <xdr:to>
          <xdr:col>3</xdr:col>
          <xdr:colOff>95250</xdr:colOff>
          <xdr:row>228</xdr:row>
          <xdr:rowOff>485775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188E6667-331D-4500-A4E2-4EE78B7B3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229</xdr:row>
          <xdr:rowOff>9525</xdr:rowOff>
        </xdr:from>
        <xdr:to>
          <xdr:col>3</xdr:col>
          <xdr:colOff>95250</xdr:colOff>
          <xdr:row>229</xdr:row>
          <xdr:rowOff>485775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677ED905-B1A7-43FC-A408-38054AF86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230</xdr:row>
          <xdr:rowOff>9525</xdr:rowOff>
        </xdr:from>
        <xdr:to>
          <xdr:col>3</xdr:col>
          <xdr:colOff>95250</xdr:colOff>
          <xdr:row>230</xdr:row>
          <xdr:rowOff>485775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6348EB02-2C5E-4D32-B314-17C974061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231</xdr:row>
          <xdr:rowOff>9525</xdr:rowOff>
        </xdr:from>
        <xdr:to>
          <xdr:col>3</xdr:col>
          <xdr:colOff>95250</xdr:colOff>
          <xdr:row>231</xdr:row>
          <xdr:rowOff>485775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8BCEB3C2-EF1F-43FC-952F-5C343E7D1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232</xdr:row>
          <xdr:rowOff>9525</xdr:rowOff>
        </xdr:from>
        <xdr:to>
          <xdr:col>3</xdr:col>
          <xdr:colOff>95250</xdr:colOff>
          <xdr:row>232</xdr:row>
          <xdr:rowOff>485775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69D9D193-4531-473E-8412-280118C90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233</xdr:row>
          <xdr:rowOff>9525</xdr:rowOff>
        </xdr:from>
        <xdr:to>
          <xdr:col>3</xdr:col>
          <xdr:colOff>95250</xdr:colOff>
          <xdr:row>233</xdr:row>
          <xdr:rowOff>485775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19B340F2-FB85-48FC-8C4C-E70B13384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234</xdr:row>
          <xdr:rowOff>9525</xdr:rowOff>
        </xdr:from>
        <xdr:to>
          <xdr:col>3</xdr:col>
          <xdr:colOff>95250</xdr:colOff>
          <xdr:row>234</xdr:row>
          <xdr:rowOff>485775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A34359F2-ADAB-4FF1-8313-86D1511B7C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235</xdr:row>
          <xdr:rowOff>9525</xdr:rowOff>
        </xdr:from>
        <xdr:to>
          <xdr:col>3</xdr:col>
          <xdr:colOff>95250</xdr:colOff>
          <xdr:row>235</xdr:row>
          <xdr:rowOff>485775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DF79A12A-5EE6-4A7D-B0C4-762E1111E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236</xdr:row>
          <xdr:rowOff>9525</xdr:rowOff>
        </xdr:from>
        <xdr:to>
          <xdr:col>3</xdr:col>
          <xdr:colOff>95250</xdr:colOff>
          <xdr:row>236</xdr:row>
          <xdr:rowOff>485775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D1CDF735-C7DE-4EF8-B7C9-20D0B1452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237</xdr:row>
          <xdr:rowOff>9525</xdr:rowOff>
        </xdr:from>
        <xdr:to>
          <xdr:col>3</xdr:col>
          <xdr:colOff>95250</xdr:colOff>
          <xdr:row>237</xdr:row>
          <xdr:rowOff>485775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9437BEFD-40B3-4BE9-B751-90B27BC34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238</xdr:row>
          <xdr:rowOff>9525</xdr:rowOff>
        </xdr:from>
        <xdr:to>
          <xdr:col>3</xdr:col>
          <xdr:colOff>95250</xdr:colOff>
          <xdr:row>238</xdr:row>
          <xdr:rowOff>485775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4AFD2444-02DD-47AF-95F0-8903B36D1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239</xdr:row>
          <xdr:rowOff>9525</xdr:rowOff>
        </xdr:from>
        <xdr:to>
          <xdr:col>3</xdr:col>
          <xdr:colOff>95250</xdr:colOff>
          <xdr:row>239</xdr:row>
          <xdr:rowOff>485775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BA366A52-C719-4797-9061-5B1363147C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240</xdr:row>
          <xdr:rowOff>9525</xdr:rowOff>
        </xdr:from>
        <xdr:to>
          <xdr:col>3</xdr:col>
          <xdr:colOff>95250</xdr:colOff>
          <xdr:row>240</xdr:row>
          <xdr:rowOff>485775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35FDA7D9-2F2C-4587-B13A-D9A71E611D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241</xdr:row>
          <xdr:rowOff>9525</xdr:rowOff>
        </xdr:from>
        <xdr:to>
          <xdr:col>3</xdr:col>
          <xdr:colOff>95250</xdr:colOff>
          <xdr:row>241</xdr:row>
          <xdr:rowOff>485775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7747E82D-89AC-4ED8-AE12-861FF55AE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242</xdr:row>
          <xdr:rowOff>9525</xdr:rowOff>
        </xdr:from>
        <xdr:to>
          <xdr:col>3</xdr:col>
          <xdr:colOff>95250</xdr:colOff>
          <xdr:row>242</xdr:row>
          <xdr:rowOff>485775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9FD5B04C-2B45-461D-B751-EEBB6BBE7C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243</xdr:row>
          <xdr:rowOff>9525</xdr:rowOff>
        </xdr:from>
        <xdr:to>
          <xdr:col>3</xdr:col>
          <xdr:colOff>95250</xdr:colOff>
          <xdr:row>243</xdr:row>
          <xdr:rowOff>485775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40D5042F-6BEC-41ED-9369-E322596B9A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244</xdr:row>
          <xdr:rowOff>9525</xdr:rowOff>
        </xdr:from>
        <xdr:to>
          <xdr:col>3</xdr:col>
          <xdr:colOff>95250</xdr:colOff>
          <xdr:row>244</xdr:row>
          <xdr:rowOff>485775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215DC08B-645E-4FB9-859D-CF3E27AE0F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245</xdr:row>
          <xdr:rowOff>9525</xdr:rowOff>
        </xdr:from>
        <xdr:to>
          <xdr:col>3</xdr:col>
          <xdr:colOff>95250</xdr:colOff>
          <xdr:row>245</xdr:row>
          <xdr:rowOff>485775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4A8662CC-15FB-4C71-AF4D-D652EA8A2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246</xdr:row>
          <xdr:rowOff>9525</xdr:rowOff>
        </xdr:from>
        <xdr:to>
          <xdr:col>3</xdr:col>
          <xdr:colOff>95250</xdr:colOff>
          <xdr:row>246</xdr:row>
          <xdr:rowOff>485775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75658483-65CB-48AB-A14D-B2C840F90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247</xdr:row>
          <xdr:rowOff>9525</xdr:rowOff>
        </xdr:from>
        <xdr:to>
          <xdr:col>3</xdr:col>
          <xdr:colOff>95250</xdr:colOff>
          <xdr:row>247</xdr:row>
          <xdr:rowOff>485775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E338484-1D6D-469D-B05B-AEC92748F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248</xdr:row>
          <xdr:rowOff>9525</xdr:rowOff>
        </xdr:from>
        <xdr:to>
          <xdr:col>3</xdr:col>
          <xdr:colOff>95250</xdr:colOff>
          <xdr:row>248</xdr:row>
          <xdr:rowOff>485775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66816AF6-CBCE-4232-9D5C-79F503CF3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249</xdr:row>
          <xdr:rowOff>9525</xdr:rowOff>
        </xdr:from>
        <xdr:to>
          <xdr:col>3</xdr:col>
          <xdr:colOff>95250</xdr:colOff>
          <xdr:row>249</xdr:row>
          <xdr:rowOff>485775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574EB50F-8D63-4828-9B8B-4EA2331FE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250</xdr:row>
          <xdr:rowOff>9525</xdr:rowOff>
        </xdr:from>
        <xdr:to>
          <xdr:col>3</xdr:col>
          <xdr:colOff>95250</xdr:colOff>
          <xdr:row>250</xdr:row>
          <xdr:rowOff>485775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1F6C20A5-24B1-43AA-AB6A-AB6A15D31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251</xdr:row>
          <xdr:rowOff>9525</xdr:rowOff>
        </xdr:from>
        <xdr:to>
          <xdr:col>3</xdr:col>
          <xdr:colOff>95250</xdr:colOff>
          <xdr:row>251</xdr:row>
          <xdr:rowOff>485775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82E43601-DD45-451E-A5C6-AD4656D78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252</xdr:row>
          <xdr:rowOff>9525</xdr:rowOff>
        </xdr:from>
        <xdr:to>
          <xdr:col>3</xdr:col>
          <xdr:colOff>95250</xdr:colOff>
          <xdr:row>252</xdr:row>
          <xdr:rowOff>485775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F17D2EEA-5D65-433C-9C3E-B7C4DCF8F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253</xdr:row>
          <xdr:rowOff>9525</xdr:rowOff>
        </xdr:from>
        <xdr:to>
          <xdr:col>3</xdr:col>
          <xdr:colOff>95250</xdr:colOff>
          <xdr:row>253</xdr:row>
          <xdr:rowOff>485775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C1B4A3CE-7493-4DE3-AD5D-ADD9F12EB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254</xdr:row>
          <xdr:rowOff>9525</xdr:rowOff>
        </xdr:from>
        <xdr:to>
          <xdr:col>3</xdr:col>
          <xdr:colOff>95250</xdr:colOff>
          <xdr:row>254</xdr:row>
          <xdr:rowOff>485775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7A496DD0-E2CA-44A7-B6D5-42B76A1E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255</xdr:row>
          <xdr:rowOff>9525</xdr:rowOff>
        </xdr:from>
        <xdr:to>
          <xdr:col>3</xdr:col>
          <xdr:colOff>95250</xdr:colOff>
          <xdr:row>255</xdr:row>
          <xdr:rowOff>485775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A0D9ECFC-04DA-426D-B4C5-5CA0D5B8B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256</xdr:row>
          <xdr:rowOff>9525</xdr:rowOff>
        </xdr:from>
        <xdr:to>
          <xdr:col>3</xdr:col>
          <xdr:colOff>95250</xdr:colOff>
          <xdr:row>256</xdr:row>
          <xdr:rowOff>485775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880854F9-34F4-4D0C-9B21-E0F55AE92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257</xdr:row>
          <xdr:rowOff>9525</xdr:rowOff>
        </xdr:from>
        <xdr:to>
          <xdr:col>3</xdr:col>
          <xdr:colOff>95250</xdr:colOff>
          <xdr:row>257</xdr:row>
          <xdr:rowOff>485775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34A6C078-AB55-4809-A439-C90B741CB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258</xdr:row>
          <xdr:rowOff>9525</xdr:rowOff>
        </xdr:from>
        <xdr:to>
          <xdr:col>3</xdr:col>
          <xdr:colOff>95250</xdr:colOff>
          <xdr:row>258</xdr:row>
          <xdr:rowOff>485775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8DD8E861-8763-4245-8AA9-135918B15B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259</xdr:row>
          <xdr:rowOff>9525</xdr:rowOff>
        </xdr:from>
        <xdr:to>
          <xdr:col>3</xdr:col>
          <xdr:colOff>95250</xdr:colOff>
          <xdr:row>259</xdr:row>
          <xdr:rowOff>485775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7C8EBBA4-6261-41E9-BF68-03EEAFF3C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260</xdr:row>
          <xdr:rowOff>9525</xdr:rowOff>
        </xdr:from>
        <xdr:to>
          <xdr:col>3</xdr:col>
          <xdr:colOff>95250</xdr:colOff>
          <xdr:row>260</xdr:row>
          <xdr:rowOff>485775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D9B3F2D9-7DDE-4E5F-A46D-0422A9BFAF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261</xdr:row>
          <xdr:rowOff>9525</xdr:rowOff>
        </xdr:from>
        <xdr:to>
          <xdr:col>3</xdr:col>
          <xdr:colOff>95250</xdr:colOff>
          <xdr:row>261</xdr:row>
          <xdr:rowOff>485775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909976DC-5AC5-48E6-B514-A74C00B258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262</xdr:row>
          <xdr:rowOff>9525</xdr:rowOff>
        </xdr:from>
        <xdr:to>
          <xdr:col>3</xdr:col>
          <xdr:colOff>95250</xdr:colOff>
          <xdr:row>262</xdr:row>
          <xdr:rowOff>485775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C9C4342E-3EE5-44F3-8E23-ADB2D0EDC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263</xdr:row>
          <xdr:rowOff>9525</xdr:rowOff>
        </xdr:from>
        <xdr:to>
          <xdr:col>3</xdr:col>
          <xdr:colOff>95250</xdr:colOff>
          <xdr:row>263</xdr:row>
          <xdr:rowOff>485775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6C38BEB1-122A-4BF0-875A-25379F0077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264</xdr:row>
          <xdr:rowOff>9525</xdr:rowOff>
        </xdr:from>
        <xdr:to>
          <xdr:col>3</xdr:col>
          <xdr:colOff>95250</xdr:colOff>
          <xdr:row>264</xdr:row>
          <xdr:rowOff>485775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7BB8A1CF-2CCD-499A-AFC8-570E7D4CB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265</xdr:row>
          <xdr:rowOff>9525</xdr:rowOff>
        </xdr:from>
        <xdr:to>
          <xdr:col>3</xdr:col>
          <xdr:colOff>95250</xdr:colOff>
          <xdr:row>265</xdr:row>
          <xdr:rowOff>485775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C50B9D5-5A0D-4AED-ABC6-1B690696CE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266</xdr:row>
          <xdr:rowOff>9525</xdr:rowOff>
        </xdr:from>
        <xdr:to>
          <xdr:col>3</xdr:col>
          <xdr:colOff>95250</xdr:colOff>
          <xdr:row>266</xdr:row>
          <xdr:rowOff>485775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ABEF7A28-53EE-494E-B297-706645D5B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267</xdr:row>
          <xdr:rowOff>9525</xdr:rowOff>
        </xdr:from>
        <xdr:to>
          <xdr:col>3</xdr:col>
          <xdr:colOff>95250</xdr:colOff>
          <xdr:row>267</xdr:row>
          <xdr:rowOff>485775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CDD56E5C-6BE2-4C92-AE31-A8420A1CB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268</xdr:row>
          <xdr:rowOff>9525</xdr:rowOff>
        </xdr:from>
        <xdr:to>
          <xdr:col>3</xdr:col>
          <xdr:colOff>95250</xdr:colOff>
          <xdr:row>268</xdr:row>
          <xdr:rowOff>485775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EF7E4FE0-F480-423D-9655-301F7639C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269</xdr:row>
          <xdr:rowOff>9525</xdr:rowOff>
        </xdr:from>
        <xdr:to>
          <xdr:col>3</xdr:col>
          <xdr:colOff>95250</xdr:colOff>
          <xdr:row>269</xdr:row>
          <xdr:rowOff>485775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4E55FBEA-ED5E-4C77-B84E-BD1A8D111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270</xdr:row>
          <xdr:rowOff>9525</xdr:rowOff>
        </xdr:from>
        <xdr:to>
          <xdr:col>3</xdr:col>
          <xdr:colOff>95250</xdr:colOff>
          <xdr:row>270</xdr:row>
          <xdr:rowOff>485775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15C9F86D-D6B3-4696-92C4-7352C3863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271</xdr:row>
          <xdr:rowOff>9525</xdr:rowOff>
        </xdr:from>
        <xdr:to>
          <xdr:col>3</xdr:col>
          <xdr:colOff>95250</xdr:colOff>
          <xdr:row>271</xdr:row>
          <xdr:rowOff>485775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3F2793E5-B662-4EF4-9BA0-7724455A0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272</xdr:row>
          <xdr:rowOff>9525</xdr:rowOff>
        </xdr:from>
        <xdr:to>
          <xdr:col>3</xdr:col>
          <xdr:colOff>95250</xdr:colOff>
          <xdr:row>272</xdr:row>
          <xdr:rowOff>485775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9A196736-D187-4989-9E46-722C7899F3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273</xdr:row>
          <xdr:rowOff>9525</xdr:rowOff>
        </xdr:from>
        <xdr:to>
          <xdr:col>3</xdr:col>
          <xdr:colOff>95250</xdr:colOff>
          <xdr:row>273</xdr:row>
          <xdr:rowOff>485775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66B1A067-4503-460D-86F9-210938052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274</xdr:row>
          <xdr:rowOff>9525</xdr:rowOff>
        </xdr:from>
        <xdr:to>
          <xdr:col>3</xdr:col>
          <xdr:colOff>95250</xdr:colOff>
          <xdr:row>274</xdr:row>
          <xdr:rowOff>485775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496A24EA-B26C-40CD-9DB2-0EFFB31AD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275</xdr:row>
          <xdr:rowOff>9525</xdr:rowOff>
        </xdr:from>
        <xdr:to>
          <xdr:col>3</xdr:col>
          <xdr:colOff>95250</xdr:colOff>
          <xdr:row>275</xdr:row>
          <xdr:rowOff>485775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FFFD12D5-16EF-4FE4-91EF-69B517892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276</xdr:row>
          <xdr:rowOff>9525</xdr:rowOff>
        </xdr:from>
        <xdr:to>
          <xdr:col>3</xdr:col>
          <xdr:colOff>95250</xdr:colOff>
          <xdr:row>276</xdr:row>
          <xdr:rowOff>485775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A72F55E1-3BB2-4F07-8617-6AA28081E4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277</xdr:row>
          <xdr:rowOff>9525</xdr:rowOff>
        </xdr:from>
        <xdr:to>
          <xdr:col>3</xdr:col>
          <xdr:colOff>95250</xdr:colOff>
          <xdr:row>277</xdr:row>
          <xdr:rowOff>485775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4A618B34-5345-44E1-9A07-35A3FD820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278</xdr:row>
          <xdr:rowOff>9525</xdr:rowOff>
        </xdr:from>
        <xdr:to>
          <xdr:col>3</xdr:col>
          <xdr:colOff>95250</xdr:colOff>
          <xdr:row>278</xdr:row>
          <xdr:rowOff>485775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B06D961F-614F-48B4-94B2-D9E4E05FD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279</xdr:row>
          <xdr:rowOff>9525</xdr:rowOff>
        </xdr:from>
        <xdr:to>
          <xdr:col>3</xdr:col>
          <xdr:colOff>95250</xdr:colOff>
          <xdr:row>279</xdr:row>
          <xdr:rowOff>485775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48028287-C312-4229-B3FD-0E673AED0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280</xdr:row>
          <xdr:rowOff>9525</xdr:rowOff>
        </xdr:from>
        <xdr:to>
          <xdr:col>3</xdr:col>
          <xdr:colOff>95250</xdr:colOff>
          <xdr:row>280</xdr:row>
          <xdr:rowOff>485775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D5941C59-4551-4550-B663-CF446B1C8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281</xdr:row>
          <xdr:rowOff>9525</xdr:rowOff>
        </xdr:from>
        <xdr:to>
          <xdr:col>3</xdr:col>
          <xdr:colOff>95250</xdr:colOff>
          <xdr:row>281</xdr:row>
          <xdr:rowOff>485775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6AE07E71-7AB5-4213-82F9-CCD87F2EE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282</xdr:row>
          <xdr:rowOff>9525</xdr:rowOff>
        </xdr:from>
        <xdr:to>
          <xdr:col>3</xdr:col>
          <xdr:colOff>95250</xdr:colOff>
          <xdr:row>282</xdr:row>
          <xdr:rowOff>485775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D52B6716-F6D5-4258-B87A-94D44B3FC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283</xdr:row>
          <xdr:rowOff>9525</xdr:rowOff>
        </xdr:from>
        <xdr:to>
          <xdr:col>3</xdr:col>
          <xdr:colOff>95250</xdr:colOff>
          <xdr:row>283</xdr:row>
          <xdr:rowOff>485775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A51CBC1F-D3A1-49D7-B4C5-886D790AC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284</xdr:row>
          <xdr:rowOff>9525</xdr:rowOff>
        </xdr:from>
        <xdr:to>
          <xdr:col>3</xdr:col>
          <xdr:colOff>95250</xdr:colOff>
          <xdr:row>284</xdr:row>
          <xdr:rowOff>485775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EBD21082-2551-4224-8496-F3F1B4578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285</xdr:row>
          <xdr:rowOff>9525</xdr:rowOff>
        </xdr:from>
        <xdr:to>
          <xdr:col>3</xdr:col>
          <xdr:colOff>95250</xdr:colOff>
          <xdr:row>285</xdr:row>
          <xdr:rowOff>485775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EE1C3CE1-A810-4817-9D4C-9D645EB98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286</xdr:row>
          <xdr:rowOff>9525</xdr:rowOff>
        </xdr:from>
        <xdr:to>
          <xdr:col>3</xdr:col>
          <xdr:colOff>95250</xdr:colOff>
          <xdr:row>286</xdr:row>
          <xdr:rowOff>485775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3EFAACF7-3DB6-46B1-B43B-EC67FAC2E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287</xdr:row>
          <xdr:rowOff>9525</xdr:rowOff>
        </xdr:from>
        <xdr:to>
          <xdr:col>3</xdr:col>
          <xdr:colOff>95250</xdr:colOff>
          <xdr:row>287</xdr:row>
          <xdr:rowOff>485775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9DF56A4A-9D2A-4A5B-B373-0C6F5F5411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288</xdr:row>
          <xdr:rowOff>9525</xdr:rowOff>
        </xdr:from>
        <xdr:to>
          <xdr:col>3</xdr:col>
          <xdr:colOff>95250</xdr:colOff>
          <xdr:row>288</xdr:row>
          <xdr:rowOff>485775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8A28683B-4DFB-4F3E-8525-10DF0DB00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289</xdr:row>
          <xdr:rowOff>9525</xdr:rowOff>
        </xdr:from>
        <xdr:to>
          <xdr:col>3</xdr:col>
          <xdr:colOff>95250</xdr:colOff>
          <xdr:row>289</xdr:row>
          <xdr:rowOff>485775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32022F08-7124-4264-B264-1E13623C20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290</xdr:row>
          <xdr:rowOff>9525</xdr:rowOff>
        </xdr:from>
        <xdr:to>
          <xdr:col>3</xdr:col>
          <xdr:colOff>95250</xdr:colOff>
          <xdr:row>290</xdr:row>
          <xdr:rowOff>485775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F777B244-E25D-4A0C-A668-ABEC375EC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291</xdr:row>
          <xdr:rowOff>9525</xdr:rowOff>
        </xdr:from>
        <xdr:to>
          <xdr:col>3</xdr:col>
          <xdr:colOff>95250</xdr:colOff>
          <xdr:row>291</xdr:row>
          <xdr:rowOff>485775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B61FDDBD-B469-43D5-9728-6400D68B1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292</xdr:row>
          <xdr:rowOff>9525</xdr:rowOff>
        </xdr:from>
        <xdr:to>
          <xdr:col>3</xdr:col>
          <xdr:colOff>95250</xdr:colOff>
          <xdr:row>292</xdr:row>
          <xdr:rowOff>485775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9E6E290A-B098-40BB-874F-279E2E12F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293</xdr:row>
          <xdr:rowOff>9525</xdr:rowOff>
        </xdr:from>
        <xdr:to>
          <xdr:col>3</xdr:col>
          <xdr:colOff>95250</xdr:colOff>
          <xdr:row>293</xdr:row>
          <xdr:rowOff>485775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282B5FF5-30A7-449C-98C5-A280531CB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294</xdr:row>
          <xdr:rowOff>9525</xdr:rowOff>
        </xdr:from>
        <xdr:to>
          <xdr:col>3</xdr:col>
          <xdr:colOff>95250</xdr:colOff>
          <xdr:row>294</xdr:row>
          <xdr:rowOff>485775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307EB8A6-D09E-49E4-A544-74ECC1DCA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295</xdr:row>
          <xdr:rowOff>9525</xdr:rowOff>
        </xdr:from>
        <xdr:to>
          <xdr:col>3</xdr:col>
          <xdr:colOff>95250</xdr:colOff>
          <xdr:row>295</xdr:row>
          <xdr:rowOff>485775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41B67E22-5FE2-4731-8FA8-12B656DDC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296</xdr:row>
          <xdr:rowOff>9525</xdr:rowOff>
        </xdr:from>
        <xdr:to>
          <xdr:col>3</xdr:col>
          <xdr:colOff>95250</xdr:colOff>
          <xdr:row>296</xdr:row>
          <xdr:rowOff>485775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14822501-2D69-4790-8C71-4AB5ED430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297</xdr:row>
          <xdr:rowOff>9525</xdr:rowOff>
        </xdr:from>
        <xdr:to>
          <xdr:col>3</xdr:col>
          <xdr:colOff>95250</xdr:colOff>
          <xdr:row>297</xdr:row>
          <xdr:rowOff>485775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A9857137-499A-453E-96CD-9A4A23B1D5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298</xdr:row>
          <xdr:rowOff>9525</xdr:rowOff>
        </xdr:from>
        <xdr:to>
          <xdr:col>3</xdr:col>
          <xdr:colOff>95250</xdr:colOff>
          <xdr:row>298</xdr:row>
          <xdr:rowOff>485775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E4B5654E-2C80-4806-8567-19E59B1D8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299</xdr:row>
          <xdr:rowOff>9525</xdr:rowOff>
        </xdr:from>
        <xdr:to>
          <xdr:col>3</xdr:col>
          <xdr:colOff>95250</xdr:colOff>
          <xdr:row>299</xdr:row>
          <xdr:rowOff>485775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DA21D16F-685B-4B71-AD74-CD15D20472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300</xdr:row>
          <xdr:rowOff>9525</xdr:rowOff>
        </xdr:from>
        <xdr:to>
          <xdr:col>3</xdr:col>
          <xdr:colOff>95250</xdr:colOff>
          <xdr:row>300</xdr:row>
          <xdr:rowOff>485775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6442A727-01BB-4B6B-BA23-135129386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301</xdr:row>
          <xdr:rowOff>9525</xdr:rowOff>
        </xdr:from>
        <xdr:to>
          <xdr:col>3</xdr:col>
          <xdr:colOff>95250</xdr:colOff>
          <xdr:row>301</xdr:row>
          <xdr:rowOff>485775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BCB634D5-9E20-47B3-8551-01A7D6D2D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302</xdr:row>
          <xdr:rowOff>9525</xdr:rowOff>
        </xdr:from>
        <xdr:to>
          <xdr:col>3</xdr:col>
          <xdr:colOff>95250</xdr:colOff>
          <xdr:row>302</xdr:row>
          <xdr:rowOff>485775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896994E5-2A8B-48C1-8AB5-CCC3BEBCED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303</xdr:row>
          <xdr:rowOff>9525</xdr:rowOff>
        </xdr:from>
        <xdr:to>
          <xdr:col>3</xdr:col>
          <xdr:colOff>95250</xdr:colOff>
          <xdr:row>303</xdr:row>
          <xdr:rowOff>485775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E1F5C75E-FE1D-41EC-A02F-E2F6EB9B8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304</xdr:row>
          <xdr:rowOff>9525</xdr:rowOff>
        </xdr:from>
        <xdr:to>
          <xdr:col>3</xdr:col>
          <xdr:colOff>95250</xdr:colOff>
          <xdr:row>304</xdr:row>
          <xdr:rowOff>485775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1A081F0E-ADFE-430D-8C71-33293868F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305</xdr:row>
          <xdr:rowOff>9525</xdr:rowOff>
        </xdr:from>
        <xdr:to>
          <xdr:col>3</xdr:col>
          <xdr:colOff>95250</xdr:colOff>
          <xdr:row>305</xdr:row>
          <xdr:rowOff>485775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A39C9A92-3FB6-47BD-B404-395E09A5C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306</xdr:row>
          <xdr:rowOff>9525</xdr:rowOff>
        </xdr:from>
        <xdr:to>
          <xdr:col>3</xdr:col>
          <xdr:colOff>95250</xdr:colOff>
          <xdr:row>306</xdr:row>
          <xdr:rowOff>485775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CAD6E7A2-ECDC-47DD-86B1-3D3F3AD4C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307</xdr:row>
          <xdr:rowOff>9525</xdr:rowOff>
        </xdr:from>
        <xdr:to>
          <xdr:col>3</xdr:col>
          <xdr:colOff>95250</xdr:colOff>
          <xdr:row>307</xdr:row>
          <xdr:rowOff>485775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A16B0DDE-B180-40B9-A595-BC324194D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308</xdr:row>
          <xdr:rowOff>9525</xdr:rowOff>
        </xdr:from>
        <xdr:to>
          <xdr:col>3</xdr:col>
          <xdr:colOff>95250</xdr:colOff>
          <xdr:row>308</xdr:row>
          <xdr:rowOff>485775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AC10F508-E338-4FED-BD69-EC709E1C1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309</xdr:row>
          <xdr:rowOff>9525</xdr:rowOff>
        </xdr:from>
        <xdr:to>
          <xdr:col>3</xdr:col>
          <xdr:colOff>95250</xdr:colOff>
          <xdr:row>309</xdr:row>
          <xdr:rowOff>485775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35E8A780-0404-4EE0-B938-DE7EDAB600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310</xdr:row>
          <xdr:rowOff>9525</xdr:rowOff>
        </xdr:from>
        <xdr:to>
          <xdr:col>3</xdr:col>
          <xdr:colOff>95250</xdr:colOff>
          <xdr:row>310</xdr:row>
          <xdr:rowOff>485775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2BFA975C-68F3-4FC4-8EC1-9757DEA1F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311</xdr:row>
          <xdr:rowOff>9525</xdr:rowOff>
        </xdr:from>
        <xdr:to>
          <xdr:col>3</xdr:col>
          <xdr:colOff>95250</xdr:colOff>
          <xdr:row>311</xdr:row>
          <xdr:rowOff>485775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72444E56-304C-4AA5-9BB8-6E4A0ADE4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312</xdr:row>
          <xdr:rowOff>9525</xdr:rowOff>
        </xdr:from>
        <xdr:to>
          <xdr:col>3</xdr:col>
          <xdr:colOff>95250</xdr:colOff>
          <xdr:row>312</xdr:row>
          <xdr:rowOff>485775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69CB519A-17A1-4E5B-8014-494347A5C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313</xdr:row>
          <xdr:rowOff>9525</xdr:rowOff>
        </xdr:from>
        <xdr:to>
          <xdr:col>3</xdr:col>
          <xdr:colOff>95250</xdr:colOff>
          <xdr:row>313</xdr:row>
          <xdr:rowOff>485775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EF608018-A3D9-4E11-8701-1AF0C868E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314</xdr:row>
          <xdr:rowOff>9525</xdr:rowOff>
        </xdr:from>
        <xdr:to>
          <xdr:col>3</xdr:col>
          <xdr:colOff>95250</xdr:colOff>
          <xdr:row>314</xdr:row>
          <xdr:rowOff>485775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29185788-1B5B-4D72-8A62-DB29BBE8F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315</xdr:row>
          <xdr:rowOff>9525</xdr:rowOff>
        </xdr:from>
        <xdr:to>
          <xdr:col>3</xdr:col>
          <xdr:colOff>95250</xdr:colOff>
          <xdr:row>315</xdr:row>
          <xdr:rowOff>485775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F1F823A0-9CB0-4582-8C9D-6C456D443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316</xdr:row>
          <xdr:rowOff>9525</xdr:rowOff>
        </xdr:from>
        <xdr:to>
          <xdr:col>3</xdr:col>
          <xdr:colOff>95250</xdr:colOff>
          <xdr:row>316</xdr:row>
          <xdr:rowOff>485775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8F68E7D6-A15A-4384-B40F-A1F5BF797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317</xdr:row>
          <xdr:rowOff>9525</xdr:rowOff>
        </xdr:from>
        <xdr:to>
          <xdr:col>3</xdr:col>
          <xdr:colOff>95250</xdr:colOff>
          <xdr:row>317</xdr:row>
          <xdr:rowOff>485775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94CE17D4-A6BF-436F-B1A4-DA881DF83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318</xdr:row>
          <xdr:rowOff>9525</xdr:rowOff>
        </xdr:from>
        <xdr:to>
          <xdr:col>3</xdr:col>
          <xdr:colOff>95250</xdr:colOff>
          <xdr:row>318</xdr:row>
          <xdr:rowOff>485775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88F80062-4E39-4A7C-85F4-9C8B676D3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319</xdr:row>
          <xdr:rowOff>9525</xdr:rowOff>
        </xdr:from>
        <xdr:to>
          <xdr:col>3</xdr:col>
          <xdr:colOff>95250</xdr:colOff>
          <xdr:row>319</xdr:row>
          <xdr:rowOff>485775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579B7EF6-9A23-424A-B1D6-23529CB53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320</xdr:row>
          <xdr:rowOff>9525</xdr:rowOff>
        </xdr:from>
        <xdr:to>
          <xdr:col>3</xdr:col>
          <xdr:colOff>95250</xdr:colOff>
          <xdr:row>320</xdr:row>
          <xdr:rowOff>485775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38600C7C-0890-488B-8453-2B91E9943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321</xdr:row>
          <xdr:rowOff>9525</xdr:rowOff>
        </xdr:from>
        <xdr:to>
          <xdr:col>3</xdr:col>
          <xdr:colOff>95250</xdr:colOff>
          <xdr:row>321</xdr:row>
          <xdr:rowOff>485775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4C246AF8-9AC8-4DDE-9ED9-A5C6B8324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322</xdr:row>
          <xdr:rowOff>9525</xdr:rowOff>
        </xdr:from>
        <xdr:to>
          <xdr:col>3</xdr:col>
          <xdr:colOff>95250</xdr:colOff>
          <xdr:row>322</xdr:row>
          <xdr:rowOff>485775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AA0F1686-1273-4A8B-959A-B9670D0A8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323</xdr:row>
          <xdr:rowOff>9525</xdr:rowOff>
        </xdr:from>
        <xdr:to>
          <xdr:col>3</xdr:col>
          <xdr:colOff>95250</xdr:colOff>
          <xdr:row>323</xdr:row>
          <xdr:rowOff>485775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3594C37B-7993-4C7B-840C-468FF9A24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324</xdr:row>
          <xdr:rowOff>9525</xdr:rowOff>
        </xdr:from>
        <xdr:to>
          <xdr:col>3</xdr:col>
          <xdr:colOff>95250</xdr:colOff>
          <xdr:row>324</xdr:row>
          <xdr:rowOff>485775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AB4C553E-BC9B-4510-85EA-4C3F21ADF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325</xdr:row>
          <xdr:rowOff>9525</xdr:rowOff>
        </xdr:from>
        <xdr:to>
          <xdr:col>3</xdr:col>
          <xdr:colOff>95250</xdr:colOff>
          <xdr:row>325</xdr:row>
          <xdr:rowOff>485775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41645791-F720-4FCF-AF1D-2CFDBFD91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326</xdr:row>
          <xdr:rowOff>9525</xdr:rowOff>
        </xdr:from>
        <xdr:to>
          <xdr:col>3</xdr:col>
          <xdr:colOff>95250</xdr:colOff>
          <xdr:row>326</xdr:row>
          <xdr:rowOff>485775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FB724DEA-5EC1-4CE2-80A5-5499EB8A4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327</xdr:row>
          <xdr:rowOff>9525</xdr:rowOff>
        </xdr:from>
        <xdr:to>
          <xdr:col>3</xdr:col>
          <xdr:colOff>95250</xdr:colOff>
          <xdr:row>327</xdr:row>
          <xdr:rowOff>485775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70B999D9-76D8-4FBD-86AB-167CFACE2E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328</xdr:row>
          <xdr:rowOff>9525</xdr:rowOff>
        </xdr:from>
        <xdr:to>
          <xdr:col>3</xdr:col>
          <xdr:colOff>95250</xdr:colOff>
          <xdr:row>328</xdr:row>
          <xdr:rowOff>485775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27F4B47F-A7DA-47A4-A737-B067C6C2A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329</xdr:row>
          <xdr:rowOff>9525</xdr:rowOff>
        </xdr:from>
        <xdr:to>
          <xdr:col>3</xdr:col>
          <xdr:colOff>95250</xdr:colOff>
          <xdr:row>329</xdr:row>
          <xdr:rowOff>485775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EF6B950A-4C83-47B9-8E55-EDF8C725C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330</xdr:row>
          <xdr:rowOff>9525</xdr:rowOff>
        </xdr:from>
        <xdr:to>
          <xdr:col>3</xdr:col>
          <xdr:colOff>95250</xdr:colOff>
          <xdr:row>330</xdr:row>
          <xdr:rowOff>485775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C9433DCB-5699-4057-8B89-420A0B70EF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331</xdr:row>
          <xdr:rowOff>9525</xdr:rowOff>
        </xdr:from>
        <xdr:to>
          <xdr:col>3</xdr:col>
          <xdr:colOff>95250</xdr:colOff>
          <xdr:row>331</xdr:row>
          <xdr:rowOff>485775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6F3FEB62-F436-474B-8DA9-FC7290EAE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332</xdr:row>
          <xdr:rowOff>9525</xdr:rowOff>
        </xdr:from>
        <xdr:to>
          <xdr:col>3</xdr:col>
          <xdr:colOff>95250</xdr:colOff>
          <xdr:row>332</xdr:row>
          <xdr:rowOff>485775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35DF0050-1718-42F1-B33C-EE710F7AE5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333</xdr:row>
          <xdr:rowOff>9525</xdr:rowOff>
        </xdr:from>
        <xdr:to>
          <xdr:col>3</xdr:col>
          <xdr:colOff>95250</xdr:colOff>
          <xdr:row>333</xdr:row>
          <xdr:rowOff>485775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5C044366-FA07-4244-8CF8-1322CCFE2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334</xdr:row>
          <xdr:rowOff>9525</xdr:rowOff>
        </xdr:from>
        <xdr:to>
          <xdr:col>3</xdr:col>
          <xdr:colOff>95250</xdr:colOff>
          <xdr:row>334</xdr:row>
          <xdr:rowOff>485775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C127FF35-C2DF-427F-B3F2-05067943FA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335</xdr:row>
          <xdr:rowOff>9525</xdr:rowOff>
        </xdr:from>
        <xdr:to>
          <xdr:col>3</xdr:col>
          <xdr:colOff>95250</xdr:colOff>
          <xdr:row>335</xdr:row>
          <xdr:rowOff>485775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4FB2D09F-691B-4AAC-BBEA-93CA832A0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336</xdr:row>
          <xdr:rowOff>9525</xdr:rowOff>
        </xdr:from>
        <xdr:to>
          <xdr:col>3</xdr:col>
          <xdr:colOff>95250</xdr:colOff>
          <xdr:row>336</xdr:row>
          <xdr:rowOff>485775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75AE39C-6B6A-4460-8C09-2543C5C54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337</xdr:row>
          <xdr:rowOff>9525</xdr:rowOff>
        </xdr:from>
        <xdr:to>
          <xdr:col>3</xdr:col>
          <xdr:colOff>95250</xdr:colOff>
          <xdr:row>337</xdr:row>
          <xdr:rowOff>485775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24EA6B09-F7CF-41C1-9A4F-82CB86EA7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338</xdr:row>
          <xdr:rowOff>9525</xdr:rowOff>
        </xdr:from>
        <xdr:to>
          <xdr:col>3</xdr:col>
          <xdr:colOff>95250</xdr:colOff>
          <xdr:row>338</xdr:row>
          <xdr:rowOff>485775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1172ED89-9992-4A0A-B560-C0C4EAA47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339</xdr:row>
          <xdr:rowOff>9525</xdr:rowOff>
        </xdr:from>
        <xdr:to>
          <xdr:col>3</xdr:col>
          <xdr:colOff>95250</xdr:colOff>
          <xdr:row>339</xdr:row>
          <xdr:rowOff>485775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E582E72C-096B-4E0C-A3F7-AD1E431330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340</xdr:row>
          <xdr:rowOff>9525</xdr:rowOff>
        </xdr:from>
        <xdr:to>
          <xdr:col>3</xdr:col>
          <xdr:colOff>95250</xdr:colOff>
          <xdr:row>340</xdr:row>
          <xdr:rowOff>485775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616EDEA1-77AD-48BD-ACCC-191423E39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341</xdr:row>
          <xdr:rowOff>9525</xdr:rowOff>
        </xdr:from>
        <xdr:to>
          <xdr:col>3</xdr:col>
          <xdr:colOff>95250</xdr:colOff>
          <xdr:row>341</xdr:row>
          <xdr:rowOff>485775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C5EB7D5A-12F3-41DB-B9D9-ACAC391685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342</xdr:row>
          <xdr:rowOff>9525</xdr:rowOff>
        </xdr:from>
        <xdr:to>
          <xdr:col>3</xdr:col>
          <xdr:colOff>95250</xdr:colOff>
          <xdr:row>342</xdr:row>
          <xdr:rowOff>485775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74A633FE-2C98-4994-846F-1D4CAC8A9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343</xdr:row>
          <xdr:rowOff>9525</xdr:rowOff>
        </xdr:from>
        <xdr:to>
          <xdr:col>3</xdr:col>
          <xdr:colOff>95250</xdr:colOff>
          <xdr:row>343</xdr:row>
          <xdr:rowOff>485775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AFAF2342-C650-437C-BE50-858F31485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344</xdr:row>
          <xdr:rowOff>9525</xdr:rowOff>
        </xdr:from>
        <xdr:to>
          <xdr:col>3</xdr:col>
          <xdr:colOff>95250</xdr:colOff>
          <xdr:row>344</xdr:row>
          <xdr:rowOff>485775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8A2B3C44-444C-4A7D-85D1-8FCEB05183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345</xdr:row>
          <xdr:rowOff>9525</xdr:rowOff>
        </xdr:from>
        <xdr:to>
          <xdr:col>3</xdr:col>
          <xdr:colOff>95250</xdr:colOff>
          <xdr:row>345</xdr:row>
          <xdr:rowOff>485775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841A18DD-0EC3-4F8F-AB49-31920C845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346</xdr:row>
          <xdr:rowOff>9525</xdr:rowOff>
        </xdr:from>
        <xdr:to>
          <xdr:col>3</xdr:col>
          <xdr:colOff>95250</xdr:colOff>
          <xdr:row>346</xdr:row>
          <xdr:rowOff>485775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FCB24B4A-2A23-4717-9F91-9547FEDCD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347</xdr:row>
          <xdr:rowOff>9525</xdr:rowOff>
        </xdr:from>
        <xdr:to>
          <xdr:col>3</xdr:col>
          <xdr:colOff>95250</xdr:colOff>
          <xdr:row>347</xdr:row>
          <xdr:rowOff>485775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811DD3B7-CDFF-459B-BF76-93E04BE78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348</xdr:row>
          <xdr:rowOff>9525</xdr:rowOff>
        </xdr:from>
        <xdr:to>
          <xdr:col>3</xdr:col>
          <xdr:colOff>95250</xdr:colOff>
          <xdr:row>348</xdr:row>
          <xdr:rowOff>485775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3DBDC2DD-2F5C-4646-B6A1-DBD7D572E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349</xdr:row>
          <xdr:rowOff>9525</xdr:rowOff>
        </xdr:from>
        <xdr:to>
          <xdr:col>3</xdr:col>
          <xdr:colOff>95250</xdr:colOff>
          <xdr:row>349</xdr:row>
          <xdr:rowOff>485775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7632F2EA-A55B-4529-88B0-5D6FA0DAA9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350</xdr:row>
          <xdr:rowOff>9525</xdr:rowOff>
        </xdr:from>
        <xdr:to>
          <xdr:col>3</xdr:col>
          <xdr:colOff>95250</xdr:colOff>
          <xdr:row>350</xdr:row>
          <xdr:rowOff>485775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34C947AF-C86E-49C8-AFF7-6D950EFA2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351</xdr:row>
          <xdr:rowOff>9525</xdr:rowOff>
        </xdr:from>
        <xdr:to>
          <xdr:col>3</xdr:col>
          <xdr:colOff>95250</xdr:colOff>
          <xdr:row>351</xdr:row>
          <xdr:rowOff>485775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6A1045A6-077C-43CE-8275-38049CF91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352</xdr:row>
          <xdr:rowOff>9525</xdr:rowOff>
        </xdr:from>
        <xdr:to>
          <xdr:col>3</xdr:col>
          <xdr:colOff>95250</xdr:colOff>
          <xdr:row>352</xdr:row>
          <xdr:rowOff>485775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154E62E6-2A25-4D3A-9010-70A2E1D3EE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353</xdr:row>
          <xdr:rowOff>9525</xdr:rowOff>
        </xdr:from>
        <xdr:to>
          <xdr:col>3</xdr:col>
          <xdr:colOff>95250</xdr:colOff>
          <xdr:row>353</xdr:row>
          <xdr:rowOff>485775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44EA5174-00B8-4A3D-B422-79A687855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354</xdr:row>
          <xdr:rowOff>9525</xdr:rowOff>
        </xdr:from>
        <xdr:to>
          <xdr:col>3</xdr:col>
          <xdr:colOff>95250</xdr:colOff>
          <xdr:row>354</xdr:row>
          <xdr:rowOff>485775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B19A129E-C967-489F-A497-99BAC7D50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355</xdr:row>
          <xdr:rowOff>9525</xdr:rowOff>
        </xdr:from>
        <xdr:to>
          <xdr:col>3</xdr:col>
          <xdr:colOff>95250</xdr:colOff>
          <xdr:row>355</xdr:row>
          <xdr:rowOff>485775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F9E50EA-610C-415E-980D-122A05F9A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356</xdr:row>
          <xdr:rowOff>9525</xdr:rowOff>
        </xdr:from>
        <xdr:to>
          <xdr:col>3</xdr:col>
          <xdr:colOff>95250</xdr:colOff>
          <xdr:row>356</xdr:row>
          <xdr:rowOff>485775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CC9C99CF-938D-4817-8BB3-CA188E506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357</xdr:row>
          <xdr:rowOff>9525</xdr:rowOff>
        </xdr:from>
        <xdr:to>
          <xdr:col>3</xdr:col>
          <xdr:colOff>95250</xdr:colOff>
          <xdr:row>357</xdr:row>
          <xdr:rowOff>485775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FA056305-56F8-4B2A-B3CF-731451E501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358</xdr:row>
          <xdr:rowOff>9525</xdr:rowOff>
        </xdr:from>
        <xdr:to>
          <xdr:col>3</xdr:col>
          <xdr:colOff>95250</xdr:colOff>
          <xdr:row>358</xdr:row>
          <xdr:rowOff>485775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D31AB09F-2AC2-4D3D-B73A-C8088E8C4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359</xdr:row>
          <xdr:rowOff>9525</xdr:rowOff>
        </xdr:from>
        <xdr:to>
          <xdr:col>3</xdr:col>
          <xdr:colOff>95250</xdr:colOff>
          <xdr:row>359</xdr:row>
          <xdr:rowOff>485775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5DE0EB5B-15CA-440E-9C79-7D0B7AC728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360</xdr:row>
          <xdr:rowOff>9525</xdr:rowOff>
        </xdr:from>
        <xdr:to>
          <xdr:col>3</xdr:col>
          <xdr:colOff>95250</xdr:colOff>
          <xdr:row>360</xdr:row>
          <xdr:rowOff>485775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BE599A0A-1D68-435C-9728-E4EFCF680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361</xdr:row>
          <xdr:rowOff>9525</xdr:rowOff>
        </xdr:from>
        <xdr:to>
          <xdr:col>3</xdr:col>
          <xdr:colOff>95250</xdr:colOff>
          <xdr:row>361</xdr:row>
          <xdr:rowOff>485775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B4BD942C-3415-4D31-B99F-BE550DDE2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362</xdr:row>
          <xdr:rowOff>9525</xdr:rowOff>
        </xdr:from>
        <xdr:to>
          <xdr:col>3</xdr:col>
          <xdr:colOff>95250</xdr:colOff>
          <xdr:row>362</xdr:row>
          <xdr:rowOff>485775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FEA9FA91-8E49-4E9F-89AA-00CC38656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363</xdr:row>
          <xdr:rowOff>9525</xdr:rowOff>
        </xdr:from>
        <xdr:to>
          <xdr:col>3</xdr:col>
          <xdr:colOff>95250</xdr:colOff>
          <xdr:row>363</xdr:row>
          <xdr:rowOff>485775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5912D78B-D56F-4B04-A1B3-EB78A942D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364</xdr:row>
          <xdr:rowOff>9525</xdr:rowOff>
        </xdr:from>
        <xdr:to>
          <xdr:col>3</xdr:col>
          <xdr:colOff>95250</xdr:colOff>
          <xdr:row>364</xdr:row>
          <xdr:rowOff>485775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1108E56D-DACB-4711-B119-1E4E7C93D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365</xdr:row>
          <xdr:rowOff>9525</xdr:rowOff>
        </xdr:from>
        <xdr:to>
          <xdr:col>3</xdr:col>
          <xdr:colOff>95250</xdr:colOff>
          <xdr:row>365</xdr:row>
          <xdr:rowOff>485775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3A550978-83A0-4DB2-BAE5-8176CCD29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366</xdr:row>
          <xdr:rowOff>9525</xdr:rowOff>
        </xdr:from>
        <xdr:to>
          <xdr:col>3</xdr:col>
          <xdr:colOff>95250</xdr:colOff>
          <xdr:row>366</xdr:row>
          <xdr:rowOff>485775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88230A90-62C0-4B87-9EE9-A955D0E01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367</xdr:row>
          <xdr:rowOff>9525</xdr:rowOff>
        </xdr:from>
        <xdr:to>
          <xdr:col>3</xdr:col>
          <xdr:colOff>95250</xdr:colOff>
          <xdr:row>367</xdr:row>
          <xdr:rowOff>485775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CB5BCC0C-6772-4526-8C1C-DB9E661E4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368</xdr:row>
          <xdr:rowOff>9525</xdr:rowOff>
        </xdr:from>
        <xdr:to>
          <xdr:col>3</xdr:col>
          <xdr:colOff>95250</xdr:colOff>
          <xdr:row>368</xdr:row>
          <xdr:rowOff>485775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7B8736AB-C5EE-49AA-8572-5D2A2B2646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369</xdr:row>
          <xdr:rowOff>9525</xdr:rowOff>
        </xdr:from>
        <xdr:to>
          <xdr:col>3</xdr:col>
          <xdr:colOff>95250</xdr:colOff>
          <xdr:row>369</xdr:row>
          <xdr:rowOff>485775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69D30B94-45DF-4186-B40C-59D3A1D18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370</xdr:row>
          <xdr:rowOff>9525</xdr:rowOff>
        </xdr:from>
        <xdr:to>
          <xdr:col>3</xdr:col>
          <xdr:colOff>95250</xdr:colOff>
          <xdr:row>370</xdr:row>
          <xdr:rowOff>485775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EEA8A78A-B279-4F96-8065-1EAE49DB0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371</xdr:row>
          <xdr:rowOff>9525</xdr:rowOff>
        </xdr:from>
        <xdr:to>
          <xdr:col>3</xdr:col>
          <xdr:colOff>95250</xdr:colOff>
          <xdr:row>371</xdr:row>
          <xdr:rowOff>485775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70AA85D5-6D21-4821-AB92-B0D1749D9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372</xdr:row>
          <xdr:rowOff>9525</xdr:rowOff>
        </xdr:from>
        <xdr:to>
          <xdr:col>3</xdr:col>
          <xdr:colOff>95250</xdr:colOff>
          <xdr:row>372</xdr:row>
          <xdr:rowOff>485775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421846B5-0C06-4A02-B657-5D6A4F3E7F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373</xdr:row>
          <xdr:rowOff>9525</xdr:rowOff>
        </xdr:from>
        <xdr:to>
          <xdr:col>3</xdr:col>
          <xdr:colOff>95250</xdr:colOff>
          <xdr:row>373</xdr:row>
          <xdr:rowOff>485775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D3667E9A-887A-4093-9713-9F809D19C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374</xdr:row>
          <xdr:rowOff>9525</xdr:rowOff>
        </xdr:from>
        <xdr:to>
          <xdr:col>3</xdr:col>
          <xdr:colOff>95250</xdr:colOff>
          <xdr:row>374</xdr:row>
          <xdr:rowOff>485775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9FC88D19-392A-4923-A82C-5454F53E9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375</xdr:row>
          <xdr:rowOff>9525</xdr:rowOff>
        </xdr:from>
        <xdr:to>
          <xdr:col>3</xdr:col>
          <xdr:colOff>95250</xdr:colOff>
          <xdr:row>375</xdr:row>
          <xdr:rowOff>485775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C2385707-6FC2-4E86-8C7E-AB1787B49B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376</xdr:row>
          <xdr:rowOff>9525</xdr:rowOff>
        </xdr:from>
        <xdr:to>
          <xdr:col>3</xdr:col>
          <xdr:colOff>95250</xdr:colOff>
          <xdr:row>376</xdr:row>
          <xdr:rowOff>485775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CE1BC04-93AA-468B-83D5-8F8BB1BC3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377</xdr:row>
          <xdr:rowOff>9525</xdr:rowOff>
        </xdr:from>
        <xdr:to>
          <xdr:col>3</xdr:col>
          <xdr:colOff>95250</xdr:colOff>
          <xdr:row>377</xdr:row>
          <xdr:rowOff>485775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47FD90AC-3296-43B2-8C49-986436870D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378</xdr:row>
          <xdr:rowOff>9525</xdr:rowOff>
        </xdr:from>
        <xdr:to>
          <xdr:col>3</xdr:col>
          <xdr:colOff>95250</xdr:colOff>
          <xdr:row>378</xdr:row>
          <xdr:rowOff>485775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70D83EA0-B234-4AA9-A085-97DD9953C0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379</xdr:row>
          <xdr:rowOff>9525</xdr:rowOff>
        </xdr:from>
        <xdr:to>
          <xdr:col>3</xdr:col>
          <xdr:colOff>95250</xdr:colOff>
          <xdr:row>379</xdr:row>
          <xdr:rowOff>485775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325DF200-5753-4012-906E-1586BB77F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380</xdr:row>
          <xdr:rowOff>9525</xdr:rowOff>
        </xdr:from>
        <xdr:to>
          <xdr:col>3</xdr:col>
          <xdr:colOff>95250</xdr:colOff>
          <xdr:row>380</xdr:row>
          <xdr:rowOff>485775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2952006F-C65A-4B8F-8534-1AA3CDDAF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381</xdr:row>
          <xdr:rowOff>9525</xdr:rowOff>
        </xdr:from>
        <xdr:to>
          <xdr:col>3</xdr:col>
          <xdr:colOff>95250</xdr:colOff>
          <xdr:row>381</xdr:row>
          <xdr:rowOff>485775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2DEC1B6A-96EA-4683-A595-4303E5785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382</xdr:row>
          <xdr:rowOff>9525</xdr:rowOff>
        </xdr:from>
        <xdr:to>
          <xdr:col>3</xdr:col>
          <xdr:colOff>95250</xdr:colOff>
          <xdr:row>382</xdr:row>
          <xdr:rowOff>485775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6C142E21-5A1D-410E-9D73-0362B2FF9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383</xdr:row>
          <xdr:rowOff>9525</xdr:rowOff>
        </xdr:from>
        <xdr:to>
          <xdr:col>3</xdr:col>
          <xdr:colOff>95250</xdr:colOff>
          <xdr:row>383</xdr:row>
          <xdr:rowOff>485775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5EEF158D-0658-41FC-B7CA-7B6230F23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384</xdr:row>
          <xdr:rowOff>9525</xdr:rowOff>
        </xdr:from>
        <xdr:to>
          <xdr:col>3</xdr:col>
          <xdr:colOff>95250</xdr:colOff>
          <xdr:row>384</xdr:row>
          <xdr:rowOff>485775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7A0BC410-6008-458C-8635-CB81C8994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385</xdr:row>
          <xdr:rowOff>9525</xdr:rowOff>
        </xdr:from>
        <xdr:to>
          <xdr:col>3</xdr:col>
          <xdr:colOff>95250</xdr:colOff>
          <xdr:row>385</xdr:row>
          <xdr:rowOff>485775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2E719793-9EED-49DD-909B-F1E48B501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386</xdr:row>
          <xdr:rowOff>9525</xdr:rowOff>
        </xdr:from>
        <xdr:to>
          <xdr:col>3</xdr:col>
          <xdr:colOff>95250</xdr:colOff>
          <xdr:row>386</xdr:row>
          <xdr:rowOff>485775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EB98BC2-C935-4DDC-8F76-EA4313744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387</xdr:row>
          <xdr:rowOff>9525</xdr:rowOff>
        </xdr:from>
        <xdr:to>
          <xdr:col>3</xdr:col>
          <xdr:colOff>95250</xdr:colOff>
          <xdr:row>387</xdr:row>
          <xdr:rowOff>485775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52501053-7029-4295-A5AD-0F089B5D44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388</xdr:row>
          <xdr:rowOff>9525</xdr:rowOff>
        </xdr:from>
        <xdr:to>
          <xdr:col>3</xdr:col>
          <xdr:colOff>95250</xdr:colOff>
          <xdr:row>388</xdr:row>
          <xdr:rowOff>485775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B7475902-4E8A-493C-BC3F-E0A9722473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389</xdr:row>
          <xdr:rowOff>9525</xdr:rowOff>
        </xdr:from>
        <xdr:to>
          <xdr:col>3</xdr:col>
          <xdr:colOff>95250</xdr:colOff>
          <xdr:row>389</xdr:row>
          <xdr:rowOff>485775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DBD4EA4E-1DEC-418D-A384-9F2514EAA9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390</xdr:row>
          <xdr:rowOff>9525</xdr:rowOff>
        </xdr:from>
        <xdr:to>
          <xdr:col>3</xdr:col>
          <xdr:colOff>95250</xdr:colOff>
          <xdr:row>390</xdr:row>
          <xdr:rowOff>485775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903F3FBA-5504-4D72-874E-1C924D458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391</xdr:row>
          <xdr:rowOff>9525</xdr:rowOff>
        </xdr:from>
        <xdr:to>
          <xdr:col>3</xdr:col>
          <xdr:colOff>95250</xdr:colOff>
          <xdr:row>391</xdr:row>
          <xdr:rowOff>485775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CF1746F5-D9EA-4649-AB70-B7189D20E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392</xdr:row>
          <xdr:rowOff>9525</xdr:rowOff>
        </xdr:from>
        <xdr:to>
          <xdr:col>3</xdr:col>
          <xdr:colOff>95250</xdr:colOff>
          <xdr:row>392</xdr:row>
          <xdr:rowOff>485775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1081D845-D7EA-4BF9-A629-A2968DF1B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393</xdr:row>
          <xdr:rowOff>9525</xdr:rowOff>
        </xdr:from>
        <xdr:to>
          <xdr:col>3</xdr:col>
          <xdr:colOff>95250</xdr:colOff>
          <xdr:row>393</xdr:row>
          <xdr:rowOff>485775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477D0ED9-3CBD-4FE6-9E6A-48B815C84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394</xdr:row>
          <xdr:rowOff>9525</xdr:rowOff>
        </xdr:from>
        <xdr:to>
          <xdr:col>3</xdr:col>
          <xdr:colOff>95250</xdr:colOff>
          <xdr:row>394</xdr:row>
          <xdr:rowOff>485775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1490DBE4-97DB-4771-9AF3-6014CE0855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395</xdr:row>
          <xdr:rowOff>9525</xdr:rowOff>
        </xdr:from>
        <xdr:to>
          <xdr:col>3</xdr:col>
          <xdr:colOff>95250</xdr:colOff>
          <xdr:row>395</xdr:row>
          <xdr:rowOff>485775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87351088-EED4-49F8-B2B0-1D714E34C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396</xdr:row>
          <xdr:rowOff>9525</xdr:rowOff>
        </xdr:from>
        <xdr:to>
          <xdr:col>3</xdr:col>
          <xdr:colOff>95250</xdr:colOff>
          <xdr:row>396</xdr:row>
          <xdr:rowOff>485775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B68BAAD5-DEE8-4B45-BBD3-A09C582C5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397</xdr:row>
          <xdr:rowOff>9525</xdr:rowOff>
        </xdr:from>
        <xdr:to>
          <xdr:col>3</xdr:col>
          <xdr:colOff>95250</xdr:colOff>
          <xdr:row>397</xdr:row>
          <xdr:rowOff>485775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9860926D-1BDC-4860-A99B-8D7E23ADB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398</xdr:row>
          <xdr:rowOff>9525</xdr:rowOff>
        </xdr:from>
        <xdr:to>
          <xdr:col>3</xdr:col>
          <xdr:colOff>95250</xdr:colOff>
          <xdr:row>398</xdr:row>
          <xdr:rowOff>485775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8CDDF95-F09B-4E3B-9A0D-C2E8F4D06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399</xdr:row>
          <xdr:rowOff>9525</xdr:rowOff>
        </xdr:from>
        <xdr:to>
          <xdr:col>3</xdr:col>
          <xdr:colOff>95250</xdr:colOff>
          <xdr:row>399</xdr:row>
          <xdr:rowOff>485775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3BEB4714-2CD3-4D66-9872-170C0B52F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400</xdr:row>
          <xdr:rowOff>9525</xdr:rowOff>
        </xdr:from>
        <xdr:to>
          <xdr:col>3</xdr:col>
          <xdr:colOff>95250</xdr:colOff>
          <xdr:row>400</xdr:row>
          <xdr:rowOff>485775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44352297-510A-4B10-82D0-5D6F559B0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401</xdr:row>
          <xdr:rowOff>9525</xdr:rowOff>
        </xdr:from>
        <xdr:to>
          <xdr:col>3</xdr:col>
          <xdr:colOff>95250</xdr:colOff>
          <xdr:row>401</xdr:row>
          <xdr:rowOff>485775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5C731BE9-768B-4581-8FF2-18918B878A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402</xdr:row>
          <xdr:rowOff>9525</xdr:rowOff>
        </xdr:from>
        <xdr:to>
          <xdr:col>3</xdr:col>
          <xdr:colOff>95250</xdr:colOff>
          <xdr:row>402</xdr:row>
          <xdr:rowOff>485775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B631ADEF-14D8-49F2-90A3-9AAD9BA42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403</xdr:row>
          <xdr:rowOff>9525</xdr:rowOff>
        </xdr:from>
        <xdr:to>
          <xdr:col>3</xdr:col>
          <xdr:colOff>95250</xdr:colOff>
          <xdr:row>403</xdr:row>
          <xdr:rowOff>485775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70DCCC8C-E73A-41D2-8422-15AA9EFAC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404</xdr:row>
          <xdr:rowOff>9525</xdr:rowOff>
        </xdr:from>
        <xdr:to>
          <xdr:col>3</xdr:col>
          <xdr:colOff>95250</xdr:colOff>
          <xdr:row>404</xdr:row>
          <xdr:rowOff>485775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992EAE96-079F-4878-8798-03BA0DD35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405</xdr:row>
          <xdr:rowOff>9525</xdr:rowOff>
        </xdr:from>
        <xdr:to>
          <xdr:col>3</xdr:col>
          <xdr:colOff>95250</xdr:colOff>
          <xdr:row>405</xdr:row>
          <xdr:rowOff>485775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FB52139E-934B-4D75-BD08-3058A4B8B8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406</xdr:row>
          <xdr:rowOff>9525</xdr:rowOff>
        </xdr:from>
        <xdr:to>
          <xdr:col>3</xdr:col>
          <xdr:colOff>95250</xdr:colOff>
          <xdr:row>406</xdr:row>
          <xdr:rowOff>485775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B5B165D-28B3-4946-A70E-551F8DEDF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407</xdr:row>
          <xdr:rowOff>9525</xdr:rowOff>
        </xdr:from>
        <xdr:to>
          <xdr:col>3</xdr:col>
          <xdr:colOff>95250</xdr:colOff>
          <xdr:row>407</xdr:row>
          <xdr:rowOff>485775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70F36486-8BB6-457F-90A5-5BFED39721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408</xdr:row>
          <xdr:rowOff>9525</xdr:rowOff>
        </xdr:from>
        <xdr:to>
          <xdr:col>3</xdr:col>
          <xdr:colOff>95250</xdr:colOff>
          <xdr:row>408</xdr:row>
          <xdr:rowOff>485775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2372FAF0-1C02-44E9-9519-A63FBBAC46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409</xdr:row>
          <xdr:rowOff>9525</xdr:rowOff>
        </xdr:from>
        <xdr:to>
          <xdr:col>3</xdr:col>
          <xdr:colOff>95250</xdr:colOff>
          <xdr:row>409</xdr:row>
          <xdr:rowOff>485775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10AFCB1-1525-4E7F-BAB5-E9A04F817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410</xdr:row>
          <xdr:rowOff>9525</xdr:rowOff>
        </xdr:from>
        <xdr:to>
          <xdr:col>3</xdr:col>
          <xdr:colOff>95250</xdr:colOff>
          <xdr:row>410</xdr:row>
          <xdr:rowOff>485775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EF8418F2-FB20-4ED2-9C21-7DCFB33627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411</xdr:row>
          <xdr:rowOff>9525</xdr:rowOff>
        </xdr:from>
        <xdr:to>
          <xdr:col>3</xdr:col>
          <xdr:colOff>95250</xdr:colOff>
          <xdr:row>411</xdr:row>
          <xdr:rowOff>485775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19D284D9-E10B-4819-A3B8-6C75335144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412</xdr:row>
          <xdr:rowOff>9525</xdr:rowOff>
        </xdr:from>
        <xdr:to>
          <xdr:col>3</xdr:col>
          <xdr:colOff>95250</xdr:colOff>
          <xdr:row>412</xdr:row>
          <xdr:rowOff>485775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2B62E0A7-C48E-40CD-89FF-563986340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413</xdr:row>
          <xdr:rowOff>9525</xdr:rowOff>
        </xdr:from>
        <xdr:to>
          <xdr:col>3</xdr:col>
          <xdr:colOff>95250</xdr:colOff>
          <xdr:row>413</xdr:row>
          <xdr:rowOff>485775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1B7C5B6C-3BA3-4836-9211-3AC4548FA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414</xdr:row>
          <xdr:rowOff>9525</xdr:rowOff>
        </xdr:from>
        <xdr:to>
          <xdr:col>3</xdr:col>
          <xdr:colOff>95250</xdr:colOff>
          <xdr:row>414</xdr:row>
          <xdr:rowOff>485775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92593E86-B7D6-4B67-9D08-B1AB771686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415</xdr:row>
          <xdr:rowOff>9525</xdr:rowOff>
        </xdr:from>
        <xdr:to>
          <xdr:col>3</xdr:col>
          <xdr:colOff>95250</xdr:colOff>
          <xdr:row>415</xdr:row>
          <xdr:rowOff>485775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E521AFA3-40E0-4DBB-9D17-4923B2045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416</xdr:row>
          <xdr:rowOff>9525</xdr:rowOff>
        </xdr:from>
        <xdr:to>
          <xdr:col>3</xdr:col>
          <xdr:colOff>95250</xdr:colOff>
          <xdr:row>416</xdr:row>
          <xdr:rowOff>485775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D4B3808F-4E10-4555-9B78-F3A59FF60B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417</xdr:row>
          <xdr:rowOff>9525</xdr:rowOff>
        </xdr:from>
        <xdr:to>
          <xdr:col>3</xdr:col>
          <xdr:colOff>95250</xdr:colOff>
          <xdr:row>417</xdr:row>
          <xdr:rowOff>485775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7D4E8068-F341-4E3D-99FB-5DEE3AAD2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418</xdr:row>
          <xdr:rowOff>9525</xdr:rowOff>
        </xdr:from>
        <xdr:to>
          <xdr:col>3</xdr:col>
          <xdr:colOff>95250</xdr:colOff>
          <xdr:row>418</xdr:row>
          <xdr:rowOff>485775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92B15743-5485-4260-A7A9-A1B0FA6825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419</xdr:row>
          <xdr:rowOff>9525</xdr:rowOff>
        </xdr:from>
        <xdr:to>
          <xdr:col>3</xdr:col>
          <xdr:colOff>95250</xdr:colOff>
          <xdr:row>419</xdr:row>
          <xdr:rowOff>485775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69796457-B832-4299-B40B-4F15534599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420</xdr:row>
          <xdr:rowOff>9525</xdr:rowOff>
        </xdr:from>
        <xdr:to>
          <xdr:col>3</xdr:col>
          <xdr:colOff>95250</xdr:colOff>
          <xdr:row>420</xdr:row>
          <xdr:rowOff>485775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FB3C9A8D-F501-4B63-B4C4-BC4F8D6C8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421</xdr:row>
          <xdr:rowOff>9525</xdr:rowOff>
        </xdr:from>
        <xdr:to>
          <xdr:col>3</xdr:col>
          <xdr:colOff>95250</xdr:colOff>
          <xdr:row>421</xdr:row>
          <xdr:rowOff>485775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19C6954B-DCA4-4628-B4B7-767FD0F062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422</xdr:row>
          <xdr:rowOff>9525</xdr:rowOff>
        </xdr:from>
        <xdr:to>
          <xdr:col>3</xdr:col>
          <xdr:colOff>95250</xdr:colOff>
          <xdr:row>422</xdr:row>
          <xdr:rowOff>485775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3A39AF91-6AAA-441E-ACAF-26FF952C0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423</xdr:row>
          <xdr:rowOff>9525</xdr:rowOff>
        </xdr:from>
        <xdr:to>
          <xdr:col>3</xdr:col>
          <xdr:colOff>95250</xdr:colOff>
          <xdr:row>423</xdr:row>
          <xdr:rowOff>485775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79F2C43E-1EB5-4944-B1DB-6CC95A137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424</xdr:row>
          <xdr:rowOff>9525</xdr:rowOff>
        </xdr:from>
        <xdr:to>
          <xdr:col>3</xdr:col>
          <xdr:colOff>95250</xdr:colOff>
          <xdr:row>424</xdr:row>
          <xdr:rowOff>485775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615FF33A-25FB-4584-AAC1-EE0E96E93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425</xdr:row>
          <xdr:rowOff>9525</xdr:rowOff>
        </xdr:from>
        <xdr:to>
          <xdr:col>3</xdr:col>
          <xdr:colOff>95250</xdr:colOff>
          <xdr:row>425</xdr:row>
          <xdr:rowOff>485775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196D8A3A-F5D9-4D7B-84AD-50EA5E24F8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426</xdr:row>
          <xdr:rowOff>9525</xdr:rowOff>
        </xdr:from>
        <xdr:to>
          <xdr:col>3</xdr:col>
          <xdr:colOff>95250</xdr:colOff>
          <xdr:row>426</xdr:row>
          <xdr:rowOff>485775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1F25CEF2-C9BC-41D9-99BA-F89F1F769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427</xdr:row>
          <xdr:rowOff>9525</xdr:rowOff>
        </xdr:from>
        <xdr:to>
          <xdr:col>3</xdr:col>
          <xdr:colOff>95250</xdr:colOff>
          <xdr:row>427</xdr:row>
          <xdr:rowOff>485775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E5FC1D98-C83B-417B-9E3F-652423D6D1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428</xdr:row>
          <xdr:rowOff>9525</xdr:rowOff>
        </xdr:from>
        <xdr:to>
          <xdr:col>3</xdr:col>
          <xdr:colOff>95250</xdr:colOff>
          <xdr:row>428</xdr:row>
          <xdr:rowOff>485775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59019EF0-5CB1-44B6-AC9A-1A0B29A97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429</xdr:row>
          <xdr:rowOff>9525</xdr:rowOff>
        </xdr:from>
        <xdr:to>
          <xdr:col>3</xdr:col>
          <xdr:colOff>95250</xdr:colOff>
          <xdr:row>429</xdr:row>
          <xdr:rowOff>485775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122D2F60-6E06-4293-AA31-4AB0FF4F8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430</xdr:row>
          <xdr:rowOff>9525</xdr:rowOff>
        </xdr:from>
        <xdr:to>
          <xdr:col>3</xdr:col>
          <xdr:colOff>95250</xdr:colOff>
          <xdr:row>430</xdr:row>
          <xdr:rowOff>485775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E7368165-C768-4970-AEDD-037A4CE9B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431</xdr:row>
          <xdr:rowOff>9525</xdr:rowOff>
        </xdr:from>
        <xdr:to>
          <xdr:col>3</xdr:col>
          <xdr:colOff>95250</xdr:colOff>
          <xdr:row>431</xdr:row>
          <xdr:rowOff>485775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1B6F00EE-28CF-40E3-89F6-02E377310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432</xdr:row>
          <xdr:rowOff>9525</xdr:rowOff>
        </xdr:from>
        <xdr:to>
          <xdr:col>3</xdr:col>
          <xdr:colOff>95250</xdr:colOff>
          <xdr:row>432</xdr:row>
          <xdr:rowOff>485775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592CFDBB-AD66-4403-85B2-162D47742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433</xdr:row>
          <xdr:rowOff>9525</xdr:rowOff>
        </xdr:from>
        <xdr:to>
          <xdr:col>3</xdr:col>
          <xdr:colOff>95250</xdr:colOff>
          <xdr:row>433</xdr:row>
          <xdr:rowOff>485775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DE15C6BE-8DC2-4E1C-B5D7-2DE9A070E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434</xdr:row>
          <xdr:rowOff>9525</xdr:rowOff>
        </xdr:from>
        <xdr:to>
          <xdr:col>3</xdr:col>
          <xdr:colOff>95250</xdr:colOff>
          <xdr:row>434</xdr:row>
          <xdr:rowOff>485775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40FFCA8D-7F39-4491-8D5D-0A7D95F92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435</xdr:row>
          <xdr:rowOff>9525</xdr:rowOff>
        </xdr:from>
        <xdr:to>
          <xdr:col>3</xdr:col>
          <xdr:colOff>95250</xdr:colOff>
          <xdr:row>435</xdr:row>
          <xdr:rowOff>485775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D0C068ED-D54F-423E-A12C-2AAFFEC96D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436</xdr:row>
          <xdr:rowOff>9525</xdr:rowOff>
        </xdr:from>
        <xdr:to>
          <xdr:col>3</xdr:col>
          <xdr:colOff>95250</xdr:colOff>
          <xdr:row>436</xdr:row>
          <xdr:rowOff>485775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1B996EDC-E4D9-4566-801A-8FECCE4EF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437</xdr:row>
          <xdr:rowOff>9525</xdr:rowOff>
        </xdr:from>
        <xdr:to>
          <xdr:col>3</xdr:col>
          <xdr:colOff>95250</xdr:colOff>
          <xdr:row>437</xdr:row>
          <xdr:rowOff>485775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494845DD-08CC-4084-85A4-39C6BEA51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438</xdr:row>
          <xdr:rowOff>9525</xdr:rowOff>
        </xdr:from>
        <xdr:to>
          <xdr:col>3</xdr:col>
          <xdr:colOff>95250</xdr:colOff>
          <xdr:row>438</xdr:row>
          <xdr:rowOff>485775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4077D58D-83FC-454E-A3F7-550BDD003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439</xdr:row>
          <xdr:rowOff>9525</xdr:rowOff>
        </xdr:from>
        <xdr:to>
          <xdr:col>3</xdr:col>
          <xdr:colOff>95250</xdr:colOff>
          <xdr:row>439</xdr:row>
          <xdr:rowOff>485775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E67D270E-EF7B-4E92-96F6-0664880BB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440</xdr:row>
          <xdr:rowOff>9525</xdr:rowOff>
        </xdr:from>
        <xdr:to>
          <xdr:col>3</xdr:col>
          <xdr:colOff>95250</xdr:colOff>
          <xdr:row>440</xdr:row>
          <xdr:rowOff>485775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3309D87E-5407-43E7-ACBD-2568E7FA0D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441</xdr:row>
          <xdr:rowOff>9525</xdr:rowOff>
        </xdr:from>
        <xdr:to>
          <xdr:col>3</xdr:col>
          <xdr:colOff>95250</xdr:colOff>
          <xdr:row>441</xdr:row>
          <xdr:rowOff>485775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7CF34DCC-A45B-41F6-A883-9AA1F54FC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442</xdr:row>
          <xdr:rowOff>9525</xdr:rowOff>
        </xdr:from>
        <xdr:to>
          <xdr:col>3</xdr:col>
          <xdr:colOff>95250</xdr:colOff>
          <xdr:row>442</xdr:row>
          <xdr:rowOff>485775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5E6E5DAA-E906-4310-8C15-DD7C064B44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443</xdr:row>
          <xdr:rowOff>9525</xdr:rowOff>
        </xdr:from>
        <xdr:to>
          <xdr:col>3</xdr:col>
          <xdr:colOff>95250</xdr:colOff>
          <xdr:row>443</xdr:row>
          <xdr:rowOff>485775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118201AF-BEF6-4973-8D02-D7FFA3C17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444</xdr:row>
          <xdr:rowOff>9525</xdr:rowOff>
        </xdr:from>
        <xdr:to>
          <xdr:col>3</xdr:col>
          <xdr:colOff>95250</xdr:colOff>
          <xdr:row>444</xdr:row>
          <xdr:rowOff>485775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3D7903E4-E8C9-4537-943B-55A8A18BA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445</xdr:row>
          <xdr:rowOff>9525</xdr:rowOff>
        </xdr:from>
        <xdr:to>
          <xdr:col>3</xdr:col>
          <xdr:colOff>95250</xdr:colOff>
          <xdr:row>445</xdr:row>
          <xdr:rowOff>485775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662563B9-A1A2-4F6E-9678-0581E9E70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446</xdr:row>
          <xdr:rowOff>9525</xdr:rowOff>
        </xdr:from>
        <xdr:to>
          <xdr:col>3</xdr:col>
          <xdr:colOff>95250</xdr:colOff>
          <xdr:row>446</xdr:row>
          <xdr:rowOff>485775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EE47F703-D0E7-461F-9D82-79ADAF6AD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447</xdr:row>
          <xdr:rowOff>9525</xdr:rowOff>
        </xdr:from>
        <xdr:to>
          <xdr:col>3</xdr:col>
          <xdr:colOff>95250</xdr:colOff>
          <xdr:row>447</xdr:row>
          <xdr:rowOff>485775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7E5D500F-F097-4753-A3A2-32ADD47797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448</xdr:row>
          <xdr:rowOff>9525</xdr:rowOff>
        </xdr:from>
        <xdr:to>
          <xdr:col>3</xdr:col>
          <xdr:colOff>95250</xdr:colOff>
          <xdr:row>448</xdr:row>
          <xdr:rowOff>485775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CD89D33E-FB56-426D-8FEF-B676FFD99F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449</xdr:row>
          <xdr:rowOff>9525</xdr:rowOff>
        </xdr:from>
        <xdr:to>
          <xdr:col>3</xdr:col>
          <xdr:colOff>95250</xdr:colOff>
          <xdr:row>449</xdr:row>
          <xdr:rowOff>485775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8E9D82F-4BF4-4F09-8378-BB6CFBDFAC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450</xdr:row>
          <xdr:rowOff>9525</xdr:rowOff>
        </xdr:from>
        <xdr:to>
          <xdr:col>3</xdr:col>
          <xdr:colOff>95250</xdr:colOff>
          <xdr:row>450</xdr:row>
          <xdr:rowOff>485775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B8BCE94B-BB91-4DB8-8631-118CD0D48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451</xdr:row>
          <xdr:rowOff>9525</xdr:rowOff>
        </xdr:from>
        <xdr:to>
          <xdr:col>3</xdr:col>
          <xdr:colOff>95250</xdr:colOff>
          <xdr:row>451</xdr:row>
          <xdr:rowOff>485775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F73A57BF-23FC-4539-B586-F52524CA6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452</xdr:row>
          <xdr:rowOff>9525</xdr:rowOff>
        </xdr:from>
        <xdr:to>
          <xdr:col>3</xdr:col>
          <xdr:colOff>95250</xdr:colOff>
          <xdr:row>452</xdr:row>
          <xdr:rowOff>485775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CBF300B2-2BE5-495D-B8D4-B212C3D6FA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453</xdr:row>
          <xdr:rowOff>9525</xdr:rowOff>
        </xdr:from>
        <xdr:to>
          <xdr:col>3</xdr:col>
          <xdr:colOff>95250</xdr:colOff>
          <xdr:row>453</xdr:row>
          <xdr:rowOff>485775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56B88F38-7EC4-49B5-87DF-FE2DD90D3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454</xdr:row>
          <xdr:rowOff>9525</xdr:rowOff>
        </xdr:from>
        <xdr:to>
          <xdr:col>3</xdr:col>
          <xdr:colOff>95250</xdr:colOff>
          <xdr:row>454</xdr:row>
          <xdr:rowOff>485775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64C528D9-D6F8-445F-ADAC-B36FCF7050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455</xdr:row>
          <xdr:rowOff>9525</xdr:rowOff>
        </xdr:from>
        <xdr:to>
          <xdr:col>3</xdr:col>
          <xdr:colOff>95250</xdr:colOff>
          <xdr:row>455</xdr:row>
          <xdr:rowOff>485775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6E03DDF5-B662-448A-BD2C-4FAFCC534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456</xdr:row>
          <xdr:rowOff>9525</xdr:rowOff>
        </xdr:from>
        <xdr:to>
          <xdr:col>3</xdr:col>
          <xdr:colOff>95250</xdr:colOff>
          <xdr:row>456</xdr:row>
          <xdr:rowOff>485775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A7450B6A-7D2C-484E-A053-757E1EAEFF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457</xdr:row>
          <xdr:rowOff>9525</xdr:rowOff>
        </xdr:from>
        <xdr:to>
          <xdr:col>3</xdr:col>
          <xdr:colOff>95250</xdr:colOff>
          <xdr:row>457</xdr:row>
          <xdr:rowOff>485775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D3B01E-B275-49E7-9B6D-B36E5069FA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458</xdr:row>
          <xdr:rowOff>9525</xdr:rowOff>
        </xdr:from>
        <xdr:to>
          <xdr:col>3</xdr:col>
          <xdr:colOff>95250</xdr:colOff>
          <xdr:row>458</xdr:row>
          <xdr:rowOff>485775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B33FC8E-DD59-4502-A900-CABBE6A1F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459</xdr:row>
          <xdr:rowOff>9525</xdr:rowOff>
        </xdr:from>
        <xdr:to>
          <xdr:col>3</xdr:col>
          <xdr:colOff>95250</xdr:colOff>
          <xdr:row>459</xdr:row>
          <xdr:rowOff>485775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2CA43176-B216-42CA-B553-96134F42B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460</xdr:row>
          <xdr:rowOff>9525</xdr:rowOff>
        </xdr:from>
        <xdr:to>
          <xdr:col>3</xdr:col>
          <xdr:colOff>95250</xdr:colOff>
          <xdr:row>460</xdr:row>
          <xdr:rowOff>485775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EFC225A2-169E-4976-9727-824930236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461</xdr:row>
          <xdr:rowOff>9525</xdr:rowOff>
        </xdr:from>
        <xdr:to>
          <xdr:col>3</xdr:col>
          <xdr:colOff>95250</xdr:colOff>
          <xdr:row>461</xdr:row>
          <xdr:rowOff>485775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DDD86586-1015-42F1-8F02-B4CC4DCD1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462</xdr:row>
          <xdr:rowOff>9525</xdr:rowOff>
        </xdr:from>
        <xdr:to>
          <xdr:col>3</xdr:col>
          <xdr:colOff>95250</xdr:colOff>
          <xdr:row>462</xdr:row>
          <xdr:rowOff>485775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6033851F-8F6E-45AE-98B9-B6C7BA2C8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463</xdr:row>
          <xdr:rowOff>9525</xdr:rowOff>
        </xdr:from>
        <xdr:to>
          <xdr:col>3</xdr:col>
          <xdr:colOff>95250</xdr:colOff>
          <xdr:row>463</xdr:row>
          <xdr:rowOff>485775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5DF90534-EA35-4688-97D2-AA718A1926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464</xdr:row>
          <xdr:rowOff>9525</xdr:rowOff>
        </xdr:from>
        <xdr:to>
          <xdr:col>3</xdr:col>
          <xdr:colOff>95250</xdr:colOff>
          <xdr:row>464</xdr:row>
          <xdr:rowOff>485775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D0E8D55D-9986-4BC8-AC0B-6B22D88C4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465</xdr:row>
          <xdr:rowOff>9525</xdr:rowOff>
        </xdr:from>
        <xdr:to>
          <xdr:col>3</xdr:col>
          <xdr:colOff>95250</xdr:colOff>
          <xdr:row>465</xdr:row>
          <xdr:rowOff>485775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55BB90DB-A803-412A-A0B4-2E8B8F512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466</xdr:row>
          <xdr:rowOff>9525</xdr:rowOff>
        </xdr:from>
        <xdr:to>
          <xdr:col>3</xdr:col>
          <xdr:colOff>95250</xdr:colOff>
          <xdr:row>466</xdr:row>
          <xdr:rowOff>485775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BD93998A-1B5F-4FEE-91E7-F1ED082D59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467</xdr:row>
          <xdr:rowOff>9525</xdr:rowOff>
        </xdr:from>
        <xdr:to>
          <xdr:col>3</xdr:col>
          <xdr:colOff>95250</xdr:colOff>
          <xdr:row>467</xdr:row>
          <xdr:rowOff>485775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E2558A1-AFBD-4AE1-BE25-15EE39786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468</xdr:row>
          <xdr:rowOff>9525</xdr:rowOff>
        </xdr:from>
        <xdr:to>
          <xdr:col>3</xdr:col>
          <xdr:colOff>95250</xdr:colOff>
          <xdr:row>468</xdr:row>
          <xdr:rowOff>485775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DD94848B-DED3-4238-AAD4-1F2B28E10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469</xdr:row>
          <xdr:rowOff>9525</xdr:rowOff>
        </xdr:from>
        <xdr:to>
          <xdr:col>3</xdr:col>
          <xdr:colOff>95250</xdr:colOff>
          <xdr:row>469</xdr:row>
          <xdr:rowOff>485775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CCC95AB1-C52D-4798-A05B-A8EC7CB9B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470</xdr:row>
          <xdr:rowOff>9525</xdr:rowOff>
        </xdr:from>
        <xdr:to>
          <xdr:col>3</xdr:col>
          <xdr:colOff>95250</xdr:colOff>
          <xdr:row>470</xdr:row>
          <xdr:rowOff>485775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C4EDFE0D-A94A-4240-8BDF-91ACC4884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471</xdr:row>
          <xdr:rowOff>9525</xdr:rowOff>
        </xdr:from>
        <xdr:to>
          <xdr:col>3</xdr:col>
          <xdr:colOff>95250</xdr:colOff>
          <xdr:row>471</xdr:row>
          <xdr:rowOff>485775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A4D0741C-5311-411F-8D8F-F8EE1E248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472</xdr:row>
          <xdr:rowOff>9525</xdr:rowOff>
        </xdr:from>
        <xdr:to>
          <xdr:col>3</xdr:col>
          <xdr:colOff>95250</xdr:colOff>
          <xdr:row>472</xdr:row>
          <xdr:rowOff>485775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5BBF8E01-1E18-48D6-8706-718FD8CD92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473</xdr:row>
          <xdr:rowOff>9525</xdr:rowOff>
        </xdr:from>
        <xdr:to>
          <xdr:col>3</xdr:col>
          <xdr:colOff>95250</xdr:colOff>
          <xdr:row>473</xdr:row>
          <xdr:rowOff>485775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7EBA954A-049E-4A98-AAA3-A76B523C2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474</xdr:row>
          <xdr:rowOff>9525</xdr:rowOff>
        </xdr:from>
        <xdr:to>
          <xdr:col>3</xdr:col>
          <xdr:colOff>95250</xdr:colOff>
          <xdr:row>474</xdr:row>
          <xdr:rowOff>485775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F6A9881C-A3C5-47E9-8EC3-9E2EA9740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475</xdr:row>
          <xdr:rowOff>9525</xdr:rowOff>
        </xdr:from>
        <xdr:to>
          <xdr:col>3</xdr:col>
          <xdr:colOff>95250</xdr:colOff>
          <xdr:row>475</xdr:row>
          <xdr:rowOff>485775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18EDF1DC-71D5-4F6A-86B5-A8872408A6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476</xdr:row>
          <xdr:rowOff>9525</xdr:rowOff>
        </xdr:from>
        <xdr:to>
          <xdr:col>3</xdr:col>
          <xdr:colOff>95250</xdr:colOff>
          <xdr:row>476</xdr:row>
          <xdr:rowOff>485775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B667F906-30D1-4E37-A8D1-669DE2119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477</xdr:row>
          <xdr:rowOff>9525</xdr:rowOff>
        </xdr:from>
        <xdr:to>
          <xdr:col>3</xdr:col>
          <xdr:colOff>95250</xdr:colOff>
          <xdr:row>477</xdr:row>
          <xdr:rowOff>485775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CB10FB2D-B0CB-44B3-82C0-499F303C9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478</xdr:row>
          <xdr:rowOff>9525</xdr:rowOff>
        </xdr:from>
        <xdr:to>
          <xdr:col>3</xdr:col>
          <xdr:colOff>95250</xdr:colOff>
          <xdr:row>478</xdr:row>
          <xdr:rowOff>485775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D4939E47-603C-4625-96C3-7ACFC81C3C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479</xdr:row>
          <xdr:rowOff>9525</xdr:rowOff>
        </xdr:from>
        <xdr:to>
          <xdr:col>3</xdr:col>
          <xdr:colOff>95250</xdr:colOff>
          <xdr:row>479</xdr:row>
          <xdr:rowOff>485775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1D305D36-C2AD-4FBF-9018-A1A644061E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480</xdr:row>
          <xdr:rowOff>9525</xdr:rowOff>
        </xdr:from>
        <xdr:to>
          <xdr:col>3</xdr:col>
          <xdr:colOff>95250</xdr:colOff>
          <xdr:row>480</xdr:row>
          <xdr:rowOff>485775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BCCF8CDD-3173-4F18-BC0B-49DE2E410E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481</xdr:row>
          <xdr:rowOff>9525</xdr:rowOff>
        </xdr:from>
        <xdr:to>
          <xdr:col>3</xdr:col>
          <xdr:colOff>95250</xdr:colOff>
          <xdr:row>481</xdr:row>
          <xdr:rowOff>485775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CEB22708-DF0A-4BDA-92EC-3D32CD2A8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482</xdr:row>
          <xdr:rowOff>9525</xdr:rowOff>
        </xdr:from>
        <xdr:to>
          <xdr:col>3</xdr:col>
          <xdr:colOff>95250</xdr:colOff>
          <xdr:row>482</xdr:row>
          <xdr:rowOff>485775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9AE02CF-3D7C-40F1-B2E1-754AC0FE1A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483</xdr:row>
          <xdr:rowOff>9525</xdr:rowOff>
        </xdr:from>
        <xdr:to>
          <xdr:col>3</xdr:col>
          <xdr:colOff>95250</xdr:colOff>
          <xdr:row>483</xdr:row>
          <xdr:rowOff>485775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77D264CE-7365-4D74-8F7F-B78CB307F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484</xdr:row>
          <xdr:rowOff>9525</xdr:rowOff>
        </xdr:from>
        <xdr:to>
          <xdr:col>3</xdr:col>
          <xdr:colOff>95250</xdr:colOff>
          <xdr:row>484</xdr:row>
          <xdr:rowOff>485775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3668E73C-01C0-4B61-8DB1-39751EB58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485</xdr:row>
          <xdr:rowOff>9525</xdr:rowOff>
        </xdr:from>
        <xdr:to>
          <xdr:col>3</xdr:col>
          <xdr:colOff>95250</xdr:colOff>
          <xdr:row>485</xdr:row>
          <xdr:rowOff>485775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EDF9A4F3-8A70-4FFD-8DF7-131A08CA9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486</xdr:row>
          <xdr:rowOff>9525</xdr:rowOff>
        </xdr:from>
        <xdr:to>
          <xdr:col>3</xdr:col>
          <xdr:colOff>95250</xdr:colOff>
          <xdr:row>486</xdr:row>
          <xdr:rowOff>485775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927F89DB-5E05-4352-9EBC-E83DE35020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487</xdr:row>
          <xdr:rowOff>9525</xdr:rowOff>
        </xdr:from>
        <xdr:to>
          <xdr:col>3</xdr:col>
          <xdr:colOff>95250</xdr:colOff>
          <xdr:row>487</xdr:row>
          <xdr:rowOff>485775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24C5EBBA-BC2C-457F-ACCF-B95693796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488</xdr:row>
          <xdr:rowOff>9525</xdr:rowOff>
        </xdr:from>
        <xdr:to>
          <xdr:col>3</xdr:col>
          <xdr:colOff>95250</xdr:colOff>
          <xdr:row>488</xdr:row>
          <xdr:rowOff>485775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D9150110-E99D-45FD-B72B-811BFA050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489</xdr:row>
          <xdr:rowOff>9525</xdr:rowOff>
        </xdr:from>
        <xdr:to>
          <xdr:col>3</xdr:col>
          <xdr:colOff>95250</xdr:colOff>
          <xdr:row>489</xdr:row>
          <xdr:rowOff>485775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5C291618-AA5D-436B-8B69-111FBE1EA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490</xdr:row>
          <xdr:rowOff>9525</xdr:rowOff>
        </xdr:from>
        <xdr:to>
          <xdr:col>3</xdr:col>
          <xdr:colOff>95250</xdr:colOff>
          <xdr:row>490</xdr:row>
          <xdr:rowOff>485775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702035DD-B5E7-4715-BDE6-65287573F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491</xdr:row>
          <xdr:rowOff>9525</xdr:rowOff>
        </xdr:from>
        <xdr:to>
          <xdr:col>3</xdr:col>
          <xdr:colOff>95250</xdr:colOff>
          <xdr:row>491</xdr:row>
          <xdr:rowOff>485775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DD18EE44-F4D4-4182-B0EC-056B624F69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492</xdr:row>
          <xdr:rowOff>9525</xdr:rowOff>
        </xdr:from>
        <xdr:to>
          <xdr:col>3</xdr:col>
          <xdr:colOff>95250</xdr:colOff>
          <xdr:row>492</xdr:row>
          <xdr:rowOff>485775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6BA25DE6-1415-48B8-9936-CDA4E0BAD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493</xdr:row>
          <xdr:rowOff>9525</xdr:rowOff>
        </xdr:from>
        <xdr:to>
          <xdr:col>3</xdr:col>
          <xdr:colOff>95250</xdr:colOff>
          <xdr:row>493</xdr:row>
          <xdr:rowOff>485775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F7AD6613-EBA8-4622-AE20-77C7C8999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494</xdr:row>
          <xdr:rowOff>9525</xdr:rowOff>
        </xdr:from>
        <xdr:to>
          <xdr:col>3</xdr:col>
          <xdr:colOff>95250</xdr:colOff>
          <xdr:row>494</xdr:row>
          <xdr:rowOff>485775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5AAB4DCD-5F8D-493D-BE65-CE337E8368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495</xdr:row>
          <xdr:rowOff>9525</xdr:rowOff>
        </xdr:from>
        <xdr:to>
          <xdr:col>3</xdr:col>
          <xdr:colOff>95250</xdr:colOff>
          <xdr:row>495</xdr:row>
          <xdr:rowOff>485775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38BA3F0C-2535-4A16-A90E-84E091725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496</xdr:row>
          <xdr:rowOff>9525</xdr:rowOff>
        </xdr:from>
        <xdr:to>
          <xdr:col>3</xdr:col>
          <xdr:colOff>95250</xdr:colOff>
          <xdr:row>496</xdr:row>
          <xdr:rowOff>485775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67DA7169-44B1-4825-9007-C026101C11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497</xdr:row>
          <xdr:rowOff>9525</xdr:rowOff>
        </xdr:from>
        <xdr:to>
          <xdr:col>3</xdr:col>
          <xdr:colOff>95250</xdr:colOff>
          <xdr:row>497</xdr:row>
          <xdr:rowOff>485775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F9D36D8C-639D-41AD-8FC1-2FCAFB7A3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498</xdr:row>
          <xdr:rowOff>9525</xdr:rowOff>
        </xdr:from>
        <xdr:to>
          <xdr:col>3</xdr:col>
          <xdr:colOff>95250</xdr:colOff>
          <xdr:row>498</xdr:row>
          <xdr:rowOff>485775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C96332D4-EAB8-4641-96B6-0689CD0C6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499</xdr:row>
          <xdr:rowOff>9525</xdr:rowOff>
        </xdr:from>
        <xdr:to>
          <xdr:col>3</xdr:col>
          <xdr:colOff>95250</xdr:colOff>
          <xdr:row>499</xdr:row>
          <xdr:rowOff>485775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8A126C4A-5D0D-4B04-BFFA-3332C5601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500</xdr:row>
          <xdr:rowOff>9525</xdr:rowOff>
        </xdr:from>
        <xdr:to>
          <xdr:col>3</xdr:col>
          <xdr:colOff>95250</xdr:colOff>
          <xdr:row>500</xdr:row>
          <xdr:rowOff>485775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950B3D68-91BC-4270-8963-BC2C0BBAB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501</xdr:row>
          <xdr:rowOff>9525</xdr:rowOff>
        </xdr:from>
        <xdr:to>
          <xdr:col>3</xdr:col>
          <xdr:colOff>95250</xdr:colOff>
          <xdr:row>501</xdr:row>
          <xdr:rowOff>485775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2C8223C-EEBF-43C2-9ACC-6C3BAB025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502</xdr:row>
          <xdr:rowOff>9525</xdr:rowOff>
        </xdr:from>
        <xdr:to>
          <xdr:col>3</xdr:col>
          <xdr:colOff>95250</xdr:colOff>
          <xdr:row>502</xdr:row>
          <xdr:rowOff>485775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4F21A9EC-5F4E-4BF3-99FD-0DE3391B0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503</xdr:row>
          <xdr:rowOff>9525</xdr:rowOff>
        </xdr:from>
        <xdr:to>
          <xdr:col>3</xdr:col>
          <xdr:colOff>95250</xdr:colOff>
          <xdr:row>503</xdr:row>
          <xdr:rowOff>485775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3AEA2078-EFED-45C8-80DE-1A3DCCF97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504</xdr:row>
          <xdr:rowOff>9525</xdr:rowOff>
        </xdr:from>
        <xdr:to>
          <xdr:col>3</xdr:col>
          <xdr:colOff>95250</xdr:colOff>
          <xdr:row>504</xdr:row>
          <xdr:rowOff>485775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8A2F866D-A2F6-4C49-B2A1-7A8C54E5F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505</xdr:row>
          <xdr:rowOff>9525</xdr:rowOff>
        </xdr:from>
        <xdr:to>
          <xdr:col>3</xdr:col>
          <xdr:colOff>95250</xdr:colOff>
          <xdr:row>505</xdr:row>
          <xdr:rowOff>485775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69161AB6-AE83-4E1C-9EF9-415D3DEA5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506</xdr:row>
          <xdr:rowOff>9525</xdr:rowOff>
        </xdr:from>
        <xdr:to>
          <xdr:col>3</xdr:col>
          <xdr:colOff>95250</xdr:colOff>
          <xdr:row>506</xdr:row>
          <xdr:rowOff>485775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F521C09C-6EC4-4B5A-8836-CDF840720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507</xdr:row>
          <xdr:rowOff>9525</xdr:rowOff>
        </xdr:from>
        <xdr:to>
          <xdr:col>3</xdr:col>
          <xdr:colOff>95250</xdr:colOff>
          <xdr:row>507</xdr:row>
          <xdr:rowOff>485775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58ED13A-8B5F-4D96-9935-3914869C2C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508</xdr:row>
          <xdr:rowOff>9525</xdr:rowOff>
        </xdr:from>
        <xdr:to>
          <xdr:col>3</xdr:col>
          <xdr:colOff>95250</xdr:colOff>
          <xdr:row>508</xdr:row>
          <xdr:rowOff>485775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97227B73-F02F-478D-B268-1398F5492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509</xdr:row>
          <xdr:rowOff>9525</xdr:rowOff>
        </xdr:from>
        <xdr:to>
          <xdr:col>3</xdr:col>
          <xdr:colOff>95250</xdr:colOff>
          <xdr:row>509</xdr:row>
          <xdr:rowOff>485775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48863EE5-C638-41DA-ABBE-24898296F3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510</xdr:row>
          <xdr:rowOff>9525</xdr:rowOff>
        </xdr:from>
        <xdr:to>
          <xdr:col>3</xdr:col>
          <xdr:colOff>95250</xdr:colOff>
          <xdr:row>510</xdr:row>
          <xdr:rowOff>485775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D868F7CB-7BDF-4F45-86C2-C4A80506F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511</xdr:row>
          <xdr:rowOff>9525</xdr:rowOff>
        </xdr:from>
        <xdr:to>
          <xdr:col>3</xdr:col>
          <xdr:colOff>95250</xdr:colOff>
          <xdr:row>511</xdr:row>
          <xdr:rowOff>485775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8966670D-8799-4C03-B4CD-8238AD528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512</xdr:row>
          <xdr:rowOff>9525</xdr:rowOff>
        </xdr:from>
        <xdr:to>
          <xdr:col>3</xdr:col>
          <xdr:colOff>95250</xdr:colOff>
          <xdr:row>512</xdr:row>
          <xdr:rowOff>485775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D76191A1-1B85-429D-A2F7-056261E1EA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513</xdr:row>
          <xdr:rowOff>9525</xdr:rowOff>
        </xdr:from>
        <xdr:to>
          <xdr:col>3</xdr:col>
          <xdr:colOff>95250</xdr:colOff>
          <xdr:row>513</xdr:row>
          <xdr:rowOff>485775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7F6CDD94-E333-4CC3-84E9-1BC3F4175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514</xdr:row>
          <xdr:rowOff>9525</xdr:rowOff>
        </xdr:from>
        <xdr:to>
          <xdr:col>3</xdr:col>
          <xdr:colOff>95250</xdr:colOff>
          <xdr:row>514</xdr:row>
          <xdr:rowOff>485775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8A73F6B3-4C8E-4452-954A-9610F32E9F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515</xdr:row>
          <xdr:rowOff>9525</xdr:rowOff>
        </xdr:from>
        <xdr:to>
          <xdr:col>3</xdr:col>
          <xdr:colOff>95250</xdr:colOff>
          <xdr:row>515</xdr:row>
          <xdr:rowOff>485775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C6091B38-71D3-4042-8A37-556F8DA3B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516</xdr:row>
          <xdr:rowOff>9525</xdr:rowOff>
        </xdr:from>
        <xdr:to>
          <xdr:col>3</xdr:col>
          <xdr:colOff>95250</xdr:colOff>
          <xdr:row>516</xdr:row>
          <xdr:rowOff>485775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1C8974FC-96BC-493B-8FA1-D200BBD51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517</xdr:row>
          <xdr:rowOff>9525</xdr:rowOff>
        </xdr:from>
        <xdr:to>
          <xdr:col>3</xdr:col>
          <xdr:colOff>95250</xdr:colOff>
          <xdr:row>517</xdr:row>
          <xdr:rowOff>485775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E9FF7340-03CF-43C5-8D36-5470149C6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518</xdr:row>
          <xdr:rowOff>9525</xdr:rowOff>
        </xdr:from>
        <xdr:to>
          <xdr:col>3</xdr:col>
          <xdr:colOff>95250</xdr:colOff>
          <xdr:row>518</xdr:row>
          <xdr:rowOff>485775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69320AD8-B1C8-4829-BB1D-DB9C1719C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519</xdr:row>
          <xdr:rowOff>9525</xdr:rowOff>
        </xdr:from>
        <xdr:to>
          <xdr:col>3</xdr:col>
          <xdr:colOff>95250</xdr:colOff>
          <xdr:row>519</xdr:row>
          <xdr:rowOff>485775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1FF0E613-1AB1-4FDA-B24E-F1DA7BB65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520</xdr:row>
          <xdr:rowOff>9525</xdr:rowOff>
        </xdr:from>
        <xdr:to>
          <xdr:col>3</xdr:col>
          <xdr:colOff>95250</xdr:colOff>
          <xdr:row>520</xdr:row>
          <xdr:rowOff>485775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BB67A808-4C70-4472-AD61-CF3B21C32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521</xdr:row>
          <xdr:rowOff>9525</xdr:rowOff>
        </xdr:from>
        <xdr:to>
          <xdr:col>3</xdr:col>
          <xdr:colOff>95250</xdr:colOff>
          <xdr:row>521</xdr:row>
          <xdr:rowOff>485775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FA0377C9-1E76-4EA3-969C-0EADA3822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522</xdr:row>
          <xdr:rowOff>9525</xdr:rowOff>
        </xdr:from>
        <xdr:to>
          <xdr:col>3</xdr:col>
          <xdr:colOff>95250</xdr:colOff>
          <xdr:row>522</xdr:row>
          <xdr:rowOff>485775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50305D16-B609-4A89-BE90-A21BA8041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523</xdr:row>
          <xdr:rowOff>9525</xdr:rowOff>
        </xdr:from>
        <xdr:to>
          <xdr:col>3</xdr:col>
          <xdr:colOff>95250</xdr:colOff>
          <xdr:row>523</xdr:row>
          <xdr:rowOff>485775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F10188D6-9D29-4C77-A940-9655DDB65F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524</xdr:row>
          <xdr:rowOff>9525</xdr:rowOff>
        </xdr:from>
        <xdr:to>
          <xdr:col>3</xdr:col>
          <xdr:colOff>95250</xdr:colOff>
          <xdr:row>524</xdr:row>
          <xdr:rowOff>485775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9901A87C-ADA4-4F68-8C78-2D5C21606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525</xdr:row>
          <xdr:rowOff>9525</xdr:rowOff>
        </xdr:from>
        <xdr:to>
          <xdr:col>3</xdr:col>
          <xdr:colOff>95250</xdr:colOff>
          <xdr:row>525</xdr:row>
          <xdr:rowOff>485775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D5FAC535-9518-40CC-95A8-7F9B90934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526</xdr:row>
          <xdr:rowOff>9525</xdr:rowOff>
        </xdr:from>
        <xdr:to>
          <xdr:col>3</xdr:col>
          <xdr:colOff>95250</xdr:colOff>
          <xdr:row>526</xdr:row>
          <xdr:rowOff>485775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C8B37B2D-6602-4DAC-BE97-53504FCD42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527</xdr:row>
          <xdr:rowOff>9525</xdr:rowOff>
        </xdr:from>
        <xdr:to>
          <xdr:col>3</xdr:col>
          <xdr:colOff>95250</xdr:colOff>
          <xdr:row>527</xdr:row>
          <xdr:rowOff>485775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DFD355A4-70F1-457E-AF8C-1B99FE0C2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528</xdr:row>
          <xdr:rowOff>9525</xdr:rowOff>
        </xdr:from>
        <xdr:to>
          <xdr:col>3</xdr:col>
          <xdr:colOff>95250</xdr:colOff>
          <xdr:row>528</xdr:row>
          <xdr:rowOff>485775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7797D24D-959F-48DC-B266-0CCAC4C61A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529</xdr:row>
          <xdr:rowOff>9525</xdr:rowOff>
        </xdr:from>
        <xdr:to>
          <xdr:col>3</xdr:col>
          <xdr:colOff>95250</xdr:colOff>
          <xdr:row>529</xdr:row>
          <xdr:rowOff>485775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23E6AD0A-CBE5-465B-8CF5-194FBAB31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530</xdr:row>
          <xdr:rowOff>9525</xdr:rowOff>
        </xdr:from>
        <xdr:to>
          <xdr:col>3</xdr:col>
          <xdr:colOff>95250</xdr:colOff>
          <xdr:row>530</xdr:row>
          <xdr:rowOff>485775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4E5285EA-D191-4694-ABC1-6DABDC85D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531</xdr:row>
          <xdr:rowOff>9525</xdr:rowOff>
        </xdr:from>
        <xdr:to>
          <xdr:col>3</xdr:col>
          <xdr:colOff>95250</xdr:colOff>
          <xdr:row>531</xdr:row>
          <xdr:rowOff>485775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7D76934-FD9D-4472-98E6-B0CC9AFB7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532</xdr:row>
          <xdr:rowOff>9525</xdr:rowOff>
        </xdr:from>
        <xdr:to>
          <xdr:col>3</xdr:col>
          <xdr:colOff>95250</xdr:colOff>
          <xdr:row>532</xdr:row>
          <xdr:rowOff>485775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D76DDCAA-B0C3-4E89-A5FF-338BAEA711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533</xdr:row>
          <xdr:rowOff>9525</xdr:rowOff>
        </xdr:from>
        <xdr:to>
          <xdr:col>3</xdr:col>
          <xdr:colOff>95250</xdr:colOff>
          <xdr:row>533</xdr:row>
          <xdr:rowOff>485775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A55D3508-F343-4D93-8829-55E7348C1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534</xdr:row>
          <xdr:rowOff>9525</xdr:rowOff>
        </xdr:from>
        <xdr:to>
          <xdr:col>3</xdr:col>
          <xdr:colOff>95250</xdr:colOff>
          <xdr:row>534</xdr:row>
          <xdr:rowOff>485775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B5AADB84-0C72-4C20-AD9C-DD06FF2251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535</xdr:row>
          <xdr:rowOff>9525</xdr:rowOff>
        </xdr:from>
        <xdr:to>
          <xdr:col>3</xdr:col>
          <xdr:colOff>95250</xdr:colOff>
          <xdr:row>535</xdr:row>
          <xdr:rowOff>485775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F1501D4A-0C55-4629-AB73-E0C14C6FD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536</xdr:row>
          <xdr:rowOff>9525</xdr:rowOff>
        </xdr:from>
        <xdr:to>
          <xdr:col>3</xdr:col>
          <xdr:colOff>95250</xdr:colOff>
          <xdr:row>536</xdr:row>
          <xdr:rowOff>485775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DF4EBC1C-8A5B-43A9-B0D1-E237BA8EA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537</xdr:row>
          <xdr:rowOff>9525</xdr:rowOff>
        </xdr:from>
        <xdr:to>
          <xdr:col>3</xdr:col>
          <xdr:colOff>95250</xdr:colOff>
          <xdr:row>537</xdr:row>
          <xdr:rowOff>485775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26B5945F-09C0-4E95-B24F-11BFBEAF6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538</xdr:row>
          <xdr:rowOff>9525</xdr:rowOff>
        </xdr:from>
        <xdr:to>
          <xdr:col>3</xdr:col>
          <xdr:colOff>95250</xdr:colOff>
          <xdr:row>538</xdr:row>
          <xdr:rowOff>485775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A2187535-CF55-4E1D-972D-5095082B8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539</xdr:row>
          <xdr:rowOff>9525</xdr:rowOff>
        </xdr:from>
        <xdr:to>
          <xdr:col>3</xdr:col>
          <xdr:colOff>95250</xdr:colOff>
          <xdr:row>539</xdr:row>
          <xdr:rowOff>485775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D40EE5BF-0B05-426E-A7A5-FF8962351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540</xdr:row>
          <xdr:rowOff>9525</xdr:rowOff>
        </xdr:from>
        <xdr:to>
          <xdr:col>3</xdr:col>
          <xdr:colOff>95250</xdr:colOff>
          <xdr:row>540</xdr:row>
          <xdr:rowOff>485775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E6036CEA-65EA-489F-85E0-1FBE65219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541</xdr:row>
          <xdr:rowOff>9525</xdr:rowOff>
        </xdr:from>
        <xdr:to>
          <xdr:col>3</xdr:col>
          <xdr:colOff>95250</xdr:colOff>
          <xdr:row>541</xdr:row>
          <xdr:rowOff>485775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1A24266-E48F-4823-A722-9A5DDC805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542</xdr:row>
          <xdr:rowOff>9525</xdr:rowOff>
        </xdr:from>
        <xdr:to>
          <xdr:col>3</xdr:col>
          <xdr:colOff>95250</xdr:colOff>
          <xdr:row>542</xdr:row>
          <xdr:rowOff>485775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FFC6424F-EE4C-4A06-8DEE-98E1C1AF5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543</xdr:row>
          <xdr:rowOff>9525</xdr:rowOff>
        </xdr:from>
        <xdr:to>
          <xdr:col>3</xdr:col>
          <xdr:colOff>95250</xdr:colOff>
          <xdr:row>543</xdr:row>
          <xdr:rowOff>485775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9794D2B8-5B5B-4641-9D35-F3FB246AA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544</xdr:row>
          <xdr:rowOff>9525</xdr:rowOff>
        </xdr:from>
        <xdr:to>
          <xdr:col>3</xdr:col>
          <xdr:colOff>95250</xdr:colOff>
          <xdr:row>544</xdr:row>
          <xdr:rowOff>485775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421D7E6F-4AA3-4362-AA2E-844BDAEA8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545</xdr:row>
          <xdr:rowOff>9525</xdr:rowOff>
        </xdr:from>
        <xdr:to>
          <xdr:col>3</xdr:col>
          <xdr:colOff>95250</xdr:colOff>
          <xdr:row>545</xdr:row>
          <xdr:rowOff>485775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AF29AD29-2B06-4D69-BE4F-D5B161C3C4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546</xdr:row>
          <xdr:rowOff>9525</xdr:rowOff>
        </xdr:from>
        <xdr:to>
          <xdr:col>3</xdr:col>
          <xdr:colOff>95250</xdr:colOff>
          <xdr:row>546</xdr:row>
          <xdr:rowOff>485775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30BC35D-06A5-4833-95F6-409F9DE94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547</xdr:row>
          <xdr:rowOff>9525</xdr:rowOff>
        </xdr:from>
        <xdr:to>
          <xdr:col>3</xdr:col>
          <xdr:colOff>95250</xdr:colOff>
          <xdr:row>547</xdr:row>
          <xdr:rowOff>485775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FAF6E1E5-DE5C-45A7-893C-C8CF9DCC3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548</xdr:row>
          <xdr:rowOff>9525</xdr:rowOff>
        </xdr:from>
        <xdr:to>
          <xdr:col>3</xdr:col>
          <xdr:colOff>95250</xdr:colOff>
          <xdr:row>548</xdr:row>
          <xdr:rowOff>485775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36F2A6-3083-4DA5-BBDD-0CE69CB02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549</xdr:row>
          <xdr:rowOff>9525</xdr:rowOff>
        </xdr:from>
        <xdr:to>
          <xdr:col>3</xdr:col>
          <xdr:colOff>95250</xdr:colOff>
          <xdr:row>549</xdr:row>
          <xdr:rowOff>485775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4FCBC09A-7935-4119-8AB0-EC35CFB40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550</xdr:row>
          <xdr:rowOff>9525</xdr:rowOff>
        </xdr:from>
        <xdr:to>
          <xdr:col>3</xdr:col>
          <xdr:colOff>95250</xdr:colOff>
          <xdr:row>550</xdr:row>
          <xdr:rowOff>485775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8318E8FA-A459-4FB7-ABCC-6548DDBB0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551</xdr:row>
          <xdr:rowOff>9525</xdr:rowOff>
        </xdr:from>
        <xdr:to>
          <xdr:col>3</xdr:col>
          <xdr:colOff>95250</xdr:colOff>
          <xdr:row>551</xdr:row>
          <xdr:rowOff>485775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44A1F607-07BA-4D31-A15B-EB489C68E8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552</xdr:row>
          <xdr:rowOff>9525</xdr:rowOff>
        </xdr:from>
        <xdr:to>
          <xdr:col>3</xdr:col>
          <xdr:colOff>95250</xdr:colOff>
          <xdr:row>552</xdr:row>
          <xdr:rowOff>485775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78BBD329-7827-41CB-ADE5-9E9BB0E25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553</xdr:row>
          <xdr:rowOff>9525</xdr:rowOff>
        </xdr:from>
        <xdr:to>
          <xdr:col>3</xdr:col>
          <xdr:colOff>95250</xdr:colOff>
          <xdr:row>553</xdr:row>
          <xdr:rowOff>485775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8DA5B8E-245B-44B9-B0E3-A695A5CDC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554</xdr:row>
          <xdr:rowOff>9525</xdr:rowOff>
        </xdr:from>
        <xdr:to>
          <xdr:col>3</xdr:col>
          <xdr:colOff>95250</xdr:colOff>
          <xdr:row>554</xdr:row>
          <xdr:rowOff>485775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2EEB943D-DE58-4633-BC7F-2752BBBC5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555</xdr:row>
          <xdr:rowOff>9525</xdr:rowOff>
        </xdr:from>
        <xdr:to>
          <xdr:col>3</xdr:col>
          <xdr:colOff>95250</xdr:colOff>
          <xdr:row>555</xdr:row>
          <xdr:rowOff>485775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9489BB89-B793-408D-8B0E-4E510CB7C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556</xdr:row>
          <xdr:rowOff>9525</xdr:rowOff>
        </xdr:from>
        <xdr:to>
          <xdr:col>3</xdr:col>
          <xdr:colOff>95250</xdr:colOff>
          <xdr:row>556</xdr:row>
          <xdr:rowOff>485775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744B2614-7AD3-4FBB-A702-B97EEF77FA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557</xdr:row>
          <xdr:rowOff>9525</xdr:rowOff>
        </xdr:from>
        <xdr:to>
          <xdr:col>3</xdr:col>
          <xdr:colOff>95250</xdr:colOff>
          <xdr:row>557</xdr:row>
          <xdr:rowOff>485775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F361FF98-55C0-4C0C-BB38-D573B25A6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558</xdr:row>
          <xdr:rowOff>9525</xdr:rowOff>
        </xdr:from>
        <xdr:to>
          <xdr:col>3</xdr:col>
          <xdr:colOff>95250</xdr:colOff>
          <xdr:row>558</xdr:row>
          <xdr:rowOff>485775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5EC00AAA-9D21-4D62-BE35-857DC6C64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559</xdr:row>
          <xdr:rowOff>9525</xdr:rowOff>
        </xdr:from>
        <xdr:to>
          <xdr:col>3</xdr:col>
          <xdr:colOff>95250</xdr:colOff>
          <xdr:row>559</xdr:row>
          <xdr:rowOff>485775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95357CC6-995C-43A5-83EA-5A0BC1C53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560</xdr:row>
          <xdr:rowOff>9525</xdr:rowOff>
        </xdr:from>
        <xdr:to>
          <xdr:col>3</xdr:col>
          <xdr:colOff>95250</xdr:colOff>
          <xdr:row>560</xdr:row>
          <xdr:rowOff>485775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22C83E69-AB91-4E1D-8CFD-F6D7AC668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561</xdr:row>
          <xdr:rowOff>9525</xdr:rowOff>
        </xdr:from>
        <xdr:to>
          <xdr:col>3</xdr:col>
          <xdr:colOff>95250</xdr:colOff>
          <xdr:row>561</xdr:row>
          <xdr:rowOff>485775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5FB6C921-57F2-4218-9CB2-1CF0F4F76C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562</xdr:row>
          <xdr:rowOff>9525</xdr:rowOff>
        </xdr:from>
        <xdr:to>
          <xdr:col>3</xdr:col>
          <xdr:colOff>95250</xdr:colOff>
          <xdr:row>562</xdr:row>
          <xdr:rowOff>485775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FF2E2F52-A64B-4A4F-880B-856A01B13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563</xdr:row>
          <xdr:rowOff>9525</xdr:rowOff>
        </xdr:from>
        <xdr:to>
          <xdr:col>3</xdr:col>
          <xdr:colOff>95250</xdr:colOff>
          <xdr:row>563</xdr:row>
          <xdr:rowOff>485775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476052BD-29AC-4B2B-ACF9-AA79903CD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564</xdr:row>
          <xdr:rowOff>9525</xdr:rowOff>
        </xdr:from>
        <xdr:to>
          <xdr:col>3</xdr:col>
          <xdr:colOff>95250</xdr:colOff>
          <xdr:row>564</xdr:row>
          <xdr:rowOff>485775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FF48271D-DD02-4553-900E-4B7FE53C83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565</xdr:row>
          <xdr:rowOff>9525</xdr:rowOff>
        </xdr:from>
        <xdr:to>
          <xdr:col>3</xdr:col>
          <xdr:colOff>95250</xdr:colOff>
          <xdr:row>565</xdr:row>
          <xdr:rowOff>485775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E546F70-7505-4FCB-8C2D-EA655D1C0C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566</xdr:row>
          <xdr:rowOff>9525</xdr:rowOff>
        </xdr:from>
        <xdr:to>
          <xdr:col>3</xdr:col>
          <xdr:colOff>95250</xdr:colOff>
          <xdr:row>566</xdr:row>
          <xdr:rowOff>485775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97552E3D-ACD5-4466-83CA-8FFB05D4A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567</xdr:row>
          <xdr:rowOff>9525</xdr:rowOff>
        </xdr:from>
        <xdr:to>
          <xdr:col>3</xdr:col>
          <xdr:colOff>95250</xdr:colOff>
          <xdr:row>567</xdr:row>
          <xdr:rowOff>485775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D458E598-D359-4D33-959F-E502C770D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568</xdr:row>
          <xdr:rowOff>9525</xdr:rowOff>
        </xdr:from>
        <xdr:to>
          <xdr:col>3</xdr:col>
          <xdr:colOff>95250</xdr:colOff>
          <xdr:row>568</xdr:row>
          <xdr:rowOff>485775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D265B14D-AD00-42BC-9A70-965FAF490E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569</xdr:row>
          <xdr:rowOff>9525</xdr:rowOff>
        </xdr:from>
        <xdr:to>
          <xdr:col>3</xdr:col>
          <xdr:colOff>95250</xdr:colOff>
          <xdr:row>569</xdr:row>
          <xdr:rowOff>485775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895E74D1-1D5D-4B9A-849A-F363EE40C6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570</xdr:row>
          <xdr:rowOff>9525</xdr:rowOff>
        </xdr:from>
        <xdr:to>
          <xdr:col>3</xdr:col>
          <xdr:colOff>95250</xdr:colOff>
          <xdr:row>570</xdr:row>
          <xdr:rowOff>485775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359C59AE-E0C7-4554-A9C5-011B9888EF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571</xdr:row>
          <xdr:rowOff>9525</xdr:rowOff>
        </xdr:from>
        <xdr:to>
          <xdr:col>3</xdr:col>
          <xdr:colOff>95250</xdr:colOff>
          <xdr:row>571</xdr:row>
          <xdr:rowOff>485775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362CDE2-8158-452F-81ED-72D83E593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572</xdr:row>
          <xdr:rowOff>9525</xdr:rowOff>
        </xdr:from>
        <xdr:to>
          <xdr:col>3</xdr:col>
          <xdr:colOff>95250</xdr:colOff>
          <xdr:row>572</xdr:row>
          <xdr:rowOff>485775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E35F615B-0BC3-440B-977E-FA07BBFA5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573</xdr:row>
          <xdr:rowOff>9525</xdr:rowOff>
        </xdr:from>
        <xdr:to>
          <xdr:col>3</xdr:col>
          <xdr:colOff>95250</xdr:colOff>
          <xdr:row>573</xdr:row>
          <xdr:rowOff>485775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44C26D7C-BA91-4F29-AA46-43F4AA58C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574</xdr:row>
          <xdr:rowOff>9525</xdr:rowOff>
        </xdr:from>
        <xdr:to>
          <xdr:col>3</xdr:col>
          <xdr:colOff>95250</xdr:colOff>
          <xdr:row>574</xdr:row>
          <xdr:rowOff>485775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AF5FC18B-C3A7-4A9A-9C0D-3CD235FD5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575</xdr:row>
          <xdr:rowOff>9525</xdr:rowOff>
        </xdr:from>
        <xdr:to>
          <xdr:col>3</xdr:col>
          <xdr:colOff>95250</xdr:colOff>
          <xdr:row>575</xdr:row>
          <xdr:rowOff>485775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5CF5C53F-1B58-4FDE-9338-81BC5B73A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576</xdr:row>
          <xdr:rowOff>9525</xdr:rowOff>
        </xdr:from>
        <xdr:to>
          <xdr:col>3</xdr:col>
          <xdr:colOff>95250</xdr:colOff>
          <xdr:row>576</xdr:row>
          <xdr:rowOff>485775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A50F280A-D500-4D13-B0BB-0580CF2A9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577</xdr:row>
          <xdr:rowOff>9525</xdr:rowOff>
        </xdr:from>
        <xdr:to>
          <xdr:col>3</xdr:col>
          <xdr:colOff>95250</xdr:colOff>
          <xdr:row>577</xdr:row>
          <xdr:rowOff>485775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2335B349-6435-49CB-94D6-861A1B96E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578</xdr:row>
          <xdr:rowOff>9525</xdr:rowOff>
        </xdr:from>
        <xdr:to>
          <xdr:col>3</xdr:col>
          <xdr:colOff>95250</xdr:colOff>
          <xdr:row>578</xdr:row>
          <xdr:rowOff>485775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2BC8CED7-8B14-4A34-8AE2-5EEC1EAEE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579</xdr:row>
          <xdr:rowOff>9525</xdr:rowOff>
        </xdr:from>
        <xdr:to>
          <xdr:col>3</xdr:col>
          <xdr:colOff>95250</xdr:colOff>
          <xdr:row>579</xdr:row>
          <xdr:rowOff>485775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F7B33802-44CE-401C-985C-86F8C836B6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580</xdr:row>
          <xdr:rowOff>9525</xdr:rowOff>
        </xdr:from>
        <xdr:to>
          <xdr:col>3</xdr:col>
          <xdr:colOff>95250</xdr:colOff>
          <xdr:row>580</xdr:row>
          <xdr:rowOff>485775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21B3864-C317-49BF-B84D-14CEE861E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581</xdr:row>
          <xdr:rowOff>9525</xdr:rowOff>
        </xdr:from>
        <xdr:to>
          <xdr:col>3</xdr:col>
          <xdr:colOff>95250</xdr:colOff>
          <xdr:row>581</xdr:row>
          <xdr:rowOff>485775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D200FF9B-DABA-4EDB-8F1C-9DFCCDD11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582</xdr:row>
          <xdr:rowOff>9525</xdr:rowOff>
        </xdr:from>
        <xdr:to>
          <xdr:col>3</xdr:col>
          <xdr:colOff>95250</xdr:colOff>
          <xdr:row>582</xdr:row>
          <xdr:rowOff>485775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F97CB521-A66F-403D-955C-D89AEBE23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583</xdr:row>
          <xdr:rowOff>9525</xdr:rowOff>
        </xdr:from>
        <xdr:to>
          <xdr:col>3</xdr:col>
          <xdr:colOff>95250</xdr:colOff>
          <xdr:row>583</xdr:row>
          <xdr:rowOff>485775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B31902D-7275-44A5-951A-5F45A2F42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584</xdr:row>
          <xdr:rowOff>9525</xdr:rowOff>
        </xdr:from>
        <xdr:to>
          <xdr:col>3</xdr:col>
          <xdr:colOff>95250</xdr:colOff>
          <xdr:row>584</xdr:row>
          <xdr:rowOff>485775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A64B92D6-90C1-4B56-8E05-94421E3BE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585</xdr:row>
          <xdr:rowOff>9525</xdr:rowOff>
        </xdr:from>
        <xdr:to>
          <xdr:col>3</xdr:col>
          <xdr:colOff>95250</xdr:colOff>
          <xdr:row>585</xdr:row>
          <xdr:rowOff>485775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435F8881-96CC-4905-83BB-5FC444198A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586</xdr:row>
          <xdr:rowOff>9525</xdr:rowOff>
        </xdr:from>
        <xdr:to>
          <xdr:col>3</xdr:col>
          <xdr:colOff>95250</xdr:colOff>
          <xdr:row>586</xdr:row>
          <xdr:rowOff>485775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E03DFB41-2502-41A0-96CA-489C30ECE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587</xdr:row>
          <xdr:rowOff>9525</xdr:rowOff>
        </xdr:from>
        <xdr:to>
          <xdr:col>3</xdr:col>
          <xdr:colOff>95250</xdr:colOff>
          <xdr:row>587</xdr:row>
          <xdr:rowOff>485775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89997B63-94D3-4F46-8592-A1F3B0078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588</xdr:row>
          <xdr:rowOff>9525</xdr:rowOff>
        </xdr:from>
        <xdr:to>
          <xdr:col>3</xdr:col>
          <xdr:colOff>95250</xdr:colOff>
          <xdr:row>588</xdr:row>
          <xdr:rowOff>485775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1A4DC40E-2D8C-4D40-BCD5-18352A5077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589</xdr:row>
          <xdr:rowOff>9525</xdr:rowOff>
        </xdr:from>
        <xdr:to>
          <xdr:col>3</xdr:col>
          <xdr:colOff>95250</xdr:colOff>
          <xdr:row>589</xdr:row>
          <xdr:rowOff>485775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7188D71D-E2F9-4F5A-8C14-8FA967386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590</xdr:row>
          <xdr:rowOff>9525</xdr:rowOff>
        </xdr:from>
        <xdr:to>
          <xdr:col>3</xdr:col>
          <xdr:colOff>95250</xdr:colOff>
          <xdr:row>590</xdr:row>
          <xdr:rowOff>485775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867B1CF7-6D7D-4CAD-B346-5946D8B7E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591</xdr:row>
          <xdr:rowOff>9525</xdr:rowOff>
        </xdr:from>
        <xdr:to>
          <xdr:col>3</xdr:col>
          <xdr:colOff>95250</xdr:colOff>
          <xdr:row>591</xdr:row>
          <xdr:rowOff>485775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400A5A72-CA53-493D-928D-EAE71A9C7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592</xdr:row>
          <xdr:rowOff>9525</xdr:rowOff>
        </xdr:from>
        <xdr:to>
          <xdr:col>3</xdr:col>
          <xdr:colOff>95250</xdr:colOff>
          <xdr:row>592</xdr:row>
          <xdr:rowOff>485775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75475F78-8F4E-4994-9D35-33E76AE85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593</xdr:row>
          <xdr:rowOff>9525</xdr:rowOff>
        </xdr:from>
        <xdr:to>
          <xdr:col>3</xdr:col>
          <xdr:colOff>95250</xdr:colOff>
          <xdr:row>593</xdr:row>
          <xdr:rowOff>485775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85F9CEE1-3642-48BC-81D8-8E4AB9099E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594</xdr:row>
          <xdr:rowOff>9525</xdr:rowOff>
        </xdr:from>
        <xdr:to>
          <xdr:col>3</xdr:col>
          <xdr:colOff>95250</xdr:colOff>
          <xdr:row>594</xdr:row>
          <xdr:rowOff>485775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33E28B47-5F18-4298-854C-FF897139C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595</xdr:row>
          <xdr:rowOff>9525</xdr:rowOff>
        </xdr:from>
        <xdr:to>
          <xdr:col>3</xdr:col>
          <xdr:colOff>95250</xdr:colOff>
          <xdr:row>595</xdr:row>
          <xdr:rowOff>485775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253042C1-BDEC-460C-B713-103D45B982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596</xdr:row>
          <xdr:rowOff>9525</xdr:rowOff>
        </xdr:from>
        <xdr:to>
          <xdr:col>3</xdr:col>
          <xdr:colOff>95250</xdr:colOff>
          <xdr:row>596</xdr:row>
          <xdr:rowOff>485775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4D93F31B-13A8-4318-9A4D-4FED68341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597</xdr:row>
          <xdr:rowOff>9525</xdr:rowOff>
        </xdr:from>
        <xdr:to>
          <xdr:col>3</xdr:col>
          <xdr:colOff>95250</xdr:colOff>
          <xdr:row>597</xdr:row>
          <xdr:rowOff>485775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A099B396-866C-43AC-9192-43A087E299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598</xdr:row>
          <xdr:rowOff>9525</xdr:rowOff>
        </xdr:from>
        <xdr:to>
          <xdr:col>3</xdr:col>
          <xdr:colOff>95250</xdr:colOff>
          <xdr:row>598</xdr:row>
          <xdr:rowOff>485775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29D14EE9-BA7E-4BE3-A0EA-C492A22B3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599</xdr:row>
          <xdr:rowOff>9525</xdr:rowOff>
        </xdr:from>
        <xdr:to>
          <xdr:col>3</xdr:col>
          <xdr:colOff>95250</xdr:colOff>
          <xdr:row>599</xdr:row>
          <xdr:rowOff>485775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835AEB4-7477-4621-9F3D-AC94D6954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600</xdr:row>
          <xdr:rowOff>9525</xdr:rowOff>
        </xdr:from>
        <xdr:to>
          <xdr:col>3</xdr:col>
          <xdr:colOff>95250</xdr:colOff>
          <xdr:row>600</xdr:row>
          <xdr:rowOff>485775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E7DB29B2-0C88-4BEC-9D46-EE3BE0BB4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601</xdr:row>
          <xdr:rowOff>9525</xdr:rowOff>
        </xdr:from>
        <xdr:to>
          <xdr:col>3</xdr:col>
          <xdr:colOff>95250</xdr:colOff>
          <xdr:row>601</xdr:row>
          <xdr:rowOff>485775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E8F7DB69-B37E-4389-9B32-237DFC62FD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602</xdr:row>
          <xdr:rowOff>9525</xdr:rowOff>
        </xdr:from>
        <xdr:to>
          <xdr:col>3</xdr:col>
          <xdr:colOff>95250</xdr:colOff>
          <xdr:row>602</xdr:row>
          <xdr:rowOff>485775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629722F0-2685-4B80-82E7-F02D2F698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603</xdr:row>
          <xdr:rowOff>9525</xdr:rowOff>
        </xdr:from>
        <xdr:to>
          <xdr:col>3</xdr:col>
          <xdr:colOff>95250</xdr:colOff>
          <xdr:row>603</xdr:row>
          <xdr:rowOff>485775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D63F8804-F7DC-4219-B8C2-0750BA183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604</xdr:row>
          <xdr:rowOff>9525</xdr:rowOff>
        </xdr:from>
        <xdr:to>
          <xdr:col>3</xdr:col>
          <xdr:colOff>95250</xdr:colOff>
          <xdr:row>604</xdr:row>
          <xdr:rowOff>485775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F341E3C-3C35-4CC5-854D-0978F342D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605</xdr:row>
          <xdr:rowOff>9525</xdr:rowOff>
        </xdr:from>
        <xdr:to>
          <xdr:col>3</xdr:col>
          <xdr:colOff>95250</xdr:colOff>
          <xdr:row>605</xdr:row>
          <xdr:rowOff>485775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7C892D5D-97FC-4665-8824-DEED4D82F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606</xdr:row>
          <xdr:rowOff>9525</xdr:rowOff>
        </xdr:from>
        <xdr:to>
          <xdr:col>3</xdr:col>
          <xdr:colOff>95250</xdr:colOff>
          <xdr:row>606</xdr:row>
          <xdr:rowOff>485775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2CB5E291-C071-4681-A2B2-174EDC0606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607</xdr:row>
          <xdr:rowOff>9525</xdr:rowOff>
        </xdr:from>
        <xdr:to>
          <xdr:col>3</xdr:col>
          <xdr:colOff>95250</xdr:colOff>
          <xdr:row>607</xdr:row>
          <xdr:rowOff>485775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3ABFF24E-AF83-46FF-8BB4-449EF7DB3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608</xdr:row>
          <xdr:rowOff>9525</xdr:rowOff>
        </xdr:from>
        <xdr:to>
          <xdr:col>3</xdr:col>
          <xdr:colOff>95250</xdr:colOff>
          <xdr:row>608</xdr:row>
          <xdr:rowOff>485775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84595862-AA66-4748-84A3-3D7908F66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609</xdr:row>
          <xdr:rowOff>9525</xdr:rowOff>
        </xdr:from>
        <xdr:to>
          <xdr:col>3</xdr:col>
          <xdr:colOff>95250</xdr:colOff>
          <xdr:row>609</xdr:row>
          <xdr:rowOff>485775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20AF1C51-D3F3-44DC-833C-724449DB2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610</xdr:row>
          <xdr:rowOff>9525</xdr:rowOff>
        </xdr:from>
        <xdr:to>
          <xdr:col>3</xdr:col>
          <xdr:colOff>95250</xdr:colOff>
          <xdr:row>610</xdr:row>
          <xdr:rowOff>485775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E4458CCB-FC40-4FCF-AD39-7467BF5D7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611</xdr:row>
          <xdr:rowOff>9525</xdr:rowOff>
        </xdr:from>
        <xdr:to>
          <xdr:col>3</xdr:col>
          <xdr:colOff>95250</xdr:colOff>
          <xdr:row>611</xdr:row>
          <xdr:rowOff>485775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860815E7-6A24-49AD-B3F6-08BB7B9190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612</xdr:row>
          <xdr:rowOff>9525</xdr:rowOff>
        </xdr:from>
        <xdr:to>
          <xdr:col>3</xdr:col>
          <xdr:colOff>95250</xdr:colOff>
          <xdr:row>612</xdr:row>
          <xdr:rowOff>485775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75A67FD5-6136-4DE1-9B89-2DAA75C84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613</xdr:row>
          <xdr:rowOff>9525</xdr:rowOff>
        </xdr:from>
        <xdr:to>
          <xdr:col>3</xdr:col>
          <xdr:colOff>95250</xdr:colOff>
          <xdr:row>613</xdr:row>
          <xdr:rowOff>485775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C06C7337-2BF7-4921-90C8-D5180403E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614</xdr:row>
          <xdr:rowOff>9525</xdr:rowOff>
        </xdr:from>
        <xdr:to>
          <xdr:col>3</xdr:col>
          <xdr:colOff>95250</xdr:colOff>
          <xdr:row>614</xdr:row>
          <xdr:rowOff>485775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6915403C-D2C7-4D22-8761-3D7234FFE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615</xdr:row>
          <xdr:rowOff>9525</xdr:rowOff>
        </xdr:from>
        <xdr:to>
          <xdr:col>3</xdr:col>
          <xdr:colOff>95250</xdr:colOff>
          <xdr:row>615</xdr:row>
          <xdr:rowOff>485775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D0710DC1-F479-4194-A0AD-D45583C8E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616</xdr:row>
          <xdr:rowOff>9525</xdr:rowOff>
        </xdr:from>
        <xdr:to>
          <xdr:col>3</xdr:col>
          <xdr:colOff>95250</xdr:colOff>
          <xdr:row>616</xdr:row>
          <xdr:rowOff>485775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E0046FE4-FE5E-46EA-9AFA-EBB9ADA8F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617</xdr:row>
          <xdr:rowOff>9525</xdr:rowOff>
        </xdr:from>
        <xdr:to>
          <xdr:col>3</xdr:col>
          <xdr:colOff>95250</xdr:colOff>
          <xdr:row>617</xdr:row>
          <xdr:rowOff>485775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20C3432A-8BCC-4718-806C-1DB17EE76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618</xdr:row>
          <xdr:rowOff>9525</xdr:rowOff>
        </xdr:from>
        <xdr:to>
          <xdr:col>3</xdr:col>
          <xdr:colOff>95250</xdr:colOff>
          <xdr:row>618</xdr:row>
          <xdr:rowOff>485775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CDA5C225-A825-4A0F-BA2B-2149BAD47E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619</xdr:row>
          <xdr:rowOff>9525</xdr:rowOff>
        </xdr:from>
        <xdr:to>
          <xdr:col>3</xdr:col>
          <xdr:colOff>95250</xdr:colOff>
          <xdr:row>619</xdr:row>
          <xdr:rowOff>485775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4CC40F9A-9196-47B1-BC1F-7F9204B79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620</xdr:row>
          <xdr:rowOff>9525</xdr:rowOff>
        </xdr:from>
        <xdr:to>
          <xdr:col>3</xdr:col>
          <xdr:colOff>95250</xdr:colOff>
          <xdr:row>620</xdr:row>
          <xdr:rowOff>485775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74B6BC95-02AB-4A81-90C8-B86456CD8B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621</xdr:row>
          <xdr:rowOff>9525</xdr:rowOff>
        </xdr:from>
        <xdr:to>
          <xdr:col>3</xdr:col>
          <xdr:colOff>95250</xdr:colOff>
          <xdr:row>621</xdr:row>
          <xdr:rowOff>485775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55DCA36A-5400-4992-84F1-9E8B87A13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622</xdr:row>
          <xdr:rowOff>9525</xdr:rowOff>
        </xdr:from>
        <xdr:to>
          <xdr:col>3</xdr:col>
          <xdr:colOff>95250</xdr:colOff>
          <xdr:row>622</xdr:row>
          <xdr:rowOff>485775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5A5B96F5-C801-4673-B6F2-455EC75FD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623</xdr:row>
          <xdr:rowOff>9525</xdr:rowOff>
        </xdr:from>
        <xdr:to>
          <xdr:col>3</xdr:col>
          <xdr:colOff>95250</xdr:colOff>
          <xdr:row>623</xdr:row>
          <xdr:rowOff>485775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2F1ADC07-61DD-4C81-A88A-84BFDA8E0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624</xdr:row>
          <xdr:rowOff>9525</xdr:rowOff>
        </xdr:from>
        <xdr:to>
          <xdr:col>3</xdr:col>
          <xdr:colOff>95250</xdr:colOff>
          <xdr:row>624</xdr:row>
          <xdr:rowOff>485775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DD0942A9-786A-4394-B64B-2DB40CA4A5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625</xdr:row>
          <xdr:rowOff>9525</xdr:rowOff>
        </xdr:from>
        <xdr:to>
          <xdr:col>3</xdr:col>
          <xdr:colOff>95250</xdr:colOff>
          <xdr:row>625</xdr:row>
          <xdr:rowOff>485775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3C88E8C3-0F2B-4FCF-9C08-416AD44750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626</xdr:row>
          <xdr:rowOff>9525</xdr:rowOff>
        </xdr:from>
        <xdr:to>
          <xdr:col>3</xdr:col>
          <xdr:colOff>95250</xdr:colOff>
          <xdr:row>626</xdr:row>
          <xdr:rowOff>485775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96D2A96D-19D2-4D0E-A54C-022A121A4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627</xdr:row>
          <xdr:rowOff>9525</xdr:rowOff>
        </xdr:from>
        <xdr:to>
          <xdr:col>3</xdr:col>
          <xdr:colOff>95250</xdr:colOff>
          <xdr:row>627</xdr:row>
          <xdr:rowOff>485775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ACDCA7B5-3E11-46C0-BCA1-12D198D81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628</xdr:row>
          <xdr:rowOff>9525</xdr:rowOff>
        </xdr:from>
        <xdr:to>
          <xdr:col>3</xdr:col>
          <xdr:colOff>95250</xdr:colOff>
          <xdr:row>628</xdr:row>
          <xdr:rowOff>485775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44647543-C5C0-4AF5-9DE1-F56804824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629</xdr:row>
          <xdr:rowOff>9525</xdr:rowOff>
        </xdr:from>
        <xdr:to>
          <xdr:col>3</xdr:col>
          <xdr:colOff>95250</xdr:colOff>
          <xdr:row>629</xdr:row>
          <xdr:rowOff>485775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7B13A04C-7994-4561-900C-A226AE903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630</xdr:row>
          <xdr:rowOff>9525</xdr:rowOff>
        </xdr:from>
        <xdr:to>
          <xdr:col>3</xdr:col>
          <xdr:colOff>95250</xdr:colOff>
          <xdr:row>630</xdr:row>
          <xdr:rowOff>485775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51718697-AA10-408B-A086-59295405CC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631</xdr:row>
          <xdr:rowOff>9525</xdr:rowOff>
        </xdr:from>
        <xdr:to>
          <xdr:col>3</xdr:col>
          <xdr:colOff>95250</xdr:colOff>
          <xdr:row>631</xdr:row>
          <xdr:rowOff>485775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9BA95AEC-1030-456E-9CBC-E2BCFA170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632</xdr:row>
          <xdr:rowOff>9525</xdr:rowOff>
        </xdr:from>
        <xdr:to>
          <xdr:col>3</xdr:col>
          <xdr:colOff>95250</xdr:colOff>
          <xdr:row>632</xdr:row>
          <xdr:rowOff>485775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8CCE7768-5843-4E41-89B1-D042AC9DAC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633</xdr:row>
          <xdr:rowOff>9525</xdr:rowOff>
        </xdr:from>
        <xdr:to>
          <xdr:col>3</xdr:col>
          <xdr:colOff>95250</xdr:colOff>
          <xdr:row>633</xdr:row>
          <xdr:rowOff>485775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5837839D-9359-4B33-B214-E3FC730AA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634</xdr:row>
          <xdr:rowOff>9525</xdr:rowOff>
        </xdr:from>
        <xdr:to>
          <xdr:col>3</xdr:col>
          <xdr:colOff>95250</xdr:colOff>
          <xdr:row>634</xdr:row>
          <xdr:rowOff>485775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DF82BF83-769A-4EDF-A5EE-EEC21C5964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635</xdr:row>
          <xdr:rowOff>9525</xdr:rowOff>
        </xdr:from>
        <xdr:to>
          <xdr:col>3</xdr:col>
          <xdr:colOff>95250</xdr:colOff>
          <xdr:row>635</xdr:row>
          <xdr:rowOff>485775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59322524-80C0-4DD0-93EB-258FFD0DE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636</xdr:row>
          <xdr:rowOff>9525</xdr:rowOff>
        </xdr:from>
        <xdr:to>
          <xdr:col>3</xdr:col>
          <xdr:colOff>95250</xdr:colOff>
          <xdr:row>636</xdr:row>
          <xdr:rowOff>485775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19977437-BF34-428C-85D7-E63909D02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637</xdr:row>
          <xdr:rowOff>9525</xdr:rowOff>
        </xdr:from>
        <xdr:to>
          <xdr:col>3</xdr:col>
          <xdr:colOff>95250</xdr:colOff>
          <xdr:row>637</xdr:row>
          <xdr:rowOff>485775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E6323434-77A3-4D06-AC35-2575CD4E2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638</xdr:row>
          <xdr:rowOff>9525</xdr:rowOff>
        </xdr:from>
        <xdr:to>
          <xdr:col>3</xdr:col>
          <xdr:colOff>95250</xdr:colOff>
          <xdr:row>638</xdr:row>
          <xdr:rowOff>485775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F2DB7DFD-2691-490B-9927-96E4521FFA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639</xdr:row>
          <xdr:rowOff>9525</xdr:rowOff>
        </xdr:from>
        <xdr:to>
          <xdr:col>3</xdr:col>
          <xdr:colOff>95250</xdr:colOff>
          <xdr:row>639</xdr:row>
          <xdr:rowOff>485775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F799806A-0FFB-44AA-A33B-376AB9C19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640</xdr:row>
          <xdr:rowOff>9525</xdr:rowOff>
        </xdr:from>
        <xdr:to>
          <xdr:col>3</xdr:col>
          <xdr:colOff>95250</xdr:colOff>
          <xdr:row>640</xdr:row>
          <xdr:rowOff>485775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C25D6E22-8B96-4F45-AD9A-244A4D445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641</xdr:row>
          <xdr:rowOff>9525</xdr:rowOff>
        </xdr:from>
        <xdr:to>
          <xdr:col>3</xdr:col>
          <xdr:colOff>95250</xdr:colOff>
          <xdr:row>641</xdr:row>
          <xdr:rowOff>485775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7385EB08-DC24-425B-A825-966CF3C9AF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642</xdr:row>
          <xdr:rowOff>9525</xdr:rowOff>
        </xdr:from>
        <xdr:to>
          <xdr:col>3</xdr:col>
          <xdr:colOff>95250</xdr:colOff>
          <xdr:row>642</xdr:row>
          <xdr:rowOff>485775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A45671DF-603D-412C-88FD-68CB07075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643</xdr:row>
          <xdr:rowOff>9525</xdr:rowOff>
        </xdr:from>
        <xdr:to>
          <xdr:col>3</xdr:col>
          <xdr:colOff>95250</xdr:colOff>
          <xdr:row>643</xdr:row>
          <xdr:rowOff>485775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7FA923BB-4D00-4F4F-9613-0DD2D285A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644</xdr:row>
          <xdr:rowOff>9525</xdr:rowOff>
        </xdr:from>
        <xdr:to>
          <xdr:col>3</xdr:col>
          <xdr:colOff>95250</xdr:colOff>
          <xdr:row>644</xdr:row>
          <xdr:rowOff>485775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AB0C0B0D-99C1-4F28-955A-CF88815A5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645</xdr:row>
          <xdr:rowOff>9525</xdr:rowOff>
        </xdr:from>
        <xdr:to>
          <xdr:col>3</xdr:col>
          <xdr:colOff>95250</xdr:colOff>
          <xdr:row>645</xdr:row>
          <xdr:rowOff>485775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DA845BAA-03FB-4386-8191-FE662A448B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646</xdr:row>
          <xdr:rowOff>9525</xdr:rowOff>
        </xdr:from>
        <xdr:to>
          <xdr:col>3</xdr:col>
          <xdr:colOff>95250</xdr:colOff>
          <xdr:row>646</xdr:row>
          <xdr:rowOff>485775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3A400B7B-00E7-4DA1-A6D1-0959396E52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647</xdr:row>
          <xdr:rowOff>9525</xdr:rowOff>
        </xdr:from>
        <xdr:to>
          <xdr:col>3</xdr:col>
          <xdr:colOff>95250</xdr:colOff>
          <xdr:row>647</xdr:row>
          <xdr:rowOff>485775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A84CD418-7FFD-434F-ABC0-1006B71CD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648</xdr:row>
          <xdr:rowOff>9525</xdr:rowOff>
        </xdr:from>
        <xdr:to>
          <xdr:col>3</xdr:col>
          <xdr:colOff>95250</xdr:colOff>
          <xdr:row>648</xdr:row>
          <xdr:rowOff>485775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B7C7CE7E-C505-439E-92A3-8C1EE1697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649</xdr:row>
          <xdr:rowOff>9525</xdr:rowOff>
        </xdr:from>
        <xdr:to>
          <xdr:col>3</xdr:col>
          <xdr:colOff>95250</xdr:colOff>
          <xdr:row>649</xdr:row>
          <xdr:rowOff>485775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93D57091-A457-4E01-AEE2-9E94D23845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650</xdr:row>
          <xdr:rowOff>9525</xdr:rowOff>
        </xdr:from>
        <xdr:to>
          <xdr:col>3</xdr:col>
          <xdr:colOff>95250</xdr:colOff>
          <xdr:row>650</xdr:row>
          <xdr:rowOff>485775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745254E8-4978-4300-8F28-A6208FBD8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651</xdr:row>
          <xdr:rowOff>9525</xdr:rowOff>
        </xdr:from>
        <xdr:to>
          <xdr:col>3</xdr:col>
          <xdr:colOff>95250</xdr:colOff>
          <xdr:row>651</xdr:row>
          <xdr:rowOff>485775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67BE06A-D573-4477-A4EF-503F02D4F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652</xdr:row>
          <xdr:rowOff>9525</xdr:rowOff>
        </xdr:from>
        <xdr:to>
          <xdr:col>3</xdr:col>
          <xdr:colOff>95250</xdr:colOff>
          <xdr:row>652</xdr:row>
          <xdr:rowOff>485775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C18CE0E7-2FDF-4869-8413-84B994A44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653</xdr:row>
          <xdr:rowOff>9525</xdr:rowOff>
        </xdr:from>
        <xdr:to>
          <xdr:col>3</xdr:col>
          <xdr:colOff>95250</xdr:colOff>
          <xdr:row>653</xdr:row>
          <xdr:rowOff>485775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2EFFD1C7-251D-4CBA-A665-E58CED99C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654</xdr:row>
          <xdr:rowOff>9525</xdr:rowOff>
        </xdr:from>
        <xdr:to>
          <xdr:col>3</xdr:col>
          <xdr:colOff>95250</xdr:colOff>
          <xdr:row>654</xdr:row>
          <xdr:rowOff>485775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5108DDAC-9EF2-4A31-88F6-8DA233D2F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655</xdr:row>
          <xdr:rowOff>9525</xdr:rowOff>
        </xdr:from>
        <xdr:to>
          <xdr:col>3</xdr:col>
          <xdr:colOff>95250</xdr:colOff>
          <xdr:row>655</xdr:row>
          <xdr:rowOff>485775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AD3FB804-006A-4B37-A55C-DF397CF79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656</xdr:row>
          <xdr:rowOff>9525</xdr:rowOff>
        </xdr:from>
        <xdr:to>
          <xdr:col>3</xdr:col>
          <xdr:colOff>95250</xdr:colOff>
          <xdr:row>656</xdr:row>
          <xdr:rowOff>485775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BD866BB2-4535-4E8D-B872-15F8D5A19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657</xdr:row>
          <xdr:rowOff>9525</xdr:rowOff>
        </xdr:from>
        <xdr:to>
          <xdr:col>3</xdr:col>
          <xdr:colOff>95250</xdr:colOff>
          <xdr:row>657</xdr:row>
          <xdr:rowOff>485775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DE2C215D-62D3-4CB6-A82E-771CC9ADD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658</xdr:row>
          <xdr:rowOff>9525</xdr:rowOff>
        </xdr:from>
        <xdr:to>
          <xdr:col>3</xdr:col>
          <xdr:colOff>95250</xdr:colOff>
          <xdr:row>658</xdr:row>
          <xdr:rowOff>485775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3E60FE88-8060-4277-8890-78BD29AB0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659</xdr:row>
          <xdr:rowOff>9525</xdr:rowOff>
        </xdr:from>
        <xdr:to>
          <xdr:col>3</xdr:col>
          <xdr:colOff>95250</xdr:colOff>
          <xdr:row>659</xdr:row>
          <xdr:rowOff>485775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B05A6281-56D5-41C4-9847-34824C954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660</xdr:row>
          <xdr:rowOff>9525</xdr:rowOff>
        </xdr:from>
        <xdr:to>
          <xdr:col>3</xdr:col>
          <xdr:colOff>95250</xdr:colOff>
          <xdr:row>660</xdr:row>
          <xdr:rowOff>485775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500458C4-4276-4A27-906A-4DFEBB9D10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661</xdr:row>
          <xdr:rowOff>9525</xdr:rowOff>
        </xdr:from>
        <xdr:to>
          <xdr:col>3</xdr:col>
          <xdr:colOff>95250</xdr:colOff>
          <xdr:row>661</xdr:row>
          <xdr:rowOff>485775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94ABA89B-BAEB-4E0A-9DAB-4144B20E5B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662</xdr:row>
          <xdr:rowOff>9525</xdr:rowOff>
        </xdr:from>
        <xdr:to>
          <xdr:col>3</xdr:col>
          <xdr:colOff>95250</xdr:colOff>
          <xdr:row>662</xdr:row>
          <xdr:rowOff>485775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35880B15-0D67-4ACB-84BD-5FFF45B74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663</xdr:row>
          <xdr:rowOff>9525</xdr:rowOff>
        </xdr:from>
        <xdr:to>
          <xdr:col>3</xdr:col>
          <xdr:colOff>95250</xdr:colOff>
          <xdr:row>663</xdr:row>
          <xdr:rowOff>485775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FF93CB0D-B6E7-48E4-BFAE-C4B088739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664</xdr:row>
          <xdr:rowOff>9525</xdr:rowOff>
        </xdr:from>
        <xdr:to>
          <xdr:col>3</xdr:col>
          <xdr:colOff>95250</xdr:colOff>
          <xdr:row>664</xdr:row>
          <xdr:rowOff>485775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632CE116-14B3-4D43-8A51-EEB814B79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665</xdr:row>
          <xdr:rowOff>9525</xdr:rowOff>
        </xdr:from>
        <xdr:to>
          <xdr:col>3</xdr:col>
          <xdr:colOff>95250</xdr:colOff>
          <xdr:row>665</xdr:row>
          <xdr:rowOff>485775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D495858D-8FE6-4886-BC47-39E916014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666</xdr:row>
          <xdr:rowOff>9525</xdr:rowOff>
        </xdr:from>
        <xdr:to>
          <xdr:col>3</xdr:col>
          <xdr:colOff>95250</xdr:colOff>
          <xdr:row>666</xdr:row>
          <xdr:rowOff>485775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D81B8BA5-6884-418F-8C38-4E3BF2D5E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667</xdr:row>
          <xdr:rowOff>9525</xdr:rowOff>
        </xdr:from>
        <xdr:to>
          <xdr:col>3</xdr:col>
          <xdr:colOff>95250</xdr:colOff>
          <xdr:row>667</xdr:row>
          <xdr:rowOff>485775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1B309146-8E12-4D7E-8F8C-0A2C4E99A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668</xdr:row>
          <xdr:rowOff>9525</xdr:rowOff>
        </xdr:from>
        <xdr:to>
          <xdr:col>3</xdr:col>
          <xdr:colOff>95250</xdr:colOff>
          <xdr:row>668</xdr:row>
          <xdr:rowOff>485775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C2321C0-497B-48B7-BB75-96F8ADEEEF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669</xdr:row>
          <xdr:rowOff>9525</xdr:rowOff>
        </xdr:from>
        <xdr:to>
          <xdr:col>3</xdr:col>
          <xdr:colOff>95250</xdr:colOff>
          <xdr:row>669</xdr:row>
          <xdr:rowOff>485775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69406038-62FB-411B-B48D-7409B9F3B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670</xdr:row>
          <xdr:rowOff>9525</xdr:rowOff>
        </xdr:from>
        <xdr:to>
          <xdr:col>3</xdr:col>
          <xdr:colOff>95250</xdr:colOff>
          <xdr:row>670</xdr:row>
          <xdr:rowOff>485775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7664B8E5-E0F5-41E5-9E0E-18AC6C7E8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671</xdr:row>
          <xdr:rowOff>9525</xdr:rowOff>
        </xdr:from>
        <xdr:to>
          <xdr:col>3</xdr:col>
          <xdr:colOff>95250</xdr:colOff>
          <xdr:row>671</xdr:row>
          <xdr:rowOff>485775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C065DB7D-3E8B-40FD-B300-1AF8D9F1B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672</xdr:row>
          <xdr:rowOff>9525</xdr:rowOff>
        </xdr:from>
        <xdr:to>
          <xdr:col>3</xdr:col>
          <xdr:colOff>95250</xdr:colOff>
          <xdr:row>672</xdr:row>
          <xdr:rowOff>485775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1ACE5341-D000-46B9-A8B4-495F52FFC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673</xdr:row>
          <xdr:rowOff>9525</xdr:rowOff>
        </xdr:from>
        <xdr:to>
          <xdr:col>3</xdr:col>
          <xdr:colOff>95250</xdr:colOff>
          <xdr:row>673</xdr:row>
          <xdr:rowOff>485775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A4819900-A8C0-4314-99CE-65EA6E855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674</xdr:row>
          <xdr:rowOff>9525</xdr:rowOff>
        </xdr:from>
        <xdr:to>
          <xdr:col>3</xdr:col>
          <xdr:colOff>95250</xdr:colOff>
          <xdr:row>674</xdr:row>
          <xdr:rowOff>485775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81162232-E307-4EFC-9AA4-DD11BEE233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21" Type="http://schemas.openxmlformats.org/officeDocument/2006/relationships/ctrlProp" Target="../ctrlProps/ctrlProp19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70" Type="http://schemas.openxmlformats.org/officeDocument/2006/relationships/ctrlProp" Target="../ctrlProps/ctrlProp168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32" Type="http://schemas.openxmlformats.org/officeDocument/2006/relationships/ctrlProp" Target="../ctrlProps/ctrlProp3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181" Type="http://schemas.openxmlformats.org/officeDocument/2006/relationships/ctrlProp" Target="../ctrlProps/ctrlProp179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497" Type="http://schemas.openxmlformats.org/officeDocument/2006/relationships/ctrlProp" Target="../ctrlProps/ctrlProp495.xml"/><Relationship Id="rId620" Type="http://schemas.openxmlformats.org/officeDocument/2006/relationships/ctrlProp" Target="../ctrlProps/ctrlProp618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270" Type="http://schemas.openxmlformats.org/officeDocument/2006/relationships/ctrlProp" Target="../ctrlProps/ctrlProp268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281" Type="http://schemas.openxmlformats.org/officeDocument/2006/relationships/ctrlProp" Target="../ctrlProps/ctrlProp279.xml"/><Relationship Id="rId502" Type="http://schemas.openxmlformats.org/officeDocument/2006/relationships/ctrlProp" Target="../ctrlProps/ctrlProp500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597" Type="http://schemas.openxmlformats.org/officeDocument/2006/relationships/ctrlProp" Target="../ctrlProps/ctrlProp595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664" Type="http://schemas.openxmlformats.org/officeDocument/2006/relationships/ctrlProp" Target="../ctrlProps/ctrlProp662.xml"/><Relationship Id="rId14" Type="http://schemas.openxmlformats.org/officeDocument/2006/relationships/ctrlProp" Target="../ctrlProps/ctrlProp12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98" Type="http://schemas.openxmlformats.org/officeDocument/2006/relationships/ctrlProp" Target="../ctrlProps/ctrlProp96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25" Type="http://schemas.openxmlformats.org/officeDocument/2006/relationships/ctrlProp" Target="../ctrlProps/ctrlProp23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602" Type="http://schemas.openxmlformats.org/officeDocument/2006/relationships/ctrlProp" Target="../ctrlProps/ctrlProp600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36" Type="http://schemas.openxmlformats.org/officeDocument/2006/relationships/ctrlProp" Target="../ctrlProps/ctrlProp34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101" Type="http://schemas.openxmlformats.org/officeDocument/2006/relationships/ctrlProp" Target="../ctrlProps/ctrlProp99.xml"/><Relationship Id="rId185" Type="http://schemas.openxmlformats.org/officeDocument/2006/relationships/ctrlProp" Target="../ctrlProps/ctrlProp183.xml"/><Relationship Id="rId406" Type="http://schemas.openxmlformats.org/officeDocument/2006/relationships/ctrlProp" Target="../ctrlProps/ctrlProp404.xml"/><Relationship Id="rId392" Type="http://schemas.openxmlformats.org/officeDocument/2006/relationships/ctrlProp" Target="../ctrlProps/ctrlProp390.xml"/><Relationship Id="rId613" Type="http://schemas.openxmlformats.org/officeDocument/2006/relationships/ctrlProp" Target="../ctrlProps/ctrlProp611.xml"/><Relationship Id="rId252" Type="http://schemas.openxmlformats.org/officeDocument/2006/relationships/ctrlProp" Target="../ctrlProps/ctrlProp250.xml"/><Relationship Id="rId47" Type="http://schemas.openxmlformats.org/officeDocument/2006/relationships/ctrlProp" Target="../ctrlProps/ctrlProp45.xml"/><Relationship Id="rId112" Type="http://schemas.openxmlformats.org/officeDocument/2006/relationships/ctrlProp" Target="../ctrlProps/ctrlProp110.xml"/><Relationship Id="rId557" Type="http://schemas.openxmlformats.org/officeDocument/2006/relationships/ctrlProp" Target="../ctrlProps/ctrlProp555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624" Type="http://schemas.openxmlformats.org/officeDocument/2006/relationships/ctrlProp" Target="../ctrlProps/ctrlProp622.xml"/><Relationship Id="rId263" Type="http://schemas.openxmlformats.org/officeDocument/2006/relationships/ctrlProp" Target="../ctrlProps/ctrlProp261.xml"/><Relationship Id="rId470" Type="http://schemas.openxmlformats.org/officeDocument/2006/relationships/ctrlProp" Target="../ctrlProps/ctrlProp468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579" Type="http://schemas.openxmlformats.org/officeDocument/2006/relationships/ctrlProp" Target="../ctrlProps/ctrlProp577.xml"/><Relationship Id="rId341" Type="http://schemas.openxmlformats.org/officeDocument/2006/relationships/ctrlProp" Target="../ctrlProps/ctrlProp339.xml"/><Relationship Id="rId439" Type="http://schemas.openxmlformats.org/officeDocument/2006/relationships/ctrlProp" Target="../ctrlProps/ctrlProp437.xml"/><Relationship Id="rId646" Type="http://schemas.openxmlformats.org/officeDocument/2006/relationships/ctrlProp" Target="../ctrlProps/ctrlProp644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450" Type="http://schemas.openxmlformats.org/officeDocument/2006/relationships/ctrlProp" Target="../ctrlProps/ctrlProp448.xml"/><Relationship Id="rId506" Type="http://schemas.openxmlformats.org/officeDocument/2006/relationships/ctrlProp" Target="../ctrlProps/ctrlProp504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492" Type="http://schemas.openxmlformats.org/officeDocument/2006/relationships/ctrlProp" Target="../ctrlProps/ctrlProp490.xml"/><Relationship Id="rId548" Type="http://schemas.openxmlformats.org/officeDocument/2006/relationships/ctrlProp" Target="../ctrlProps/ctrlProp546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87" Type="http://schemas.openxmlformats.org/officeDocument/2006/relationships/ctrlProp" Target="../ctrlProps/ctrlProp185.xml"/><Relationship Id="rId352" Type="http://schemas.openxmlformats.org/officeDocument/2006/relationships/ctrlProp" Target="../ctrlProps/ctrlProp350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212" Type="http://schemas.openxmlformats.org/officeDocument/2006/relationships/ctrlProp" Target="../ctrlProps/ctrlProp210.xml"/><Relationship Id="rId254" Type="http://schemas.openxmlformats.org/officeDocument/2006/relationships/ctrlProp" Target="../ctrlProps/ctrlProp252.xml"/><Relationship Id="rId657" Type="http://schemas.openxmlformats.org/officeDocument/2006/relationships/ctrlProp" Target="../ctrlProps/ctrlProp655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96" Type="http://schemas.openxmlformats.org/officeDocument/2006/relationships/ctrlProp" Target="../ctrlProps/ctrlProp294.xml"/><Relationship Id="rId461" Type="http://schemas.openxmlformats.org/officeDocument/2006/relationships/ctrlProp" Target="../ctrlProps/ctrlProp459.xml"/><Relationship Id="rId517" Type="http://schemas.openxmlformats.org/officeDocument/2006/relationships/ctrlProp" Target="../ctrlProps/ctrlProp515.xml"/><Relationship Id="rId559" Type="http://schemas.openxmlformats.org/officeDocument/2006/relationships/ctrlProp" Target="../ctrlProps/ctrlProp557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63" Type="http://schemas.openxmlformats.org/officeDocument/2006/relationships/ctrlProp" Target="../ctrlProps/ctrlProp361.xml"/><Relationship Id="rId419" Type="http://schemas.openxmlformats.org/officeDocument/2006/relationships/ctrlProp" Target="../ctrlProps/ctrlProp417.xml"/><Relationship Id="rId570" Type="http://schemas.openxmlformats.org/officeDocument/2006/relationships/ctrlProp" Target="../ctrlProps/ctrlProp568.xml"/><Relationship Id="rId626" Type="http://schemas.openxmlformats.org/officeDocument/2006/relationships/ctrlProp" Target="../ctrlProps/ctrlProp624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18" Type="http://schemas.openxmlformats.org/officeDocument/2006/relationships/ctrlProp" Target="../ctrlProps/ctrlProp16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528" Type="http://schemas.openxmlformats.org/officeDocument/2006/relationships/ctrlProp" Target="../ctrlProps/ctrlProp526.xml"/><Relationship Id="rId125" Type="http://schemas.openxmlformats.org/officeDocument/2006/relationships/ctrlProp" Target="../ctrlProps/ctrlProp123.xml"/><Relationship Id="rId167" Type="http://schemas.openxmlformats.org/officeDocument/2006/relationships/ctrlProp" Target="../ctrlProps/ctrlProp165.xml"/><Relationship Id="rId332" Type="http://schemas.openxmlformats.org/officeDocument/2006/relationships/ctrlProp" Target="../ctrlProps/ctrlProp330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71" Type="http://schemas.openxmlformats.org/officeDocument/2006/relationships/ctrlProp" Target="../ctrlProps/ctrlProp69.xml"/><Relationship Id="rId234" Type="http://schemas.openxmlformats.org/officeDocument/2006/relationships/ctrlProp" Target="../ctrlProps/ctrlProp232.xml"/><Relationship Id="rId637" Type="http://schemas.openxmlformats.org/officeDocument/2006/relationships/ctrlProp" Target="../ctrlProps/ctrlProp635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76" Type="http://schemas.openxmlformats.org/officeDocument/2006/relationships/ctrlProp" Target="../ctrlProps/ctrlProp274.xml"/><Relationship Id="rId441" Type="http://schemas.openxmlformats.org/officeDocument/2006/relationships/ctrlProp" Target="../ctrlProps/ctrlProp439.xml"/><Relationship Id="rId483" Type="http://schemas.openxmlformats.org/officeDocument/2006/relationships/ctrlProp" Target="../ctrlProps/ctrlProp481.xml"/><Relationship Id="rId539" Type="http://schemas.openxmlformats.org/officeDocument/2006/relationships/ctrlProp" Target="../ctrlProps/ctrlProp537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82" Type="http://schemas.openxmlformats.org/officeDocument/2006/relationships/ctrlProp" Target="../ctrlProps/ctrlProp80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606" Type="http://schemas.openxmlformats.org/officeDocument/2006/relationships/ctrlProp" Target="../ctrlProps/ctrlProp604.xml"/><Relationship Id="rId648" Type="http://schemas.openxmlformats.org/officeDocument/2006/relationships/ctrlProp" Target="../ctrlProps/ctrlProp646.xml"/><Relationship Id="rId245" Type="http://schemas.openxmlformats.org/officeDocument/2006/relationships/ctrlProp" Target="../ctrlProps/ctrlProp243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52" Type="http://schemas.openxmlformats.org/officeDocument/2006/relationships/ctrlProp" Target="../ctrlProps/ctrlProp450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105" Type="http://schemas.openxmlformats.org/officeDocument/2006/relationships/ctrlProp" Target="../ctrlProps/ctrlProp103.xml"/><Relationship Id="rId147" Type="http://schemas.openxmlformats.org/officeDocument/2006/relationships/ctrlProp" Target="../ctrlProps/ctrlProp145.xml"/><Relationship Id="rId312" Type="http://schemas.openxmlformats.org/officeDocument/2006/relationships/ctrlProp" Target="../ctrlProps/ctrlProp310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561" Type="http://schemas.openxmlformats.org/officeDocument/2006/relationships/ctrlProp" Target="../ctrlProps/ctrlProp559.xml"/><Relationship Id="rId617" Type="http://schemas.openxmlformats.org/officeDocument/2006/relationships/ctrlProp" Target="../ctrlProps/ctrlProp615.xml"/><Relationship Id="rId659" Type="http://schemas.openxmlformats.org/officeDocument/2006/relationships/ctrlProp" Target="../ctrlProps/ctrlProp657.xml"/><Relationship Id="rId214" Type="http://schemas.openxmlformats.org/officeDocument/2006/relationships/ctrlProp" Target="../ctrlProps/ctrlProp212.xml"/><Relationship Id="rId256" Type="http://schemas.openxmlformats.org/officeDocument/2006/relationships/ctrlProp" Target="../ctrlProps/ctrlProp254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463" Type="http://schemas.openxmlformats.org/officeDocument/2006/relationships/ctrlProp" Target="../ctrlProps/ctrlProp461.xml"/><Relationship Id="rId519" Type="http://schemas.openxmlformats.org/officeDocument/2006/relationships/ctrlProp" Target="../ctrlProps/ctrlProp517.xml"/><Relationship Id="rId670" Type="http://schemas.openxmlformats.org/officeDocument/2006/relationships/ctrlProp" Target="../ctrlProps/ctrlProp668.xml"/><Relationship Id="rId116" Type="http://schemas.openxmlformats.org/officeDocument/2006/relationships/ctrlProp" Target="../ctrlProps/ctrlProp114.xml"/><Relationship Id="rId158" Type="http://schemas.openxmlformats.org/officeDocument/2006/relationships/ctrlProp" Target="../ctrlProps/ctrlProp156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20" Type="http://schemas.openxmlformats.org/officeDocument/2006/relationships/ctrlProp" Target="../ctrlProps/ctrlProp18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628" Type="http://schemas.openxmlformats.org/officeDocument/2006/relationships/ctrlProp" Target="../ctrlProps/ctrlProp626.xml"/><Relationship Id="rId225" Type="http://schemas.openxmlformats.org/officeDocument/2006/relationships/ctrlProp" Target="../ctrlProps/ctrlProp223.xml"/><Relationship Id="rId267" Type="http://schemas.openxmlformats.org/officeDocument/2006/relationships/ctrlProp" Target="../ctrlProps/ctrlProp265.xml"/><Relationship Id="rId432" Type="http://schemas.openxmlformats.org/officeDocument/2006/relationships/ctrlProp" Target="../ctrlProps/ctrlProp430.xml"/><Relationship Id="rId474" Type="http://schemas.openxmlformats.org/officeDocument/2006/relationships/ctrlProp" Target="../ctrlProps/ctrlProp472.xml"/><Relationship Id="rId127" Type="http://schemas.openxmlformats.org/officeDocument/2006/relationships/ctrlProp" Target="../ctrlProps/ctrlProp125.xml"/><Relationship Id="rId31" Type="http://schemas.openxmlformats.org/officeDocument/2006/relationships/ctrlProp" Target="../ctrlProps/ctrlProp29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76" Type="http://schemas.openxmlformats.org/officeDocument/2006/relationships/ctrlProp" Target="../ctrlProps/ctrlProp374.xml"/><Relationship Id="rId541" Type="http://schemas.openxmlformats.org/officeDocument/2006/relationships/ctrlProp" Target="../ctrlProps/ctrlProp539.xml"/><Relationship Id="rId583" Type="http://schemas.openxmlformats.org/officeDocument/2006/relationships/ctrlProp" Target="../ctrlProps/ctrlProp581.xml"/><Relationship Id="rId639" Type="http://schemas.openxmlformats.org/officeDocument/2006/relationships/ctrlProp" Target="../ctrlProps/ctrlProp637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36" Type="http://schemas.openxmlformats.org/officeDocument/2006/relationships/ctrlProp" Target="../ctrlProps/ctrlProp234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303" Type="http://schemas.openxmlformats.org/officeDocument/2006/relationships/ctrlProp" Target="../ctrlProps/ctrlProp301.xml"/><Relationship Id="rId485" Type="http://schemas.openxmlformats.org/officeDocument/2006/relationships/ctrlProp" Target="../ctrlProps/ctrlProp483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52" Type="http://schemas.openxmlformats.org/officeDocument/2006/relationships/ctrlProp" Target="../ctrlProps/ctrlProp550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454" Type="http://schemas.openxmlformats.org/officeDocument/2006/relationships/ctrlProp" Target="../ctrlProps/ctrlProp452.xml"/><Relationship Id="rId496" Type="http://schemas.openxmlformats.org/officeDocument/2006/relationships/ctrlProp" Target="../ctrlProps/ctrlProp494.xml"/><Relationship Id="rId661" Type="http://schemas.openxmlformats.org/officeDocument/2006/relationships/ctrlProp" Target="../ctrlProps/ctrlProp659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563" Type="http://schemas.openxmlformats.org/officeDocument/2006/relationships/ctrlProp" Target="../ctrlProps/ctrlProp561.xml"/><Relationship Id="rId619" Type="http://schemas.openxmlformats.org/officeDocument/2006/relationships/ctrlProp" Target="../ctrlProps/ctrlProp617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30" Type="http://schemas.openxmlformats.org/officeDocument/2006/relationships/ctrlProp" Target="../ctrlProps/ctrlProp628.xml"/><Relationship Id="rId672" Type="http://schemas.openxmlformats.org/officeDocument/2006/relationships/ctrlProp" Target="../ctrlProps/ctrlProp670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532" Type="http://schemas.openxmlformats.org/officeDocument/2006/relationships/ctrlProp" Target="../ctrlProps/ctrlProp530.xml"/><Relationship Id="rId574" Type="http://schemas.openxmlformats.org/officeDocument/2006/relationships/ctrlProp" Target="../ctrlProps/ctrlProp572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434" Type="http://schemas.openxmlformats.org/officeDocument/2006/relationships/ctrlProp" Target="../ctrlProps/ctrlProp432.xml"/><Relationship Id="rId476" Type="http://schemas.openxmlformats.org/officeDocument/2006/relationships/ctrlProp" Target="../ctrlProps/ctrlProp474.xml"/><Relationship Id="rId641" Type="http://schemas.openxmlformats.org/officeDocument/2006/relationships/ctrlProp" Target="../ctrlProps/ctrlProp639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501" Type="http://schemas.openxmlformats.org/officeDocument/2006/relationships/ctrlProp" Target="../ctrlProps/ctrlProp499.xml"/><Relationship Id="rId543" Type="http://schemas.openxmlformats.org/officeDocument/2006/relationships/ctrlProp" Target="../ctrlProps/ctrlProp541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585" Type="http://schemas.openxmlformats.org/officeDocument/2006/relationships/ctrlProp" Target="../ctrlProps/ctrlProp583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52" Type="http://schemas.openxmlformats.org/officeDocument/2006/relationships/ctrlProp" Target="../ctrlProps/ctrlProp650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512" Type="http://schemas.openxmlformats.org/officeDocument/2006/relationships/ctrlProp" Target="../ctrlProps/ctrlProp510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54" Type="http://schemas.openxmlformats.org/officeDocument/2006/relationships/ctrlProp" Target="../ctrlProps/ctrlProp552.xml"/><Relationship Id="rId596" Type="http://schemas.openxmlformats.org/officeDocument/2006/relationships/ctrlProp" Target="../ctrlProps/ctrlProp594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456" Type="http://schemas.openxmlformats.org/officeDocument/2006/relationships/ctrlProp" Target="../ctrlProps/ctrlProp454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663" Type="http://schemas.openxmlformats.org/officeDocument/2006/relationships/ctrlProp" Target="../ctrlProps/ctrlProp661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467" Type="http://schemas.openxmlformats.org/officeDocument/2006/relationships/ctrlProp" Target="../ctrlProps/ctrlProp465.xml"/><Relationship Id="rId632" Type="http://schemas.openxmlformats.org/officeDocument/2006/relationships/ctrlProp" Target="../ctrlProps/ctrlProp630.xml"/><Relationship Id="rId271" Type="http://schemas.openxmlformats.org/officeDocument/2006/relationships/ctrlProp" Target="../ctrlProps/ctrlProp269.xml"/><Relationship Id="rId674" Type="http://schemas.openxmlformats.org/officeDocument/2006/relationships/ctrlProp" Target="../ctrlProps/ctrlProp672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534" Type="http://schemas.openxmlformats.org/officeDocument/2006/relationships/ctrlProp" Target="../ctrlProps/ctrlProp532.xml"/><Relationship Id="rId576" Type="http://schemas.openxmlformats.org/officeDocument/2006/relationships/ctrlProp" Target="../ctrlProps/ctrlProp574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436" Type="http://schemas.openxmlformats.org/officeDocument/2006/relationships/ctrlProp" Target="../ctrlProps/ctrlProp434.xml"/><Relationship Id="rId601" Type="http://schemas.openxmlformats.org/officeDocument/2006/relationships/ctrlProp" Target="../ctrlProps/ctrlProp599.xml"/><Relationship Id="rId643" Type="http://schemas.openxmlformats.org/officeDocument/2006/relationships/ctrlProp" Target="../ctrlProps/ctrlProp641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503" Type="http://schemas.openxmlformats.org/officeDocument/2006/relationships/ctrlProp" Target="../ctrlProps/ctrlProp501.xml"/><Relationship Id="rId545" Type="http://schemas.openxmlformats.org/officeDocument/2006/relationships/ctrlProp" Target="../ctrlProps/ctrlProp543.xml"/><Relationship Id="rId587" Type="http://schemas.openxmlformats.org/officeDocument/2006/relationships/ctrlProp" Target="../ctrlProps/ctrlProp585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447" Type="http://schemas.openxmlformats.org/officeDocument/2006/relationships/ctrlProp" Target="../ctrlProps/ctrlProp445.xml"/><Relationship Id="rId612" Type="http://schemas.openxmlformats.org/officeDocument/2006/relationships/ctrlProp" Target="../ctrlProps/ctrlProp610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54" Type="http://schemas.openxmlformats.org/officeDocument/2006/relationships/ctrlProp" Target="../ctrlProps/ctrlProp652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514" Type="http://schemas.openxmlformats.org/officeDocument/2006/relationships/ctrlProp" Target="../ctrlProps/ctrlProp512.xml"/><Relationship Id="rId556" Type="http://schemas.openxmlformats.org/officeDocument/2006/relationships/ctrlProp" Target="../ctrlProps/ctrlProp554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598" Type="http://schemas.openxmlformats.org/officeDocument/2006/relationships/ctrlProp" Target="../ctrlProps/ctrlProp596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23" Type="http://schemas.openxmlformats.org/officeDocument/2006/relationships/ctrlProp" Target="../ctrlProps/ctrlProp621.xml"/><Relationship Id="rId665" Type="http://schemas.openxmlformats.org/officeDocument/2006/relationships/ctrlProp" Target="../ctrlProps/ctrlProp663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567" Type="http://schemas.openxmlformats.org/officeDocument/2006/relationships/ctrlProp" Target="../ctrlProps/ctrlProp565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427" Type="http://schemas.openxmlformats.org/officeDocument/2006/relationships/ctrlProp" Target="../ctrlProps/ctrlProp425.xml"/><Relationship Id="rId469" Type="http://schemas.openxmlformats.org/officeDocument/2006/relationships/ctrlProp" Target="../ctrlProps/ctrlProp467.xml"/><Relationship Id="rId634" Type="http://schemas.openxmlformats.org/officeDocument/2006/relationships/ctrlProp" Target="../ctrlProps/ctrlProp632.xml"/><Relationship Id="rId676" Type="http://schemas.openxmlformats.org/officeDocument/2006/relationships/ctrlProp" Target="../ctrlProps/ctrlProp674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480" Type="http://schemas.openxmlformats.org/officeDocument/2006/relationships/ctrlProp" Target="../ctrlProps/ctrlProp478.xml"/><Relationship Id="rId536" Type="http://schemas.openxmlformats.org/officeDocument/2006/relationships/ctrlProp" Target="../ctrlProps/ctrlProp534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438" Type="http://schemas.openxmlformats.org/officeDocument/2006/relationships/ctrlProp" Target="../ctrlProps/ctrlProp436.xml"/><Relationship Id="rId603" Type="http://schemas.openxmlformats.org/officeDocument/2006/relationships/ctrlProp" Target="../ctrlProps/ctrlProp601.xml"/><Relationship Id="rId645" Type="http://schemas.openxmlformats.org/officeDocument/2006/relationships/ctrlProp" Target="../ctrlProps/ctrlProp643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547" Type="http://schemas.openxmlformats.org/officeDocument/2006/relationships/ctrlProp" Target="../ctrlProps/ctrlProp545.xml"/><Relationship Id="rId589" Type="http://schemas.openxmlformats.org/officeDocument/2006/relationships/ctrlProp" Target="../ctrlProps/ctrlProp587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449" Type="http://schemas.openxmlformats.org/officeDocument/2006/relationships/ctrlProp" Target="../ctrlProps/ctrlProp447.xml"/><Relationship Id="rId614" Type="http://schemas.openxmlformats.org/officeDocument/2006/relationships/ctrlProp" Target="../ctrlProps/ctrlProp612.xml"/><Relationship Id="rId656" Type="http://schemas.openxmlformats.org/officeDocument/2006/relationships/ctrlProp" Target="../ctrlProps/ctrlProp654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60" Type="http://schemas.openxmlformats.org/officeDocument/2006/relationships/ctrlProp" Target="../ctrlProps/ctrlProp458.xml"/><Relationship Id="rId516" Type="http://schemas.openxmlformats.org/officeDocument/2006/relationships/ctrlProp" Target="../ctrlProps/ctrlProp514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667" Type="http://schemas.openxmlformats.org/officeDocument/2006/relationships/ctrlProp" Target="../ctrlProps/ctrlProp665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27" Type="http://schemas.openxmlformats.org/officeDocument/2006/relationships/ctrlProp" Target="../ctrlProps/ctrlProp525.xml"/><Relationship Id="rId569" Type="http://schemas.openxmlformats.org/officeDocument/2006/relationships/ctrlProp" Target="../ctrlProps/ctrlProp567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31" Type="http://schemas.openxmlformats.org/officeDocument/2006/relationships/ctrlProp" Target="../ctrlProps/ctrlProp329.xml"/><Relationship Id="rId373" Type="http://schemas.openxmlformats.org/officeDocument/2006/relationships/ctrlProp" Target="../ctrlProps/ctrlProp371.xml"/><Relationship Id="rId429" Type="http://schemas.openxmlformats.org/officeDocument/2006/relationships/ctrlProp" Target="../ctrlProps/ctrlProp427.xml"/><Relationship Id="rId580" Type="http://schemas.openxmlformats.org/officeDocument/2006/relationships/ctrlProp" Target="../ctrlProps/ctrlProp578.xml"/><Relationship Id="rId636" Type="http://schemas.openxmlformats.org/officeDocument/2006/relationships/ctrlProp" Target="../ctrlProps/ctrlProp634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28" Type="http://schemas.openxmlformats.org/officeDocument/2006/relationships/ctrlProp" Target="../ctrlProps/ctrlProp26.xml"/><Relationship Id="rId275" Type="http://schemas.openxmlformats.org/officeDocument/2006/relationships/ctrlProp" Target="../ctrlProps/ctrlProp273.xml"/><Relationship Id="rId300" Type="http://schemas.openxmlformats.org/officeDocument/2006/relationships/ctrlProp" Target="../ctrlProps/ctrlProp298.xml"/><Relationship Id="rId482" Type="http://schemas.openxmlformats.org/officeDocument/2006/relationships/ctrlProp" Target="../ctrlProps/ctrlProp480.xml"/><Relationship Id="rId538" Type="http://schemas.openxmlformats.org/officeDocument/2006/relationships/ctrlProp" Target="../ctrlProps/ctrlProp536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202" Type="http://schemas.openxmlformats.org/officeDocument/2006/relationships/ctrlProp" Target="../ctrlProps/ctrlProp200.xml"/><Relationship Id="rId244" Type="http://schemas.openxmlformats.org/officeDocument/2006/relationships/ctrlProp" Target="../ctrlProps/ctrlProp242.xml"/><Relationship Id="rId647" Type="http://schemas.openxmlformats.org/officeDocument/2006/relationships/ctrlProp" Target="../ctrlProps/ctrlProp645.xml"/><Relationship Id="rId39" Type="http://schemas.openxmlformats.org/officeDocument/2006/relationships/ctrlProp" Target="../ctrlProps/ctrlProp37.xml"/><Relationship Id="rId286" Type="http://schemas.openxmlformats.org/officeDocument/2006/relationships/ctrlProp" Target="../ctrlProps/ctrlProp284.xml"/><Relationship Id="rId451" Type="http://schemas.openxmlformats.org/officeDocument/2006/relationships/ctrlProp" Target="../ctrlProps/ctrlProp449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549" Type="http://schemas.openxmlformats.org/officeDocument/2006/relationships/ctrlProp" Target="../ctrlProps/ctrlProp547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46" Type="http://schemas.openxmlformats.org/officeDocument/2006/relationships/ctrlProp" Target="../ctrlProps/ctrlProp144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53" Type="http://schemas.openxmlformats.org/officeDocument/2006/relationships/ctrlProp" Target="../ctrlProps/ctrlProp351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560" Type="http://schemas.openxmlformats.org/officeDocument/2006/relationships/ctrlProp" Target="../ctrlProps/ctrlProp558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16" Type="http://schemas.openxmlformats.org/officeDocument/2006/relationships/ctrlProp" Target="../ctrlProps/ctrlProp614.xml"/><Relationship Id="rId658" Type="http://schemas.openxmlformats.org/officeDocument/2006/relationships/ctrlProp" Target="../ctrlProps/ctrlProp656.xml"/><Relationship Id="rId255" Type="http://schemas.openxmlformats.org/officeDocument/2006/relationships/ctrlProp" Target="../ctrlProps/ctrlProp253.xml"/><Relationship Id="rId297" Type="http://schemas.openxmlformats.org/officeDocument/2006/relationships/ctrlProp" Target="../ctrlProps/ctrlProp295.xml"/><Relationship Id="rId462" Type="http://schemas.openxmlformats.org/officeDocument/2006/relationships/ctrlProp" Target="../ctrlProps/ctrlProp460.xml"/><Relationship Id="rId518" Type="http://schemas.openxmlformats.org/officeDocument/2006/relationships/ctrlProp" Target="../ctrlProps/ctrlProp516.xml"/><Relationship Id="rId115" Type="http://schemas.openxmlformats.org/officeDocument/2006/relationships/ctrlProp" Target="../ctrlProps/ctrlProp113.xml"/><Relationship Id="rId157" Type="http://schemas.openxmlformats.org/officeDocument/2006/relationships/ctrlProp" Target="../ctrlProps/ctrlProp155.xml"/><Relationship Id="rId322" Type="http://schemas.openxmlformats.org/officeDocument/2006/relationships/ctrlProp" Target="../ctrlProps/ctrlProp320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199" Type="http://schemas.openxmlformats.org/officeDocument/2006/relationships/ctrlProp" Target="../ctrlProps/ctrlProp197.xml"/><Relationship Id="rId571" Type="http://schemas.openxmlformats.org/officeDocument/2006/relationships/ctrlProp" Target="../ctrlProps/ctrlProp569.xml"/><Relationship Id="rId627" Type="http://schemas.openxmlformats.org/officeDocument/2006/relationships/ctrlProp" Target="../ctrlProps/ctrlProp625.xml"/><Relationship Id="rId669" Type="http://schemas.openxmlformats.org/officeDocument/2006/relationships/ctrlProp" Target="../ctrlProps/ctrlProp667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66" Type="http://schemas.openxmlformats.org/officeDocument/2006/relationships/ctrlProp" Target="../ctrlProps/ctrlProp264.xml"/><Relationship Id="rId431" Type="http://schemas.openxmlformats.org/officeDocument/2006/relationships/ctrlProp" Target="../ctrlProps/ctrlProp429.xml"/><Relationship Id="rId473" Type="http://schemas.openxmlformats.org/officeDocument/2006/relationships/ctrlProp" Target="../ctrlProps/ctrlProp471.xml"/><Relationship Id="rId529" Type="http://schemas.openxmlformats.org/officeDocument/2006/relationships/ctrlProp" Target="../ctrlProps/ctrlProp527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168" Type="http://schemas.openxmlformats.org/officeDocument/2006/relationships/ctrlProp" Target="../ctrlProps/ctrlProp166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638" Type="http://schemas.openxmlformats.org/officeDocument/2006/relationships/ctrlProp" Target="../ctrlProps/ctrlProp636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42" Type="http://schemas.openxmlformats.org/officeDocument/2006/relationships/ctrlProp" Target="../ctrlProps/ctrlProp440.xml"/><Relationship Id="rId484" Type="http://schemas.openxmlformats.org/officeDocument/2006/relationships/ctrlProp" Target="../ctrlProps/ctrlProp482.xml"/><Relationship Id="rId137" Type="http://schemas.openxmlformats.org/officeDocument/2006/relationships/ctrlProp" Target="../ctrlProps/ctrlProp135.xml"/><Relationship Id="rId302" Type="http://schemas.openxmlformats.org/officeDocument/2006/relationships/ctrlProp" Target="../ctrlProps/ctrlProp300.xml"/><Relationship Id="rId344" Type="http://schemas.openxmlformats.org/officeDocument/2006/relationships/ctrlProp" Target="../ctrlProps/ctrlProp342.xml"/><Relationship Id="rId41" Type="http://schemas.openxmlformats.org/officeDocument/2006/relationships/ctrlProp" Target="../ctrlProps/ctrlProp39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51" Type="http://schemas.openxmlformats.org/officeDocument/2006/relationships/ctrlProp" Target="../ctrlProps/ctrlProp549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649" Type="http://schemas.openxmlformats.org/officeDocument/2006/relationships/ctrlProp" Target="../ctrlProps/ctrlProp64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46" Type="http://schemas.openxmlformats.org/officeDocument/2006/relationships/ctrlProp" Target="../ctrlProps/ctrlProp244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53" Type="http://schemas.openxmlformats.org/officeDocument/2006/relationships/ctrlProp" Target="../ctrlProps/ctrlProp451.xml"/><Relationship Id="rId509" Type="http://schemas.openxmlformats.org/officeDocument/2006/relationships/ctrlProp" Target="../ctrlProps/ctrlProp507.xml"/><Relationship Id="rId660" Type="http://schemas.openxmlformats.org/officeDocument/2006/relationships/ctrlProp" Target="../ctrlProps/ctrlProp658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495" Type="http://schemas.openxmlformats.org/officeDocument/2006/relationships/ctrlProp" Target="../ctrlProps/ctrlProp493.xml"/><Relationship Id="rId10" Type="http://schemas.openxmlformats.org/officeDocument/2006/relationships/ctrlProp" Target="../ctrlProps/ctrlProp8.xml"/><Relationship Id="rId52" Type="http://schemas.openxmlformats.org/officeDocument/2006/relationships/ctrlProp" Target="../ctrlProps/ctrlProp50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562" Type="http://schemas.openxmlformats.org/officeDocument/2006/relationships/ctrlProp" Target="../ctrlProps/ctrlProp560.xml"/><Relationship Id="rId618" Type="http://schemas.openxmlformats.org/officeDocument/2006/relationships/ctrlProp" Target="../ctrlProps/ctrlProp616.xml"/><Relationship Id="rId215" Type="http://schemas.openxmlformats.org/officeDocument/2006/relationships/ctrlProp" Target="../ctrlProps/ctrlProp213.xml"/><Relationship Id="rId257" Type="http://schemas.openxmlformats.org/officeDocument/2006/relationships/ctrlProp" Target="../ctrlProps/ctrlProp255.xml"/><Relationship Id="rId422" Type="http://schemas.openxmlformats.org/officeDocument/2006/relationships/ctrlProp" Target="../ctrlProps/ctrlProp420.xml"/><Relationship Id="rId464" Type="http://schemas.openxmlformats.org/officeDocument/2006/relationships/ctrlProp" Target="../ctrlProps/ctrlProp462.xml"/><Relationship Id="rId299" Type="http://schemas.openxmlformats.org/officeDocument/2006/relationships/ctrlProp" Target="../ctrlProps/ctrlProp297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640" Type="http://schemas.openxmlformats.org/officeDocument/2006/relationships/ctrlProp" Target="../ctrlProps/ctrlProp638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132" Type="http://schemas.openxmlformats.org/officeDocument/2006/relationships/ctrlProp" Target="../ctrlProps/ctrlProp130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8" Type="http://schemas.openxmlformats.org/officeDocument/2006/relationships/ctrlProp" Target="../ctrlProps/ctrlProp76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48" Type="http://schemas.openxmlformats.org/officeDocument/2006/relationships/ctrlProp" Target="../ctrlProps/ctrlProp446.xml"/><Relationship Id="rId655" Type="http://schemas.openxmlformats.org/officeDocument/2006/relationships/ctrlProp" Target="../ctrlProps/ctrlProp653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89" Type="http://schemas.openxmlformats.org/officeDocument/2006/relationships/ctrlProp" Target="../ctrlProps/ctrlProp87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99" Type="http://schemas.openxmlformats.org/officeDocument/2006/relationships/ctrlProp" Target="../ctrlProps/ctrlProp597.xml"/><Relationship Id="rId459" Type="http://schemas.openxmlformats.org/officeDocument/2006/relationships/ctrlProp" Target="../ctrlProps/ctrlProp457.xml"/><Relationship Id="rId666" Type="http://schemas.openxmlformats.org/officeDocument/2006/relationships/ctrlProp" Target="../ctrlProps/ctrlProp664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319" Type="http://schemas.openxmlformats.org/officeDocument/2006/relationships/ctrlProp" Target="../ctrlProps/ctrlProp317.xml"/><Relationship Id="rId526" Type="http://schemas.openxmlformats.org/officeDocument/2006/relationships/ctrlProp" Target="../ctrlProps/ctrlProp524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232" Type="http://schemas.openxmlformats.org/officeDocument/2006/relationships/ctrlProp" Target="../ctrlProps/ctrlProp230.xml"/><Relationship Id="rId27" Type="http://schemas.openxmlformats.org/officeDocument/2006/relationships/ctrlProp" Target="../ctrlProps/ctrlProp25.xml"/><Relationship Id="rId537" Type="http://schemas.openxmlformats.org/officeDocument/2006/relationships/ctrlProp" Target="../ctrlProps/ctrlProp535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83" Type="http://schemas.openxmlformats.org/officeDocument/2006/relationships/ctrlProp" Target="../ctrlProps/ctrlProp381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FC5B-0442-40AC-B782-AE000F6F7B68}">
  <dimension ref="A1:BF675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46.5" customHeight="1"/>
  <cols>
    <col min="1" max="1" width="14.7109375" customWidth="1"/>
    <col min="2" max="3" width="0" hidden="1" customWidth="1"/>
    <col min="4" max="4" width="18.5703125" customWidth="1"/>
    <col min="5" max="5" width="0" hidden="1" customWidth="1"/>
    <col min="6" max="6" width="31.85546875" customWidth="1"/>
    <col min="8" max="12" width="0" hidden="1" customWidth="1"/>
    <col min="13" max="14" width="14.28515625" customWidth="1"/>
    <col min="16" max="19" width="0" hidden="1" customWidth="1"/>
    <col min="22" max="28" width="0" hidden="1" customWidth="1"/>
    <col min="29" max="29" width="11.28515625" customWidth="1"/>
    <col min="30" max="30" width="0" hidden="1" customWidth="1"/>
    <col min="32" max="32" width="0" hidden="1" customWidth="1"/>
    <col min="33" max="33" width="15.7109375" customWidth="1"/>
    <col min="34" max="43" width="0" hidden="1" customWidth="1"/>
    <col min="44" max="46" width="10.7109375" customWidth="1"/>
    <col min="49" max="58" width="0" hidden="1" customWidth="1"/>
  </cols>
  <sheetData>
    <row r="1" spans="1:58" ht="46.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46.5" customHeight="1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H2" s="2" t="s">
        <v>63</v>
      </c>
      <c r="I2" s="2" t="s">
        <v>64</v>
      </c>
      <c r="J2" s="2" t="s">
        <v>63</v>
      </c>
      <c r="K2" s="2" t="s">
        <v>63</v>
      </c>
      <c r="L2" s="2" t="s">
        <v>65</v>
      </c>
      <c r="M2" s="1" t="s">
        <v>66</v>
      </c>
      <c r="N2" s="1" t="s">
        <v>67</v>
      </c>
      <c r="O2" s="2" t="s">
        <v>68</v>
      </c>
      <c r="P2" s="1" t="s">
        <v>69</v>
      </c>
      <c r="Q2" s="2" t="s">
        <v>70</v>
      </c>
      <c r="R2" s="2" t="s">
        <v>71</v>
      </c>
      <c r="T2" s="2" t="s">
        <v>72</v>
      </c>
      <c r="U2" s="3">
        <v>1</v>
      </c>
      <c r="V2" s="3">
        <v>1</v>
      </c>
      <c r="W2" s="4" t="s">
        <v>73</v>
      </c>
      <c r="X2" s="4" t="s">
        <v>73</v>
      </c>
      <c r="Y2" s="4" t="s">
        <v>74</v>
      </c>
      <c r="Z2" s="4" t="s">
        <v>74</v>
      </c>
      <c r="AA2" s="3">
        <v>6</v>
      </c>
      <c r="AB2" s="3">
        <v>2</v>
      </c>
      <c r="AC2" s="3">
        <v>10</v>
      </c>
      <c r="AD2" s="3">
        <v>1</v>
      </c>
      <c r="AE2" s="3">
        <v>1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 t="s">
        <v>63</v>
      </c>
      <c r="AS2" s="2" t="s">
        <v>63</v>
      </c>
      <c r="AU2" s="5" t="str">
        <f>HYPERLINK("https://creighton-primo.hosted.exlibrisgroup.com/primo-explore/search?tab=default_tab&amp;search_scope=EVERYTHING&amp;vid=01CRU&amp;lang=en_US&amp;offset=0&amp;query=any,contains,991000911909702656","Catalog Record")</f>
        <v>Catalog Record</v>
      </c>
      <c r="AV2" s="5" t="str">
        <f>HYPERLINK("http://www.worldcat.org/oclc/14795894","WorldCat Record")</f>
        <v>WorldCat Record</v>
      </c>
      <c r="AW2" s="2" t="s">
        <v>75</v>
      </c>
      <c r="AX2" s="2" t="s">
        <v>76</v>
      </c>
      <c r="AY2" s="2" t="s">
        <v>77</v>
      </c>
      <c r="AZ2" s="2" t="s">
        <v>77</v>
      </c>
      <c r="BA2" s="2" t="s">
        <v>78</v>
      </c>
      <c r="BB2" s="2" t="s">
        <v>79</v>
      </c>
      <c r="BE2" s="2" t="s">
        <v>80</v>
      </c>
      <c r="BF2" s="2" t="s">
        <v>81</v>
      </c>
    </row>
    <row r="3" spans="1:58" ht="46.5" customHeight="1">
      <c r="A3" s="1"/>
      <c r="B3" s="1" t="s">
        <v>58</v>
      </c>
      <c r="C3" s="1" t="s">
        <v>59</v>
      </c>
      <c r="D3" s="1" t="s">
        <v>82</v>
      </c>
      <c r="E3" s="1" t="s">
        <v>83</v>
      </c>
      <c r="F3" s="1" t="s">
        <v>84</v>
      </c>
      <c r="H3" s="2" t="s">
        <v>63</v>
      </c>
      <c r="I3" s="2" t="s">
        <v>64</v>
      </c>
      <c r="J3" s="2" t="s">
        <v>63</v>
      </c>
      <c r="K3" s="2" t="s">
        <v>63</v>
      </c>
      <c r="L3" s="2" t="s">
        <v>65</v>
      </c>
      <c r="M3" s="1" t="s">
        <v>85</v>
      </c>
      <c r="N3" s="1" t="s">
        <v>86</v>
      </c>
      <c r="O3" s="2" t="s">
        <v>87</v>
      </c>
      <c r="P3" s="1" t="s">
        <v>88</v>
      </c>
      <c r="Q3" s="2" t="s">
        <v>70</v>
      </c>
      <c r="R3" s="2" t="s">
        <v>89</v>
      </c>
      <c r="T3" s="2" t="s">
        <v>72</v>
      </c>
      <c r="U3" s="3">
        <v>4</v>
      </c>
      <c r="V3" s="3">
        <v>4</v>
      </c>
      <c r="W3" s="4" t="s">
        <v>90</v>
      </c>
      <c r="X3" s="4" t="s">
        <v>90</v>
      </c>
      <c r="Y3" s="4" t="s">
        <v>91</v>
      </c>
      <c r="Z3" s="4" t="s">
        <v>91</v>
      </c>
      <c r="AA3" s="3">
        <v>139</v>
      </c>
      <c r="AB3" s="3">
        <v>102</v>
      </c>
      <c r="AC3" s="3">
        <v>355</v>
      </c>
      <c r="AD3" s="3">
        <v>1</v>
      </c>
      <c r="AE3" s="3">
        <v>3</v>
      </c>
      <c r="AF3" s="3">
        <v>4</v>
      </c>
      <c r="AG3" s="3">
        <v>9</v>
      </c>
      <c r="AH3" s="3">
        <v>3</v>
      </c>
      <c r="AI3" s="3">
        <v>3</v>
      </c>
      <c r="AJ3" s="3">
        <v>0</v>
      </c>
      <c r="AK3" s="3">
        <v>1</v>
      </c>
      <c r="AL3" s="3">
        <v>1</v>
      </c>
      <c r="AM3" s="3">
        <v>5</v>
      </c>
      <c r="AN3" s="3">
        <v>0</v>
      </c>
      <c r="AO3" s="3">
        <v>1</v>
      </c>
      <c r="AP3" s="3">
        <v>0</v>
      </c>
      <c r="AQ3" s="3">
        <v>0</v>
      </c>
      <c r="AR3" s="2" t="s">
        <v>63</v>
      </c>
      <c r="AS3" s="2" t="s">
        <v>92</v>
      </c>
      <c r="AT3" s="5" t="str">
        <f>HYPERLINK("http://catalog.hathitrust.org/Record/000811926","HathiTrust Record")</f>
        <v>HathiTrust Record</v>
      </c>
      <c r="AU3" s="5" t="str">
        <f>HYPERLINK("https://creighton-primo.hosted.exlibrisgroup.com/primo-explore/search?tab=default_tab&amp;search_scope=EVERYTHING&amp;vid=01CRU&amp;lang=en_US&amp;offset=0&amp;query=any,contains,991000747119702656","Catalog Record")</f>
        <v>Catalog Record</v>
      </c>
      <c r="AV3" s="5" t="str">
        <f>HYPERLINK("http://www.worldcat.org/oclc/14188822","WorldCat Record")</f>
        <v>WorldCat Record</v>
      </c>
      <c r="AW3" s="2" t="s">
        <v>93</v>
      </c>
      <c r="AX3" s="2" t="s">
        <v>94</v>
      </c>
      <c r="AY3" s="2" t="s">
        <v>95</v>
      </c>
      <c r="AZ3" s="2" t="s">
        <v>95</v>
      </c>
      <c r="BA3" s="2" t="s">
        <v>96</v>
      </c>
      <c r="BB3" s="2" t="s">
        <v>79</v>
      </c>
      <c r="BD3" s="2" t="s">
        <v>97</v>
      </c>
      <c r="BE3" s="2" t="s">
        <v>98</v>
      </c>
      <c r="BF3" s="2" t="s">
        <v>99</v>
      </c>
    </row>
    <row r="4" spans="1:58" ht="46.5" customHeight="1">
      <c r="A4" s="1"/>
      <c r="B4" s="1" t="s">
        <v>58</v>
      </c>
      <c r="C4" s="1" t="s">
        <v>59</v>
      </c>
      <c r="D4" s="1" t="s">
        <v>100</v>
      </c>
      <c r="E4" s="1" t="s">
        <v>101</v>
      </c>
      <c r="F4" s="1" t="s">
        <v>102</v>
      </c>
      <c r="H4" s="2" t="s">
        <v>63</v>
      </c>
      <c r="I4" s="2" t="s">
        <v>64</v>
      </c>
      <c r="J4" s="2" t="s">
        <v>63</v>
      </c>
      <c r="K4" s="2" t="s">
        <v>63</v>
      </c>
      <c r="L4" s="2" t="s">
        <v>65</v>
      </c>
      <c r="M4" s="1" t="s">
        <v>85</v>
      </c>
      <c r="N4" s="1" t="s">
        <v>103</v>
      </c>
      <c r="O4" s="2" t="s">
        <v>104</v>
      </c>
      <c r="P4" s="1" t="s">
        <v>105</v>
      </c>
      <c r="Q4" s="2" t="s">
        <v>70</v>
      </c>
      <c r="R4" s="2" t="s">
        <v>89</v>
      </c>
      <c r="T4" s="2" t="s">
        <v>72</v>
      </c>
      <c r="U4" s="3">
        <v>22</v>
      </c>
      <c r="V4" s="3">
        <v>22</v>
      </c>
      <c r="W4" s="4" t="s">
        <v>106</v>
      </c>
      <c r="X4" s="4" t="s">
        <v>106</v>
      </c>
      <c r="Y4" s="4" t="s">
        <v>91</v>
      </c>
      <c r="Z4" s="4" t="s">
        <v>91</v>
      </c>
      <c r="AA4" s="3">
        <v>259</v>
      </c>
      <c r="AB4" s="3">
        <v>210</v>
      </c>
      <c r="AC4" s="3">
        <v>395</v>
      </c>
      <c r="AD4" s="3">
        <v>2</v>
      </c>
      <c r="AE4" s="3">
        <v>4</v>
      </c>
      <c r="AF4" s="3">
        <v>3</v>
      </c>
      <c r="AG4" s="3">
        <v>10</v>
      </c>
      <c r="AH4" s="3">
        <v>1</v>
      </c>
      <c r="AI4" s="3">
        <v>3</v>
      </c>
      <c r="AJ4" s="3">
        <v>0</v>
      </c>
      <c r="AK4" s="3">
        <v>1</v>
      </c>
      <c r="AL4" s="3">
        <v>2</v>
      </c>
      <c r="AM4" s="3">
        <v>5</v>
      </c>
      <c r="AN4" s="3">
        <v>0</v>
      </c>
      <c r="AO4" s="3">
        <v>2</v>
      </c>
      <c r="AP4" s="3">
        <v>0</v>
      </c>
      <c r="AQ4" s="3">
        <v>0</v>
      </c>
      <c r="AR4" s="2" t="s">
        <v>63</v>
      </c>
      <c r="AS4" s="2" t="s">
        <v>92</v>
      </c>
      <c r="AT4" s="5" t="str">
        <f>HYPERLINK("http://catalog.hathitrust.org/Record/000335221","HathiTrust Record")</f>
        <v>HathiTrust Record</v>
      </c>
      <c r="AU4" s="5" t="str">
        <f>HYPERLINK("https://creighton-primo.hosted.exlibrisgroup.com/primo-explore/search?tab=default_tab&amp;search_scope=EVERYTHING&amp;vid=01CRU&amp;lang=en_US&amp;offset=0&amp;query=any,contains,991000747169702656","Catalog Record")</f>
        <v>Catalog Record</v>
      </c>
      <c r="AV4" s="5" t="str">
        <f>HYPERLINK("http://www.worldcat.org/oclc/11030357","WorldCat Record")</f>
        <v>WorldCat Record</v>
      </c>
      <c r="AW4" s="2" t="s">
        <v>107</v>
      </c>
      <c r="AX4" s="2" t="s">
        <v>108</v>
      </c>
      <c r="AY4" s="2" t="s">
        <v>109</v>
      </c>
      <c r="AZ4" s="2" t="s">
        <v>109</v>
      </c>
      <c r="BA4" s="2" t="s">
        <v>110</v>
      </c>
      <c r="BB4" s="2" t="s">
        <v>79</v>
      </c>
      <c r="BD4" s="2" t="s">
        <v>111</v>
      </c>
      <c r="BE4" s="2" t="s">
        <v>112</v>
      </c>
      <c r="BF4" s="2" t="s">
        <v>113</v>
      </c>
    </row>
    <row r="5" spans="1:58" ht="46.5" customHeight="1">
      <c r="A5" s="1"/>
      <c r="B5" s="1" t="s">
        <v>58</v>
      </c>
      <c r="C5" s="1" t="s">
        <v>59</v>
      </c>
      <c r="D5" s="1" t="s">
        <v>114</v>
      </c>
      <c r="E5" s="1" t="s">
        <v>115</v>
      </c>
      <c r="F5" s="1" t="s">
        <v>116</v>
      </c>
      <c r="H5" s="2" t="s">
        <v>63</v>
      </c>
      <c r="I5" s="2" t="s">
        <v>64</v>
      </c>
      <c r="J5" s="2" t="s">
        <v>63</v>
      </c>
      <c r="K5" s="2" t="s">
        <v>92</v>
      </c>
      <c r="L5" s="2" t="s">
        <v>117</v>
      </c>
      <c r="N5" s="1" t="s">
        <v>118</v>
      </c>
      <c r="O5" s="2" t="s">
        <v>119</v>
      </c>
      <c r="Q5" s="2" t="s">
        <v>70</v>
      </c>
      <c r="R5" s="2" t="s">
        <v>89</v>
      </c>
      <c r="S5" s="1" t="s">
        <v>120</v>
      </c>
      <c r="T5" s="2" t="s">
        <v>72</v>
      </c>
      <c r="U5" s="3">
        <v>57</v>
      </c>
      <c r="V5" s="3">
        <v>57</v>
      </c>
      <c r="W5" s="4" t="s">
        <v>121</v>
      </c>
      <c r="X5" s="4" t="s">
        <v>121</v>
      </c>
      <c r="Y5" s="4" t="s">
        <v>74</v>
      </c>
      <c r="Z5" s="4" t="s">
        <v>74</v>
      </c>
      <c r="AA5" s="3">
        <v>142</v>
      </c>
      <c r="AB5" s="3">
        <v>107</v>
      </c>
      <c r="AC5" s="3">
        <v>1372</v>
      </c>
      <c r="AD5" s="3">
        <v>1</v>
      </c>
      <c r="AE5" s="3">
        <v>18</v>
      </c>
      <c r="AF5" s="3">
        <v>2</v>
      </c>
      <c r="AG5" s="3">
        <v>39</v>
      </c>
      <c r="AH5" s="3">
        <v>1</v>
      </c>
      <c r="AI5" s="3">
        <v>12</v>
      </c>
      <c r="AJ5" s="3">
        <v>0</v>
      </c>
      <c r="AK5" s="3">
        <v>6</v>
      </c>
      <c r="AL5" s="3">
        <v>1</v>
      </c>
      <c r="AM5" s="3">
        <v>16</v>
      </c>
      <c r="AN5" s="3">
        <v>0</v>
      </c>
      <c r="AO5" s="3">
        <v>11</v>
      </c>
      <c r="AP5" s="3">
        <v>0</v>
      </c>
      <c r="AQ5" s="3">
        <v>0</v>
      </c>
      <c r="AR5" s="2" t="s">
        <v>63</v>
      </c>
      <c r="AS5" s="2" t="s">
        <v>63</v>
      </c>
      <c r="AU5" s="5" t="str">
        <f>HYPERLINK("https://creighton-primo.hosted.exlibrisgroup.com/primo-explore/search?tab=default_tab&amp;search_scope=EVERYTHING&amp;vid=01CRU&amp;lang=en_US&amp;offset=0&amp;query=any,contains,991000914819702656","Catalog Record")</f>
        <v>Catalog Record</v>
      </c>
      <c r="AV5" s="5" t="str">
        <f>HYPERLINK("http://www.worldcat.org/oclc/9033464","WorldCat Record")</f>
        <v>WorldCat Record</v>
      </c>
      <c r="AW5" s="2" t="s">
        <v>122</v>
      </c>
      <c r="AX5" s="2" t="s">
        <v>123</v>
      </c>
      <c r="AY5" s="2" t="s">
        <v>124</v>
      </c>
      <c r="AZ5" s="2" t="s">
        <v>124</v>
      </c>
      <c r="BA5" s="2" t="s">
        <v>125</v>
      </c>
      <c r="BB5" s="2" t="s">
        <v>79</v>
      </c>
      <c r="BD5" s="2" t="s">
        <v>126</v>
      </c>
      <c r="BE5" s="2" t="s">
        <v>127</v>
      </c>
      <c r="BF5" s="2" t="s">
        <v>128</v>
      </c>
    </row>
    <row r="6" spans="1:58" ht="46.5" customHeight="1">
      <c r="A6" s="1"/>
      <c r="B6" s="1" t="s">
        <v>58</v>
      </c>
      <c r="C6" s="1" t="s">
        <v>59</v>
      </c>
      <c r="D6" s="1" t="s">
        <v>129</v>
      </c>
      <c r="E6" s="1" t="s">
        <v>130</v>
      </c>
      <c r="F6" s="1" t="s">
        <v>116</v>
      </c>
      <c r="H6" s="2" t="s">
        <v>63</v>
      </c>
      <c r="I6" s="2" t="s">
        <v>64</v>
      </c>
      <c r="J6" s="2" t="s">
        <v>63</v>
      </c>
      <c r="K6" s="2" t="s">
        <v>92</v>
      </c>
      <c r="L6" s="2" t="s">
        <v>117</v>
      </c>
      <c r="N6" s="1" t="s">
        <v>131</v>
      </c>
      <c r="O6" s="2" t="s">
        <v>132</v>
      </c>
      <c r="P6" s="1" t="s">
        <v>105</v>
      </c>
      <c r="Q6" s="2" t="s">
        <v>70</v>
      </c>
      <c r="R6" s="2" t="s">
        <v>133</v>
      </c>
      <c r="T6" s="2" t="s">
        <v>72</v>
      </c>
      <c r="U6" s="3">
        <v>96</v>
      </c>
      <c r="V6" s="3">
        <v>96</v>
      </c>
      <c r="W6" s="4" t="s">
        <v>134</v>
      </c>
      <c r="X6" s="4" t="s">
        <v>134</v>
      </c>
      <c r="Y6" s="4" t="s">
        <v>135</v>
      </c>
      <c r="Z6" s="4" t="s">
        <v>135</v>
      </c>
      <c r="AA6" s="3">
        <v>156</v>
      </c>
      <c r="AB6" s="3">
        <v>108</v>
      </c>
      <c r="AC6" s="3">
        <v>1372</v>
      </c>
      <c r="AD6" s="3">
        <v>1</v>
      </c>
      <c r="AE6" s="3">
        <v>18</v>
      </c>
      <c r="AF6" s="3">
        <v>0</v>
      </c>
      <c r="AG6" s="3">
        <v>39</v>
      </c>
      <c r="AH6" s="3">
        <v>0</v>
      </c>
      <c r="AI6" s="3">
        <v>12</v>
      </c>
      <c r="AJ6" s="3">
        <v>0</v>
      </c>
      <c r="AK6" s="3">
        <v>6</v>
      </c>
      <c r="AL6" s="3">
        <v>0</v>
      </c>
      <c r="AM6" s="3">
        <v>16</v>
      </c>
      <c r="AN6" s="3">
        <v>0</v>
      </c>
      <c r="AO6" s="3">
        <v>11</v>
      </c>
      <c r="AP6" s="3">
        <v>0</v>
      </c>
      <c r="AQ6" s="3">
        <v>0</v>
      </c>
      <c r="AR6" s="2" t="s">
        <v>63</v>
      </c>
      <c r="AS6" s="2" t="s">
        <v>63</v>
      </c>
      <c r="AU6" s="5" t="str">
        <f>HYPERLINK("https://creighton-primo.hosted.exlibrisgroup.com/primo-explore/search?tab=default_tab&amp;search_scope=EVERYTHING&amp;vid=01CRU&amp;lang=en_US&amp;offset=0&amp;query=any,contains,991001305969702656","Catalog Record")</f>
        <v>Catalog Record</v>
      </c>
      <c r="AV6" s="5" t="str">
        <f>HYPERLINK("http://www.worldcat.org/oclc/25662331","WorldCat Record")</f>
        <v>WorldCat Record</v>
      </c>
      <c r="AW6" s="2" t="s">
        <v>122</v>
      </c>
      <c r="AX6" s="2" t="s">
        <v>136</v>
      </c>
      <c r="AY6" s="2" t="s">
        <v>137</v>
      </c>
      <c r="AZ6" s="2" t="s">
        <v>137</v>
      </c>
      <c r="BA6" s="2" t="s">
        <v>138</v>
      </c>
      <c r="BB6" s="2" t="s">
        <v>79</v>
      </c>
      <c r="BD6" s="2" t="s">
        <v>139</v>
      </c>
      <c r="BE6" s="2" t="s">
        <v>140</v>
      </c>
      <c r="BF6" s="2" t="s">
        <v>141</v>
      </c>
    </row>
    <row r="7" spans="1:58" ht="46.5" customHeight="1">
      <c r="A7" s="1"/>
      <c r="B7" s="1" t="s">
        <v>58</v>
      </c>
      <c r="C7" s="1" t="s">
        <v>59</v>
      </c>
      <c r="D7" s="1" t="s">
        <v>142</v>
      </c>
      <c r="E7" s="1" t="s">
        <v>143</v>
      </c>
      <c r="F7" s="1" t="s">
        <v>116</v>
      </c>
      <c r="H7" s="2" t="s">
        <v>63</v>
      </c>
      <c r="I7" s="2" t="s">
        <v>64</v>
      </c>
      <c r="J7" s="2" t="s">
        <v>63</v>
      </c>
      <c r="K7" s="2" t="s">
        <v>92</v>
      </c>
      <c r="L7" s="2" t="s">
        <v>117</v>
      </c>
      <c r="N7" s="1" t="s">
        <v>144</v>
      </c>
      <c r="O7" s="2" t="s">
        <v>145</v>
      </c>
      <c r="P7" s="1" t="s">
        <v>88</v>
      </c>
      <c r="Q7" s="2" t="s">
        <v>70</v>
      </c>
      <c r="R7" s="2" t="s">
        <v>133</v>
      </c>
      <c r="T7" s="2" t="s">
        <v>72</v>
      </c>
      <c r="U7" s="3">
        <v>203</v>
      </c>
      <c r="V7" s="3">
        <v>203</v>
      </c>
      <c r="W7" s="4" t="s">
        <v>121</v>
      </c>
      <c r="X7" s="4" t="s">
        <v>121</v>
      </c>
      <c r="Y7" s="4" t="s">
        <v>146</v>
      </c>
      <c r="Z7" s="4" t="s">
        <v>146</v>
      </c>
      <c r="AA7" s="3">
        <v>191</v>
      </c>
      <c r="AB7" s="3">
        <v>132</v>
      </c>
      <c r="AC7" s="3">
        <v>1372</v>
      </c>
      <c r="AD7" s="3">
        <v>1</v>
      </c>
      <c r="AE7" s="3">
        <v>18</v>
      </c>
      <c r="AF7" s="3">
        <v>1</v>
      </c>
      <c r="AG7" s="3">
        <v>39</v>
      </c>
      <c r="AH7" s="3">
        <v>0</v>
      </c>
      <c r="AI7" s="3">
        <v>12</v>
      </c>
      <c r="AJ7" s="3">
        <v>0</v>
      </c>
      <c r="AK7" s="3">
        <v>6</v>
      </c>
      <c r="AL7" s="3">
        <v>1</v>
      </c>
      <c r="AM7" s="3">
        <v>16</v>
      </c>
      <c r="AN7" s="3">
        <v>0</v>
      </c>
      <c r="AO7" s="3">
        <v>11</v>
      </c>
      <c r="AP7" s="3">
        <v>0</v>
      </c>
      <c r="AQ7" s="3">
        <v>0</v>
      </c>
      <c r="AR7" s="2" t="s">
        <v>63</v>
      </c>
      <c r="AS7" s="2" t="s">
        <v>63</v>
      </c>
      <c r="AU7" s="5" t="str">
        <f>HYPERLINK("https://creighton-primo.hosted.exlibrisgroup.com/primo-explore/search?tab=default_tab&amp;search_scope=EVERYTHING&amp;vid=01CRU&amp;lang=en_US&amp;offset=0&amp;query=any,contains,991001400229702656","Catalog Record")</f>
        <v>Catalog Record</v>
      </c>
      <c r="AV7" s="5" t="str">
        <f>HYPERLINK("http://www.worldcat.org/oclc/31430586","WorldCat Record")</f>
        <v>WorldCat Record</v>
      </c>
      <c r="AW7" s="2" t="s">
        <v>122</v>
      </c>
      <c r="AX7" s="2" t="s">
        <v>147</v>
      </c>
      <c r="AY7" s="2" t="s">
        <v>148</v>
      </c>
      <c r="AZ7" s="2" t="s">
        <v>148</v>
      </c>
      <c r="BA7" s="2" t="s">
        <v>149</v>
      </c>
      <c r="BB7" s="2" t="s">
        <v>79</v>
      </c>
      <c r="BD7" s="2" t="s">
        <v>150</v>
      </c>
      <c r="BE7" s="2" t="s">
        <v>151</v>
      </c>
      <c r="BF7" s="2" t="s">
        <v>152</v>
      </c>
    </row>
    <row r="8" spans="1:58" ht="46.5" customHeight="1">
      <c r="A8" s="1"/>
      <c r="B8" s="1" t="s">
        <v>58</v>
      </c>
      <c r="C8" s="1" t="s">
        <v>59</v>
      </c>
      <c r="D8" s="1" t="s">
        <v>153</v>
      </c>
      <c r="E8" s="1" t="s">
        <v>154</v>
      </c>
      <c r="F8" s="1" t="s">
        <v>155</v>
      </c>
      <c r="H8" s="2" t="s">
        <v>63</v>
      </c>
      <c r="I8" s="2" t="s">
        <v>64</v>
      </c>
      <c r="J8" s="2" t="s">
        <v>63</v>
      </c>
      <c r="K8" s="2" t="s">
        <v>63</v>
      </c>
      <c r="L8" s="2" t="s">
        <v>65</v>
      </c>
      <c r="N8" s="1" t="s">
        <v>156</v>
      </c>
      <c r="O8" s="2" t="s">
        <v>119</v>
      </c>
      <c r="P8" s="1" t="s">
        <v>157</v>
      </c>
      <c r="Q8" s="2" t="s">
        <v>70</v>
      </c>
      <c r="R8" s="2" t="s">
        <v>89</v>
      </c>
      <c r="T8" s="2" t="s">
        <v>72</v>
      </c>
      <c r="U8" s="3">
        <v>8</v>
      </c>
      <c r="V8" s="3">
        <v>8</v>
      </c>
      <c r="W8" s="4" t="s">
        <v>158</v>
      </c>
      <c r="X8" s="4" t="s">
        <v>158</v>
      </c>
      <c r="Y8" s="4" t="s">
        <v>159</v>
      </c>
      <c r="Z8" s="4" t="s">
        <v>159</v>
      </c>
      <c r="AA8" s="3">
        <v>34</v>
      </c>
      <c r="AB8" s="3">
        <v>30</v>
      </c>
      <c r="AC8" s="3">
        <v>241</v>
      </c>
      <c r="AD8" s="3">
        <v>1</v>
      </c>
      <c r="AE8" s="3">
        <v>4</v>
      </c>
      <c r="AF8" s="3">
        <v>0</v>
      </c>
      <c r="AG8" s="3">
        <v>7</v>
      </c>
      <c r="AH8" s="3">
        <v>0</v>
      </c>
      <c r="AI8" s="3">
        <v>1</v>
      </c>
      <c r="AJ8" s="3">
        <v>0</v>
      </c>
      <c r="AK8" s="3">
        <v>2</v>
      </c>
      <c r="AL8" s="3">
        <v>0</v>
      </c>
      <c r="AM8" s="3">
        <v>3</v>
      </c>
      <c r="AN8" s="3">
        <v>0</v>
      </c>
      <c r="AO8" s="3">
        <v>2</v>
      </c>
      <c r="AP8" s="3">
        <v>0</v>
      </c>
      <c r="AQ8" s="3">
        <v>0</v>
      </c>
      <c r="AR8" s="2" t="s">
        <v>63</v>
      </c>
      <c r="AS8" s="2" t="s">
        <v>63</v>
      </c>
      <c r="AU8" s="5" t="str">
        <f>HYPERLINK("https://creighton-primo.hosted.exlibrisgroup.com/primo-explore/search?tab=default_tab&amp;search_scope=EVERYTHING&amp;vid=01CRU&amp;lang=en_US&amp;offset=0&amp;query=any,contains,991000522669702656","Catalog Record")</f>
        <v>Catalog Record</v>
      </c>
      <c r="AV8" s="5" t="str">
        <f>HYPERLINK("http://www.worldcat.org/oclc/7716677","WorldCat Record")</f>
        <v>WorldCat Record</v>
      </c>
      <c r="AW8" s="2" t="s">
        <v>160</v>
      </c>
      <c r="AX8" s="2" t="s">
        <v>161</v>
      </c>
      <c r="AY8" s="2" t="s">
        <v>162</v>
      </c>
      <c r="AZ8" s="2" t="s">
        <v>162</v>
      </c>
      <c r="BA8" s="2" t="s">
        <v>163</v>
      </c>
      <c r="BB8" s="2" t="s">
        <v>79</v>
      </c>
      <c r="BD8" s="2" t="s">
        <v>164</v>
      </c>
      <c r="BE8" s="2" t="s">
        <v>165</v>
      </c>
      <c r="BF8" s="2" t="s">
        <v>166</v>
      </c>
    </row>
    <row r="9" spans="1:58" ht="46.5" customHeight="1">
      <c r="A9" s="1"/>
      <c r="B9" s="1" t="s">
        <v>58</v>
      </c>
      <c r="C9" s="1" t="s">
        <v>59</v>
      </c>
      <c r="D9" s="1" t="s">
        <v>167</v>
      </c>
      <c r="E9" s="1" t="s">
        <v>168</v>
      </c>
      <c r="F9" s="1" t="s">
        <v>169</v>
      </c>
      <c r="H9" s="2" t="s">
        <v>63</v>
      </c>
      <c r="I9" s="2" t="s">
        <v>64</v>
      </c>
      <c r="J9" s="2" t="s">
        <v>63</v>
      </c>
      <c r="K9" s="2" t="s">
        <v>92</v>
      </c>
      <c r="L9" s="2" t="s">
        <v>65</v>
      </c>
      <c r="M9" s="1" t="s">
        <v>170</v>
      </c>
      <c r="N9" s="1" t="s">
        <v>171</v>
      </c>
      <c r="O9" s="2" t="s">
        <v>172</v>
      </c>
      <c r="Q9" s="2" t="s">
        <v>70</v>
      </c>
      <c r="R9" s="2" t="s">
        <v>89</v>
      </c>
      <c r="S9" s="1" t="s">
        <v>173</v>
      </c>
      <c r="T9" s="2" t="s">
        <v>72</v>
      </c>
      <c r="U9" s="3">
        <v>11</v>
      </c>
      <c r="V9" s="3">
        <v>11</v>
      </c>
      <c r="W9" s="4" t="s">
        <v>174</v>
      </c>
      <c r="X9" s="4" t="s">
        <v>174</v>
      </c>
      <c r="Y9" s="4" t="s">
        <v>74</v>
      </c>
      <c r="Z9" s="4" t="s">
        <v>74</v>
      </c>
      <c r="AA9" s="3">
        <v>9</v>
      </c>
      <c r="AB9" s="3">
        <v>9</v>
      </c>
      <c r="AC9" s="3">
        <v>77</v>
      </c>
      <c r="AD9" s="3">
        <v>1</v>
      </c>
      <c r="AE9" s="3">
        <v>1</v>
      </c>
      <c r="AF9" s="3">
        <v>0</v>
      </c>
      <c r="AG9" s="3">
        <v>1</v>
      </c>
      <c r="AH9" s="3">
        <v>0</v>
      </c>
      <c r="AI9" s="3">
        <v>1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2" t="s">
        <v>63</v>
      </c>
      <c r="AS9" s="2" t="s">
        <v>63</v>
      </c>
      <c r="AU9" s="5" t="str">
        <f>HYPERLINK("https://creighton-primo.hosted.exlibrisgroup.com/primo-explore/search?tab=default_tab&amp;search_scope=EVERYTHING&amp;vid=01CRU&amp;lang=en_US&amp;offset=0&amp;query=any,contains,991000914019702656","Catalog Record")</f>
        <v>Catalog Record</v>
      </c>
      <c r="AV9" s="5" t="str">
        <f>HYPERLINK("http://www.worldcat.org/oclc/8688632","WorldCat Record")</f>
        <v>WorldCat Record</v>
      </c>
      <c r="AW9" s="2" t="s">
        <v>175</v>
      </c>
      <c r="AX9" s="2" t="s">
        <v>176</v>
      </c>
      <c r="AY9" s="2" t="s">
        <v>177</v>
      </c>
      <c r="AZ9" s="2" t="s">
        <v>177</v>
      </c>
      <c r="BA9" s="2" t="s">
        <v>178</v>
      </c>
      <c r="BB9" s="2" t="s">
        <v>79</v>
      </c>
      <c r="BD9" s="2" t="s">
        <v>179</v>
      </c>
      <c r="BE9" s="2" t="s">
        <v>180</v>
      </c>
      <c r="BF9" s="2" t="s">
        <v>181</v>
      </c>
    </row>
    <row r="10" spans="1:58" ht="46.5" customHeight="1">
      <c r="A10" s="1"/>
      <c r="B10" s="1" t="s">
        <v>58</v>
      </c>
      <c r="C10" s="1" t="s">
        <v>59</v>
      </c>
      <c r="D10" s="1" t="s">
        <v>182</v>
      </c>
      <c r="E10" s="1" t="s">
        <v>183</v>
      </c>
      <c r="F10" s="1" t="s">
        <v>184</v>
      </c>
      <c r="H10" s="2" t="s">
        <v>63</v>
      </c>
      <c r="I10" s="2" t="s">
        <v>64</v>
      </c>
      <c r="J10" s="2" t="s">
        <v>63</v>
      </c>
      <c r="K10" s="2" t="s">
        <v>63</v>
      </c>
      <c r="L10" s="2" t="s">
        <v>65</v>
      </c>
      <c r="M10" s="1" t="s">
        <v>185</v>
      </c>
      <c r="N10" s="1" t="s">
        <v>186</v>
      </c>
      <c r="O10" s="2" t="s">
        <v>119</v>
      </c>
      <c r="Q10" s="2" t="s">
        <v>70</v>
      </c>
      <c r="R10" s="2" t="s">
        <v>89</v>
      </c>
      <c r="T10" s="2" t="s">
        <v>72</v>
      </c>
      <c r="U10" s="3">
        <v>19</v>
      </c>
      <c r="V10" s="3">
        <v>19</v>
      </c>
      <c r="W10" s="4" t="s">
        <v>90</v>
      </c>
      <c r="X10" s="4" t="s">
        <v>90</v>
      </c>
      <c r="Y10" s="4" t="s">
        <v>74</v>
      </c>
      <c r="Z10" s="4" t="s">
        <v>74</v>
      </c>
      <c r="AA10" s="3">
        <v>72</v>
      </c>
      <c r="AB10" s="3">
        <v>63</v>
      </c>
      <c r="AC10" s="3">
        <v>63</v>
      </c>
      <c r="AD10" s="3">
        <v>1</v>
      </c>
      <c r="AE10" s="3">
        <v>1</v>
      </c>
      <c r="AF10" s="3">
        <v>2</v>
      </c>
      <c r="AG10" s="3">
        <v>2</v>
      </c>
      <c r="AH10" s="3">
        <v>0</v>
      </c>
      <c r="AI10" s="3">
        <v>0</v>
      </c>
      <c r="AJ10" s="3">
        <v>0</v>
      </c>
      <c r="AK10" s="3">
        <v>0</v>
      </c>
      <c r="AL10" s="3">
        <v>2</v>
      </c>
      <c r="AM10" s="3">
        <v>2</v>
      </c>
      <c r="AN10" s="3">
        <v>0</v>
      </c>
      <c r="AO10" s="3">
        <v>0</v>
      </c>
      <c r="AP10" s="3">
        <v>0</v>
      </c>
      <c r="AQ10" s="3">
        <v>0</v>
      </c>
      <c r="AR10" s="2" t="s">
        <v>63</v>
      </c>
      <c r="AS10" s="2" t="s">
        <v>63</v>
      </c>
      <c r="AU10" s="5" t="str">
        <f>HYPERLINK("https://creighton-primo.hosted.exlibrisgroup.com/primo-explore/search?tab=default_tab&amp;search_scope=EVERYTHING&amp;vid=01CRU&amp;lang=en_US&amp;offset=0&amp;query=any,contains,991000913629702656","Catalog Record")</f>
        <v>Catalog Record</v>
      </c>
      <c r="AV10" s="5" t="str">
        <f>HYPERLINK("http://www.worldcat.org/oclc/7577473","WorldCat Record")</f>
        <v>WorldCat Record</v>
      </c>
      <c r="AW10" s="2" t="s">
        <v>187</v>
      </c>
      <c r="AX10" s="2" t="s">
        <v>188</v>
      </c>
      <c r="AY10" s="2" t="s">
        <v>189</v>
      </c>
      <c r="AZ10" s="2" t="s">
        <v>189</v>
      </c>
      <c r="BA10" s="2" t="s">
        <v>190</v>
      </c>
      <c r="BB10" s="2" t="s">
        <v>79</v>
      </c>
      <c r="BE10" s="2" t="s">
        <v>191</v>
      </c>
      <c r="BF10" s="2" t="s">
        <v>192</v>
      </c>
    </row>
    <row r="11" spans="1:58" ht="46.5" customHeight="1">
      <c r="A11" s="1"/>
      <c r="B11" s="1" t="s">
        <v>58</v>
      </c>
      <c r="C11" s="1" t="s">
        <v>59</v>
      </c>
      <c r="D11" s="1" t="s">
        <v>193</v>
      </c>
      <c r="E11" s="1" t="s">
        <v>194</v>
      </c>
      <c r="F11" s="1" t="s">
        <v>195</v>
      </c>
      <c r="H11" s="2" t="s">
        <v>63</v>
      </c>
      <c r="I11" s="2" t="s">
        <v>64</v>
      </c>
      <c r="J11" s="2" t="s">
        <v>63</v>
      </c>
      <c r="K11" s="2" t="s">
        <v>92</v>
      </c>
      <c r="L11" s="2" t="s">
        <v>65</v>
      </c>
      <c r="M11" s="1" t="s">
        <v>196</v>
      </c>
      <c r="N11" s="1" t="s">
        <v>197</v>
      </c>
      <c r="O11" s="2" t="s">
        <v>198</v>
      </c>
      <c r="P11" s="1" t="s">
        <v>199</v>
      </c>
      <c r="Q11" s="2" t="s">
        <v>70</v>
      </c>
      <c r="R11" s="2" t="s">
        <v>200</v>
      </c>
      <c r="T11" s="2" t="s">
        <v>72</v>
      </c>
      <c r="U11" s="3">
        <v>23</v>
      </c>
      <c r="V11" s="3">
        <v>23</v>
      </c>
      <c r="W11" s="4" t="s">
        <v>201</v>
      </c>
      <c r="X11" s="4" t="s">
        <v>201</v>
      </c>
      <c r="Y11" s="4" t="s">
        <v>202</v>
      </c>
      <c r="Z11" s="4" t="s">
        <v>202</v>
      </c>
      <c r="AA11" s="3">
        <v>299</v>
      </c>
      <c r="AB11" s="3">
        <v>215</v>
      </c>
      <c r="AC11" s="3">
        <v>294</v>
      </c>
      <c r="AD11" s="3">
        <v>1</v>
      </c>
      <c r="AE11" s="3">
        <v>1</v>
      </c>
      <c r="AF11" s="3">
        <v>4</v>
      </c>
      <c r="AG11" s="3">
        <v>5</v>
      </c>
      <c r="AH11" s="3">
        <v>1</v>
      </c>
      <c r="AI11" s="3">
        <v>2</v>
      </c>
      <c r="AJ11" s="3">
        <v>2</v>
      </c>
      <c r="AK11" s="3">
        <v>2</v>
      </c>
      <c r="AL11" s="3">
        <v>1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2" t="s">
        <v>63</v>
      </c>
      <c r="AS11" s="2" t="s">
        <v>92</v>
      </c>
      <c r="AT11" s="5" t="str">
        <f>HYPERLINK("http://catalog.hathitrust.org/Record/002499333","HathiTrust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HYPERLINK("https://creighton-primo.hosted.exlibrisgroup.com/primo-explore/search?tab=default_tab&amp;search_scope=EVERYTHING&amp;vid=01CRU&amp;lang=en_US&amp;offset=0&amp;query=any,contains,991001032679702656","Catalog Record")</f>
        <v>Catalog Record</v>
      </c>
      <c r="AV11" s="5" t="str">
        <f>HYPERLINK("http://www.worldcat.org/oclc/24106311","WorldCat Record")</f>
        <v>WorldCat Record</v>
      </c>
      <c r="AW11" s="2" t="s">
        <v>203</v>
      </c>
      <c r="AX11" s="2" t="s">
        <v>204</v>
      </c>
      <c r="AY11" s="2" t="s">
        <v>205</v>
      </c>
      <c r="AZ11" s="2" t="s">
        <v>205</v>
      </c>
      <c r="BA11" s="2" t="s">
        <v>206</v>
      </c>
      <c r="BB11" s="2" t="s">
        <v>79</v>
      </c>
      <c r="BD11" s="2" t="s">
        <v>207</v>
      </c>
      <c r="BE11" s="2" t="s">
        <v>208</v>
      </c>
      <c r="BF11" s="2" t="s">
        <v>209</v>
      </c>
    </row>
    <row r="12" spans="1:58" ht="46.5" customHeight="1">
      <c r="A12" s="1"/>
      <c r="B12" s="1" t="s">
        <v>58</v>
      </c>
      <c r="C12" s="1" t="s">
        <v>59</v>
      </c>
      <c r="D12" s="1" t="s">
        <v>210</v>
      </c>
      <c r="E12" s="1" t="s">
        <v>211</v>
      </c>
      <c r="F12" s="1" t="s">
        <v>212</v>
      </c>
      <c r="H12" s="2" t="s">
        <v>63</v>
      </c>
      <c r="I12" s="2" t="s">
        <v>64</v>
      </c>
      <c r="J12" s="2" t="s">
        <v>63</v>
      </c>
      <c r="K12" s="2" t="s">
        <v>63</v>
      </c>
      <c r="L12" s="2" t="s">
        <v>65</v>
      </c>
      <c r="M12" s="1" t="s">
        <v>213</v>
      </c>
      <c r="N12" s="1" t="s">
        <v>214</v>
      </c>
      <c r="O12" s="2" t="s">
        <v>215</v>
      </c>
      <c r="P12" s="1" t="s">
        <v>216</v>
      </c>
      <c r="Q12" s="2" t="s">
        <v>70</v>
      </c>
      <c r="R12" s="2" t="s">
        <v>89</v>
      </c>
      <c r="T12" s="2" t="s">
        <v>72</v>
      </c>
      <c r="U12" s="3">
        <v>3</v>
      </c>
      <c r="V12" s="3">
        <v>3</v>
      </c>
      <c r="W12" s="4" t="s">
        <v>217</v>
      </c>
      <c r="X12" s="4" t="s">
        <v>217</v>
      </c>
      <c r="Y12" s="4" t="s">
        <v>91</v>
      </c>
      <c r="Z12" s="4" t="s">
        <v>91</v>
      </c>
      <c r="AA12" s="3">
        <v>164</v>
      </c>
      <c r="AB12" s="3">
        <v>149</v>
      </c>
      <c r="AC12" s="3">
        <v>151</v>
      </c>
      <c r="AD12" s="3">
        <v>2</v>
      </c>
      <c r="AE12" s="3">
        <v>2</v>
      </c>
      <c r="AF12" s="3">
        <v>2</v>
      </c>
      <c r="AG12" s="3">
        <v>2</v>
      </c>
      <c r="AH12" s="3">
        <v>1</v>
      </c>
      <c r="AI12" s="3">
        <v>1</v>
      </c>
      <c r="AJ12" s="3">
        <v>0</v>
      </c>
      <c r="AK12" s="3">
        <v>0</v>
      </c>
      <c r="AL12" s="3">
        <v>0</v>
      </c>
      <c r="AM12" s="3">
        <v>0</v>
      </c>
      <c r="AN12" s="3">
        <v>1</v>
      </c>
      <c r="AO12" s="3">
        <v>1</v>
      </c>
      <c r="AP12" s="3">
        <v>0</v>
      </c>
      <c r="AQ12" s="3">
        <v>0</v>
      </c>
      <c r="AR12" s="2" t="s">
        <v>63</v>
      </c>
      <c r="AS12" s="2" t="s">
        <v>92</v>
      </c>
      <c r="AT12" s="5" t="str">
        <f>HYPERLINK("http://catalog.hathitrust.org/Record/000286238","HathiTrust Record")</f>
        <v>HathiTrust Record</v>
      </c>
      <c r="AU12" s="5" t="str">
        <f>HYPERLINK("https://creighton-primo.hosted.exlibrisgroup.com/primo-explore/search?tab=default_tab&amp;search_scope=EVERYTHING&amp;vid=01CRU&amp;lang=en_US&amp;offset=0&amp;query=any,contains,991000747219702656","Catalog Record")</f>
        <v>Catalog Record</v>
      </c>
      <c r="AV12" s="5" t="str">
        <f>HYPERLINK("http://www.worldcat.org/oclc/9757786","WorldCat Record")</f>
        <v>WorldCat Record</v>
      </c>
      <c r="AW12" s="2" t="s">
        <v>218</v>
      </c>
      <c r="AX12" s="2" t="s">
        <v>219</v>
      </c>
      <c r="AY12" s="2" t="s">
        <v>220</v>
      </c>
      <c r="AZ12" s="2" t="s">
        <v>220</v>
      </c>
      <c r="BA12" s="2" t="s">
        <v>221</v>
      </c>
      <c r="BB12" s="2" t="s">
        <v>79</v>
      </c>
      <c r="BD12" s="2" t="s">
        <v>222</v>
      </c>
      <c r="BE12" s="2" t="s">
        <v>223</v>
      </c>
      <c r="BF12" s="2" t="s">
        <v>224</v>
      </c>
    </row>
    <row r="13" spans="1:58" ht="46.5" customHeight="1">
      <c r="A13" s="1"/>
      <c r="B13" s="1" t="s">
        <v>58</v>
      </c>
      <c r="C13" s="1" t="s">
        <v>59</v>
      </c>
      <c r="D13" s="1" t="s">
        <v>225</v>
      </c>
      <c r="E13" s="1" t="s">
        <v>226</v>
      </c>
      <c r="F13" s="1" t="s">
        <v>227</v>
      </c>
      <c r="H13" s="2" t="s">
        <v>63</v>
      </c>
      <c r="I13" s="2" t="s">
        <v>64</v>
      </c>
      <c r="J13" s="2" t="s">
        <v>63</v>
      </c>
      <c r="K13" s="2" t="s">
        <v>63</v>
      </c>
      <c r="L13" s="2" t="s">
        <v>65</v>
      </c>
      <c r="N13" s="1" t="s">
        <v>228</v>
      </c>
      <c r="O13" s="2" t="s">
        <v>229</v>
      </c>
      <c r="P13" s="1" t="s">
        <v>230</v>
      </c>
      <c r="Q13" s="2" t="s">
        <v>70</v>
      </c>
      <c r="R13" s="2" t="s">
        <v>231</v>
      </c>
      <c r="T13" s="2" t="s">
        <v>72</v>
      </c>
      <c r="U13" s="3">
        <v>11</v>
      </c>
      <c r="V13" s="3">
        <v>11</v>
      </c>
      <c r="W13" s="4" t="s">
        <v>232</v>
      </c>
      <c r="X13" s="4" t="s">
        <v>232</v>
      </c>
      <c r="Y13" s="4" t="s">
        <v>233</v>
      </c>
      <c r="Z13" s="4" t="s">
        <v>233</v>
      </c>
      <c r="AA13" s="3">
        <v>209</v>
      </c>
      <c r="AB13" s="3">
        <v>112</v>
      </c>
      <c r="AC13" s="3">
        <v>113</v>
      </c>
      <c r="AD13" s="3">
        <v>1</v>
      </c>
      <c r="AE13" s="3">
        <v>1</v>
      </c>
      <c r="AF13" s="3">
        <v>3</v>
      </c>
      <c r="AG13" s="3">
        <v>3</v>
      </c>
      <c r="AH13" s="3">
        <v>2</v>
      </c>
      <c r="AI13" s="3">
        <v>2</v>
      </c>
      <c r="AJ13" s="3">
        <v>0</v>
      </c>
      <c r="AK13" s="3">
        <v>0</v>
      </c>
      <c r="AL13" s="3">
        <v>1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2" t="s">
        <v>63</v>
      </c>
      <c r="AS13" s="2" t="s">
        <v>63</v>
      </c>
      <c r="AU13" s="5" t="str">
        <f>HYPERLINK("https://creighton-primo.hosted.exlibrisgroup.com/primo-explore/search?tab=default_tab&amp;search_scope=EVERYTHING&amp;vid=01CRU&amp;lang=en_US&amp;offset=0&amp;query=any,contains,991001047369702656","Catalog Record")</f>
        <v>Catalog Record</v>
      </c>
      <c r="AV13" s="5" t="str">
        <f>HYPERLINK("http://www.worldcat.org/oclc/36719740","WorldCat Record")</f>
        <v>WorldCat Record</v>
      </c>
      <c r="AW13" s="2" t="s">
        <v>234</v>
      </c>
      <c r="AX13" s="2" t="s">
        <v>235</v>
      </c>
      <c r="AY13" s="2" t="s">
        <v>236</v>
      </c>
      <c r="AZ13" s="2" t="s">
        <v>236</v>
      </c>
      <c r="BA13" s="2" t="s">
        <v>237</v>
      </c>
      <c r="BB13" s="2" t="s">
        <v>79</v>
      </c>
      <c r="BD13" s="2" t="s">
        <v>238</v>
      </c>
      <c r="BE13" s="2" t="s">
        <v>239</v>
      </c>
      <c r="BF13" s="2" t="s">
        <v>240</v>
      </c>
    </row>
    <row r="14" spans="1:58" ht="46.5" customHeight="1">
      <c r="A14" s="1"/>
      <c r="B14" s="1" t="s">
        <v>58</v>
      </c>
      <c r="C14" s="1" t="s">
        <v>59</v>
      </c>
      <c r="D14" s="1" t="s">
        <v>241</v>
      </c>
      <c r="E14" s="1" t="s">
        <v>242</v>
      </c>
      <c r="F14" s="1" t="s">
        <v>243</v>
      </c>
      <c r="H14" s="2" t="s">
        <v>63</v>
      </c>
      <c r="I14" s="2" t="s">
        <v>64</v>
      </c>
      <c r="J14" s="2" t="s">
        <v>63</v>
      </c>
      <c r="K14" s="2" t="s">
        <v>63</v>
      </c>
      <c r="L14" s="2" t="s">
        <v>65</v>
      </c>
      <c r="M14" s="1" t="s">
        <v>244</v>
      </c>
      <c r="N14" s="1" t="s">
        <v>245</v>
      </c>
      <c r="O14" s="2" t="s">
        <v>132</v>
      </c>
      <c r="Q14" s="2" t="s">
        <v>70</v>
      </c>
      <c r="R14" s="2" t="s">
        <v>200</v>
      </c>
      <c r="T14" s="2" t="s">
        <v>72</v>
      </c>
      <c r="U14" s="3">
        <v>4</v>
      </c>
      <c r="V14" s="3">
        <v>4</v>
      </c>
      <c r="W14" s="4" t="s">
        <v>246</v>
      </c>
      <c r="X14" s="4" t="s">
        <v>246</v>
      </c>
      <c r="Y14" s="4" t="s">
        <v>247</v>
      </c>
      <c r="Z14" s="4" t="s">
        <v>247</v>
      </c>
      <c r="AA14" s="3">
        <v>182</v>
      </c>
      <c r="AB14" s="3">
        <v>155</v>
      </c>
      <c r="AC14" s="3">
        <v>157</v>
      </c>
      <c r="AD14" s="3">
        <v>1</v>
      </c>
      <c r="AE14" s="3">
        <v>1</v>
      </c>
      <c r="AF14" s="3">
        <v>4</v>
      </c>
      <c r="AG14" s="3">
        <v>4</v>
      </c>
      <c r="AH14" s="3">
        <v>3</v>
      </c>
      <c r="AI14" s="3">
        <v>3</v>
      </c>
      <c r="AJ14" s="3">
        <v>1</v>
      </c>
      <c r="AK14" s="3">
        <v>1</v>
      </c>
      <c r="AL14" s="3">
        <v>2</v>
      </c>
      <c r="AM14" s="3">
        <v>2</v>
      </c>
      <c r="AN14" s="3">
        <v>0</v>
      </c>
      <c r="AO14" s="3">
        <v>0</v>
      </c>
      <c r="AP14" s="3">
        <v>0</v>
      </c>
      <c r="AQ14" s="3">
        <v>0</v>
      </c>
      <c r="AR14" s="2" t="s">
        <v>63</v>
      </c>
      <c r="AS14" s="2" t="s">
        <v>92</v>
      </c>
      <c r="AT14" s="5" t="str">
        <f>HYPERLINK("http://catalog.hathitrust.org/Record/002600353","HathiTrust Record")</f>
        <v>HathiTrust Record</v>
      </c>
      <c r="AU14" s="5" t="str">
        <f>HYPERLINK("https://creighton-primo.hosted.exlibrisgroup.com/primo-explore/search?tab=default_tab&amp;search_scope=EVERYTHING&amp;vid=01CRU&amp;lang=en_US&amp;offset=0&amp;query=any,contains,991001297399702656","Catalog Record")</f>
        <v>Catalog Record</v>
      </c>
      <c r="AV14" s="5" t="str">
        <f>HYPERLINK("http://www.worldcat.org/oclc/24626753","WorldCat Record")</f>
        <v>WorldCat Record</v>
      </c>
      <c r="AW14" s="2" t="s">
        <v>248</v>
      </c>
      <c r="AX14" s="2" t="s">
        <v>249</v>
      </c>
      <c r="AY14" s="2" t="s">
        <v>250</v>
      </c>
      <c r="AZ14" s="2" t="s">
        <v>250</v>
      </c>
      <c r="BA14" s="2" t="s">
        <v>251</v>
      </c>
      <c r="BB14" s="2" t="s">
        <v>79</v>
      </c>
      <c r="BD14" s="2" t="s">
        <v>252</v>
      </c>
      <c r="BE14" s="2" t="s">
        <v>253</v>
      </c>
      <c r="BF14" s="2" t="s">
        <v>254</v>
      </c>
    </row>
    <row r="15" spans="1:58" ht="46.5" customHeight="1">
      <c r="A15" s="1"/>
      <c r="B15" s="1" t="s">
        <v>58</v>
      </c>
      <c r="C15" s="1" t="s">
        <v>59</v>
      </c>
      <c r="D15" s="1" t="s">
        <v>255</v>
      </c>
      <c r="E15" s="1" t="s">
        <v>256</v>
      </c>
      <c r="F15" s="1" t="s">
        <v>257</v>
      </c>
      <c r="H15" s="2" t="s">
        <v>63</v>
      </c>
      <c r="I15" s="2" t="s">
        <v>64</v>
      </c>
      <c r="J15" s="2" t="s">
        <v>63</v>
      </c>
      <c r="K15" s="2" t="s">
        <v>63</v>
      </c>
      <c r="L15" s="2" t="s">
        <v>65</v>
      </c>
      <c r="N15" s="1" t="s">
        <v>258</v>
      </c>
      <c r="O15" s="2" t="s">
        <v>172</v>
      </c>
      <c r="P15" s="1" t="s">
        <v>259</v>
      </c>
      <c r="Q15" s="2" t="s">
        <v>70</v>
      </c>
      <c r="R15" s="2" t="s">
        <v>260</v>
      </c>
      <c r="T15" s="2" t="s">
        <v>72</v>
      </c>
      <c r="U15" s="3">
        <v>58</v>
      </c>
      <c r="V15" s="3">
        <v>58</v>
      </c>
      <c r="W15" s="4" t="s">
        <v>261</v>
      </c>
      <c r="X15" s="4" t="s">
        <v>261</v>
      </c>
      <c r="Y15" s="4" t="s">
        <v>262</v>
      </c>
      <c r="Z15" s="4" t="s">
        <v>262</v>
      </c>
      <c r="AA15" s="3">
        <v>140</v>
      </c>
      <c r="AB15" s="3">
        <v>100</v>
      </c>
      <c r="AC15" s="3">
        <v>170</v>
      </c>
      <c r="AD15" s="3">
        <v>1</v>
      </c>
      <c r="AE15" s="3">
        <v>2</v>
      </c>
      <c r="AF15" s="3">
        <v>2</v>
      </c>
      <c r="AG15" s="3">
        <v>5</v>
      </c>
      <c r="AH15" s="3">
        <v>1</v>
      </c>
      <c r="AI15" s="3">
        <v>1</v>
      </c>
      <c r="AJ15" s="3">
        <v>1</v>
      </c>
      <c r="AK15" s="3">
        <v>1</v>
      </c>
      <c r="AL15" s="3">
        <v>0</v>
      </c>
      <c r="AM15" s="3">
        <v>2</v>
      </c>
      <c r="AN15" s="3">
        <v>0</v>
      </c>
      <c r="AO15" s="3">
        <v>1</v>
      </c>
      <c r="AP15" s="3">
        <v>0</v>
      </c>
      <c r="AQ15" s="3">
        <v>0</v>
      </c>
      <c r="AR15" s="2" t="s">
        <v>63</v>
      </c>
      <c r="AS15" s="2" t="s">
        <v>92</v>
      </c>
      <c r="AT15" s="5" t="str">
        <f>HYPERLINK("http://catalog.hathitrust.org/Record/000204072","HathiTrust Record")</f>
        <v>HathiTrust Record</v>
      </c>
      <c r="AU15" s="5" t="str">
        <f>HYPERLINK("https://creighton-primo.hosted.exlibrisgroup.com/primo-explore/search?tab=default_tab&amp;search_scope=EVERYTHING&amp;vid=01CRU&amp;lang=en_US&amp;offset=0&amp;query=any,contains,991000747259702656","Catalog Record")</f>
        <v>Catalog Record</v>
      </c>
      <c r="AV15" s="5" t="str">
        <f>HYPERLINK("http://www.worldcat.org/oclc/9110763","WorldCat Record")</f>
        <v>WorldCat Record</v>
      </c>
      <c r="AW15" s="2" t="s">
        <v>263</v>
      </c>
      <c r="AX15" s="2" t="s">
        <v>264</v>
      </c>
      <c r="AY15" s="2" t="s">
        <v>265</v>
      </c>
      <c r="AZ15" s="2" t="s">
        <v>265</v>
      </c>
      <c r="BA15" s="2" t="s">
        <v>266</v>
      </c>
      <c r="BB15" s="2" t="s">
        <v>79</v>
      </c>
      <c r="BD15" s="2" t="s">
        <v>267</v>
      </c>
      <c r="BE15" s="2" t="s">
        <v>268</v>
      </c>
      <c r="BF15" s="2" t="s">
        <v>269</v>
      </c>
    </row>
    <row r="16" spans="1:58" ht="46.5" customHeight="1">
      <c r="A16" s="1"/>
      <c r="B16" s="1" t="s">
        <v>58</v>
      </c>
      <c r="C16" s="1" t="s">
        <v>59</v>
      </c>
      <c r="D16" s="1" t="s">
        <v>270</v>
      </c>
      <c r="E16" s="1" t="s">
        <v>271</v>
      </c>
      <c r="F16" s="1" t="s">
        <v>272</v>
      </c>
      <c r="H16" s="2" t="s">
        <v>63</v>
      </c>
      <c r="I16" s="2" t="s">
        <v>273</v>
      </c>
      <c r="J16" s="2" t="s">
        <v>63</v>
      </c>
      <c r="K16" s="2" t="s">
        <v>92</v>
      </c>
      <c r="L16" s="2" t="s">
        <v>64</v>
      </c>
      <c r="N16" s="1" t="s">
        <v>274</v>
      </c>
      <c r="O16" s="2" t="s">
        <v>275</v>
      </c>
      <c r="P16" s="1" t="s">
        <v>276</v>
      </c>
      <c r="Q16" s="2" t="s">
        <v>70</v>
      </c>
      <c r="R16" s="2" t="s">
        <v>277</v>
      </c>
      <c r="T16" s="2" t="s">
        <v>72</v>
      </c>
      <c r="U16" s="3">
        <v>209</v>
      </c>
      <c r="V16" s="3">
        <v>209</v>
      </c>
      <c r="W16" s="4" t="s">
        <v>278</v>
      </c>
      <c r="X16" s="4" t="s">
        <v>278</v>
      </c>
      <c r="Y16" s="4" t="s">
        <v>279</v>
      </c>
      <c r="Z16" s="4" t="s">
        <v>279</v>
      </c>
      <c r="AA16" s="3">
        <v>765</v>
      </c>
      <c r="AB16" s="3">
        <v>561</v>
      </c>
      <c r="AC16" s="3">
        <v>1895</v>
      </c>
      <c r="AD16" s="3">
        <v>2</v>
      </c>
      <c r="AE16" s="3">
        <v>7</v>
      </c>
      <c r="AF16" s="3">
        <v>8</v>
      </c>
      <c r="AG16" s="3">
        <v>45</v>
      </c>
      <c r="AH16" s="3">
        <v>4</v>
      </c>
      <c r="AI16" s="3">
        <v>23</v>
      </c>
      <c r="AJ16" s="3">
        <v>2</v>
      </c>
      <c r="AK16" s="3">
        <v>9</v>
      </c>
      <c r="AL16" s="3">
        <v>4</v>
      </c>
      <c r="AM16" s="3">
        <v>20</v>
      </c>
      <c r="AN16" s="3">
        <v>0</v>
      </c>
      <c r="AO16" s="3">
        <v>2</v>
      </c>
      <c r="AP16" s="3">
        <v>0</v>
      </c>
      <c r="AQ16" s="3">
        <v>1</v>
      </c>
      <c r="AR16" s="2" t="s">
        <v>63</v>
      </c>
      <c r="AS16" s="2" t="s">
        <v>92</v>
      </c>
      <c r="AT16" s="5" t="str">
        <f>HYPERLINK("http://catalog.hathitrust.org/Record/003021364","HathiTrust Record")</f>
        <v>HathiTrust Record</v>
      </c>
      <c r="AU16" s="5" t="str">
        <f>HYPERLINK("https://creighton-primo.hosted.exlibrisgroup.com/primo-explore/search?tab=default_tab&amp;search_scope=EVERYTHING&amp;vid=01CRU&amp;lang=en_US&amp;offset=0&amp;query=any,contains,991000841779702656","Catalog Record")</f>
        <v>Catalog Record</v>
      </c>
      <c r="AV16" s="5" t="str">
        <f>HYPERLINK("http://www.worldcat.org/oclc/33008049","WorldCat Record")</f>
        <v>WorldCat Record</v>
      </c>
      <c r="AW16" s="2" t="s">
        <v>280</v>
      </c>
      <c r="AX16" s="2" t="s">
        <v>281</v>
      </c>
      <c r="AY16" s="2" t="s">
        <v>282</v>
      </c>
      <c r="AZ16" s="2" t="s">
        <v>282</v>
      </c>
      <c r="BA16" s="2" t="s">
        <v>283</v>
      </c>
      <c r="BB16" s="2" t="s">
        <v>79</v>
      </c>
      <c r="BD16" s="2" t="s">
        <v>284</v>
      </c>
      <c r="BE16" s="2" t="s">
        <v>285</v>
      </c>
      <c r="BF16" s="2" t="s">
        <v>286</v>
      </c>
    </row>
    <row r="17" spans="1:58" ht="46.5" customHeight="1">
      <c r="A17" s="1"/>
      <c r="B17" s="1" t="s">
        <v>58</v>
      </c>
      <c r="C17" s="1" t="s">
        <v>59</v>
      </c>
      <c r="D17" s="1" t="s">
        <v>287</v>
      </c>
      <c r="E17" s="1" t="s">
        <v>288</v>
      </c>
      <c r="F17" s="1" t="s">
        <v>289</v>
      </c>
      <c r="H17" s="2" t="s">
        <v>63</v>
      </c>
      <c r="I17" s="2" t="s">
        <v>64</v>
      </c>
      <c r="J17" s="2" t="s">
        <v>63</v>
      </c>
      <c r="K17" s="2" t="s">
        <v>92</v>
      </c>
      <c r="L17" s="2" t="s">
        <v>65</v>
      </c>
      <c r="M17" s="1" t="s">
        <v>290</v>
      </c>
      <c r="N17" s="1" t="s">
        <v>291</v>
      </c>
      <c r="O17" s="2" t="s">
        <v>292</v>
      </c>
      <c r="P17" s="1" t="s">
        <v>293</v>
      </c>
      <c r="Q17" s="2" t="s">
        <v>70</v>
      </c>
      <c r="R17" s="2" t="s">
        <v>89</v>
      </c>
      <c r="T17" s="2" t="s">
        <v>72</v>
      </c>
      <c r="U17" s="3">
        <v>42</v>
      </c>
      <c r="V17" s="3">
        <v>42</v>
      </c>
      <c r="W17" s="4" t="s">
        <v>294</v>
      </c>
      <c r="X17" s="4" t="s">
        <v>294</v>
      </c>
      <c r="Y17" s="4" t="s">
        <v>295</v>
      </c>
      <c r="Z17" s="4" t="s">
        <v>295</v>
      </c>
      <c r="AA17" s="3">
        <v>234</v>
      </c>
      <c r="AB17" s="3">
        <v>176</v>
      </c>
      <c r="AC17" s="3">
        <v>294</v>
      </c>
      <c r="AD17" s="3">
        <v>1</v>
      </c>
      <c r="AE17" s="3">
        <v>1</v>
      </c>
      <c r="AF17" s="3">
        <v>3</v>
      </c>
      <c r="AG17" s="3">
        <v>5</v>
      </c>
      <c r="AH17" s="3">
        <v>2</v>
      </c>
      <c r="AI17" s="3">
        <v>2</v>
      </c>
      <c r="AJ17" s="3">
        <v>1</v>
      </c>
      <c r="AK17" s="3">
        <v>2</v>
      </c>
      <c r="AL17" s="3">
        <v>0</v>
      </c>
      <c r="AM17" s="3">
        <v>1</v>
      </c>
      <c r="AN17" s="3">
        <v>0</v>
      </c>
      <c r="AO17" s="3">
        <v>0</v>
      </c>
      <c r="AP17" s="3">
        <v>0</v>
      </c>
      <c r="AQ17" s="3">
        <v>0</v>
      </c>
      <c r="AR17" s="2" t="s">
        <v>63</v>
      </c>
      <c r="AS17" s="2" t="s">
        <v>92</v>
      </c>
      <c r="AT17" s="5" t="str">
        <f>HYPERLINK("http://catalog.hathitrust.org/Record/000906549","HathiTrust Record")</f>
        <v>HathiTrust Record</v>
      </c>
      <c r="AU17" s="5" t="str">
        <f>HYPERLINK("https://creighton-primo.hosted.exlibrisgroup.com/primo-explore/search?tab=default_tab&amp;search_scope=EVERYTHING&amp;vid=01CRU&amp;lang=en_US&amp;offset=0&amp;query=any,contains,991000764269702656","Catalog Record")</f>
        <v>Catalog Record</v>
      </c>
      <c r="AV17" s="5" t="str">
        <f>HYPERLINK("http://www.worldcat.org/oclc/16682259","WorldCat Record")</f>
        <v>WorldCat Record</v>
      </c>
      <c r="AW17" s="2" t="s">
        <v>203</v>
      </c>
      <c r="AX17" s="2" t="s">
        <v>296</v>
      </c>
      <c r="AY17" s="2" t="s">
        <v>297</v>
      </c>
      <c r="AZ17" s="2" t="s">
        <v>297</v>
      </c>
      <c r="BA17" s="2" t="s">
        <v>298</v>
      </c>
      <c r="BB17" s="2" t="s">
        <v>79</v>
      </c>
      <c r="BD17" s="2" t="s">
        <v>299</v>
      </c>
      <c r="BE17" s="2" t="s">
        <v>300</v>
      </c>
      <c r="BF17" s="2" t="s">
        <v>301</v>
      </c>
    </row>
    <row r="18" spans="1:58" ht="46.5" customHeight="1">
      <c r="A18" s="1"/>
      <c r="B18" s="1" t="s">
        <v>58</v>
      </c>
      <c r="C18" s="1" t="s">
        <v>59</v>
      </c>
      <c r="D18" s="1" t="s">
        <v>302</v>
      </c>
      <c r="E18" s="1" t="s">
        <v>303</v>
      </c>
      <c r="F18" s="1" t="s">
        <v>304</v>
      </c>
      <c r="H18" s="2" t="s">
        <v>63</v>
      </c>
      <c r="I18" s="2" t="s">
        <v>64</v>
      </c>
      <c r="J18" s="2" t="s">
        <v>63</v>
      </c>
      <c r="K18" s="2" t="s">
        <v>63</v>
      </c>
      <c r="L18" s="2" t="s">
        <v>65</v>
      </c>
      <c r="M18" s="1" t="s">
        <v>305</v>
      </c>
      <c r="N18" s="1" t="s">
        <v>306</v>
      </c>
      <c r="O18" s="2" t="s">
        <v>307</v>
      </c>
      <c r="P18" s="1" t="s">
        <v>308</v>
      </c>
      <c r="Q18" s="2" t="s">
        <v>70</v>
      </c>
      <c r="R18" s="2" t="s">
        <v>89</v>
      </c>
      <c r="T18" s="2" t="s">
        <v>72</v>
      </c>
      <c r="U18" s="3">
        <v>5</v>
      </c>
      <c r="V18" s="3">
        <v>5</v>
      </c>
      <c r="W18" s="4" t="s">
        <v>309</v>
      </c>
      <c r="X18" s="4" t="s">
        <v>309</v>
      </c>
      <c r="Y18" s="4" t="s">
        <v>262</v>
      </c>
      <c r="Z18" s="4" t="s">
        <v>262</v>
      </c>
      <c r="AA18" s="3">
        <v>243</v>
      </c>
      <c r="AB18" s="3">
        <v>207</v>
      </c>
      <c r="AC18" s="3">
        <v>209</v>
      </c>
      <c r="AD18" s="3">
        <v>1</v>
      </c>
      <c r="AE18" s="3">
        <v>1</v>
      </c>
      <c r="AF18" s="3">
        <v>4</v>
      </c>
      <c r="AG18" s="3">
        <v>4</v>
      </c>
      <c r="AH18" s="3">
        <v>2</v>
      </c>
      <c r="AI18" s="3">
        <v>2</v>
      </c>
      <c r="AJ18" s="3">
        <v>0</v>
      </c>
      <c r="AK18" s="3">
        <v>0</v>
      </c>
      <c r="AL18" s="3">
        <v>3</v>
      </c>
      <c r="AM18" s="3">
        <v>3</v>
      </c>
      <c r="AN18" s="3">
        <v>0</v>
      </c>
      <c r="AO18" s="3">
        <v>0</v>
      </c>
      <c r="AP18" s="3">
        <v>0</v>
      </c>
      <c r="AQ18" s="3">
        <v>0</v>
      </c>
      <c r="AR18" s="2" t="s">
        <v>63</v>
      </c>
      <c r="AS18" s="2" t="s">
        <v>92</v>
      </c>
      <c r="AT18" s="5" t="str">
        <f>HYPERLINK("http://catalog.hathitrust.org/Record/000427080","HathiTrust Record")</f>
        <v>HathiTrust Record</v>
      </c>
      <c r="AU18" s="5" t="str">
        <f>HYPERLINK("https://creighton-primo.hosted.exlibrisgroup.com/primo-explore/search?tab=default_tab&amp;search_scope=EVERYTHING&amp;vid=01CRU&amp;lang=en_US&amp;offset=0&amp;query=any,contains,991000747329702656","Catalog Record")</f>
        <v>Catalog Record</v>
      </c>
      <c r="AV18" s="5" t="str">
        <f>HYPERLINK("http://www.worldcat.org/oclc/12558387","WorldCat Record")</f>
        <v>WorldCat Record</v>
      </c>
      <c r="AW18" s="2" t="s">
        <v>310</v>
      </c>
      <c r="AX18" s="2" t="s">
        <v>311</v>
      </c>
      <c r="AY18" s="2" t="s">
        <v>312</v>
      </c>
      <c r="AZ18" s="2" t="s">
        <v>312</v>
      </c>
      <c r="BA18" s="2" t="s">
        <v>313</v>
      </c>
      <c r="BB18" s="2" t="s">
        <v>79</v>
      </c>
      <c r="BD18" s="2" t="s">
        <v>314</v>
      </c>
      <c r="BE18" s="2" t="s">
        <v>315</v>
      </c>
      <c r="BF18" s="2" t="s">
        <v>316</v>
      </c>
    </row>
    <row r="19" spans="1:58" ht="46.5" customHeight="1">
      <c r="A19" s="1"/>
      <c r="B19" s="1" t="s">
        <v>58</v>
      </c>
      <c r="C19" s="1" t="s">
        <v>59</v>
      </c>
      <c r="D19" s="1" t="s">
        <v>317</v>
      </c>
      <c r="E19" s="1" t="s">
        <v>318</v>
      </c>
      <c r="F19" s="1" t="s">
        <v>319</v>
      </c>
      <c r="H19" s="2" t="s">
        <v>63</v>
      </c>
      <c r="I19" s="2" t="s">
        <v>64</v>
      </c>
      <c r="J19" s="2" t="s">
        <v>63</v>
      </c>
      <c r="K19" s="2" t="s">
        <v>63</v>
      </c>
      <c r="L19" s="2" t="s">
        <v>65</v>
      </c>
      <c r="M19" s="1" t="s">
        <v>320</v>
      </c>
      <c r="N19" s="1" t="s">
        <v>321</v>
      </c>
      <c r="O19" s="2" t="s">
        <v>87</v>
      </c>
      <c r="P19" s="1" t="s">
        <v>157</v>
      </c>
      <c r="Q19" s="2" t="s">
        <v>70</v>
      </c>
      <c r="R19" s="2" t="s">
        <v>322</v>
      </c>
      <c r="T19" s="2" t="s">
        <v>72</v>
      </c>
      <c r="U19" s="3">
        <v>22</v>
      </c>
      <c r="V19" s="3">
        <v>22</v>
      </c>
      <c r="W19" s="4" t="s">
        <v>323</v>
      </c>
      <c r="X19" s="4" t="s">
        <v>323</v>
      </c>
      <c r="Y19" s="4" t="s">
        <v>74</v>
      </c>
      <c r="Z19" s="4" t="s">
        <v>74</v>
      </c>
      <c r="AA19" s="3">
        <v>22</v>
      </c>
      <c r="AB19" s="3">
        <v>18</v>
      </c>
      <c r="AC19" s="3">
        <v>119</v>
      </c>
      <c r="AD19" s="3">
        <v>1</v>
      </c>
      <c r="AE19" s="3">
        <v>3</v>
      </c>
      <c r="AF19" s="3">
        <v>0</v>
      </c>
      <c r="AG19" s="3">
        <v>2</v>
      </c>
      <c r="AH19" s="3">
        <v>0</v>
      </c>
      <c r="AI19" s="3">
        <v>1</v>
      </c>
      <c r="AJ19" s="3">
        <v>0</v>
      </c>
      <c r="AK19" s="3">
        <v>0</v>
      </c>
      <c r="AL19" s="3">
        <v>0</v>
      </c>
      <c r="AM19" s="3">
        <v>1</v>
      </c>
      <c r="AN19" s="3">
        <v>0</v>
      </c>
      <c r="AO19" s="3">
        <v>1</v>
      </c>
      <c r="AP19" s="3">
        <v>0</v>
      </c>
      <c r="AQ19" s="3">
        <v>0</v>
      </c>
      <c r="AR19" s="2" t="s">
        <v>63</v>
      </c>
      <c r="AS19" s="2" t="s">
        <v>63</v>
      </c>
      <c r="AU19" s="5" t="str">
        <f>HYPERLINK("https://creighton-primo.hosted.exlibrisgroup.com/primo-explore/search?tab=default_tab&amp;search_scope=EVERYTHING&amp;vid=01CRU&amp;lang=en_US&amp;offset=0&amp;query=any,contains,991000917189702656","Catalog Record")</f>
        <v>Catalog Record</v>
      </c>
      <c r="AV19" s="5" t="str">
        <f>HYPERLINK("http://www.worldcat.org/oclc/14548861","WorldCat Record")</f>
        <v>WorldCat Record</v>
      </c>
      <c r="AW19" s="2" t="s">
        <v>324</v>
      </c>
      <c r="AX19" s="2" t="s">
        <v>325</v>
      </c>
      <c r="AY19" s="2" t="s">
        <v>326</v>
      </c>
      <c r="AZ19" s="2" t="s">
        <v>326</v>
      </c>
      <c r="BA19" s="2" t="s">
        <v>327</v>
      </c>
      <c r="BB19" s="2" t="s">
        <v>79</v>
      </c>
      <c r="BD19" s="2" t="s">
        <v>328</v>
      </c>
      <c r="BE19" s="2" t="s">
        <v>329</v>
      </c>
      <c r="BF19" s="2" t="s">
        <v>330</v>
      </c>
    </row>
    <row r="20" spans="1:58" ht="46.5" customHeight="1">
      <c r="A20" s="1"/>
      <c r="B20" s="1" t="s">
        <v>58</v>
      </c>
      <c r="C20" s="1" t="s">
        <v>59</v>
      </c>
      <c r="D20" s="1" t="s">
        <v>331</v>
      </c>
      <c r="E20" s="1" t="s">
        <v>332</v>
      </c>
      <c r="F20" s="1" t="s">
        <v>333</v>
      </c>
      <c r="H20" s="2" t="s">
        <v>63</v>
      </c>
      <c r="I20" s="2" t="s">
        <v>64</v>
      </c>
      <c r="J20" s="2" t="s">
        <v>63</v>
      </c>
      <c r="K20" s="2" t="s">
        <v>63</v>
      </c>
      <c r="L20" s="2" t="s">
        <v>65</v>
      </c>
      <c r="N20" s="1" t="s">
        <v>334</v>
      </c>
      <c r="O20" s="2" t="s">
        <v>198</v>
      </c>
      <c r="Q20" s="2" t="s">
        <v>70</v>
      </c>
      <c r="R20" s="2" t="s">
        <v>89</v>
      </c>
      <c r="T20" s="2" t="s">
        <v>72</v>
      </c>
      <c r="U20" s="3">
        <v>65</v>
      </c>
      <c r="V20" s="3">
        <v>65</v>
      </c>
      <c r="W20" s="4" t="s">
        <v>335</v>
      </c>
      <c r="X20" s="4" t="s">
        <v>335</v>
      </c>
      <c r="Y20" s="4" t="s">
        <v>336</v>
      </c>
      <c r="Z20" s="4" t="s">
        <v>336</v>
      </c>
      <c r="AA20" s="3">
        <v>153</v>
      </c>
      <c r="AB20" s="3">
        <v>98</v>
      </c>
      <c r="AC20" s="3">
        <v>105</v>
      </c>
      <c r="AD20" s="3">
        <v>1</v>
      </c>
      <c r="AE20" s="3">
        <v>1</v>
      </c>
      <c r="AF20" s="3">
        <v>2</v>
      </c>
      <c r="AG20" s="3">
        <v>2</v>
      </c>
      <c r="AH20" s="3">
        <v>0</v>
      </c>
      <c r="AI20" s="3">
        <v>0</v>
      </c>
      <c r="AJ20" s="3">
        <v>0</v>
      </c>
      <c r="AK20" s="3">
        <v>0</v>
      </c>
      <c r="AL20" s="3">
        <v>2</v>
      </c>
      <c r="AM20" s="3">
        <v>2</v>
      </c>
      <c r="AN20" s="3">
        <v>0</v>
      </c>
      <c r="AO20" s="3">
        <v>0</v>
      </c>
      <c r="AP20" s="3">
        <v>0</v>
      </c>
      <c r="AQ20" s="3">
        <v>0</v>
      </c>
      <c r="AR20" s="2" t="s">
        <v>63</v>
      </c>
      <c r="AS20" s="2" t="s">
        <v>92</v>
      </c>
      <c r="AT20" s="5" t="str">
        <f>HYPERLINK("http://catalog.hathitrust.org/Record/002441641","HathiTrust Record")</f>
        <v>HathiTrust Record</v>
      </c>
      <c r="AU20" s="5" t="str">
        <f>HYPERLINK("https://creighton-primo.hosted.exlibrisgroup.com/primo-explore/search?tab=default_tab&amp;search_scope=EVERYTHING&amp;vid=01CRU&amp;lang=en_US&amp;offset=0&amp;query=any,contains,991001016879702656","Catalog Record")</f>
        <v>Catalog Record</v>
      </c>
      <c r="AV20" s="5" t="str">
        <f>HYPERLINK("http://www.worldcat.org/oclc/22813584","WorldCat Record")</f>
        <v>WorldCat Record</v>
      </c>
      <c r="AW20" s="2" t="s">
        <v>337</v>
      </c>
      <c r="AX20" s="2" t="s">
        <v>338</v>
      </c>
      <c r="AY20" s="2" t="s">
        <v>339</v>
      </c>
      <c r="AZ20" s="2" t="s">
        <v>339</v>
      </c>
      <c r="BA20" s="2" t="s">
        <v>340</v>
      </c>
      <c r="BB20" s="2" t="s">
        <v>79</v>
      </c>
      <c r="BD20" s="2" t="s">
        <v>341</v>
      </c>
      <c r="BE20" s="2" t="s">
        <v>342</v>
      </c>
      <c r="BF20" s="2" t="s">
        <v>343</v>
      </c>
    </row>
    <row r="21" spans="1:58" ht="46.5" customHeight="1">
      <c r="A21" s="1"/>
      <c r="B21" s="1" t="s">
        <v>58</v>
      </c>
      <c r="C21" s="1" t="s">
        <v>59</v>
      </c>
      <c r="D21" s="1" t="s">
        <v>344</v>
      </c>
      <c r="E21" s="1" t="s">
        <v>345</v>
      </c>
      <c r="F21" s="1" t="s">
        <v>346</v>
      </c>
      <c r="H21" s="2" t="s">
        <v>63</v>
      </c>
      <c r="I21" s="2" t="s">
        <v>64</v>
      </c>
      <c r="J21" s="2" t="s">
        <v>63</v>
      </c>
      <c r="K21" s="2" t="s">
        <v>63</v>
      </c>
      <c r="L21" s="2" t="s">
        <v>65</v>
      </c>
      <c r="N21" s="1" t="s">
        <v>347</v>
      </c>
      <c r="O21" s="2" t="s">
        <v>348</v>
      </c>
      <c r="P21" s="1" t="s">
        <v>259</v>
      </c>
      <c r="Q21" s="2" t="s">
        <v>70</v>
      </c>
      <c r="R21" s="2" t="s">
        <v>200</v>
      </c>
      <c r="T21" s="2" t="s">
        <v>72</v>
      </c>
      <c r="U21" s="3">
        <v>16</v>
      </c>
      <c r="V21" s="3">
        <v>16</v>
      </c>
      <c r="W21" s="4" t="s">
        <v>349</v>
      </c>
      <c r="X21" s="4" t="s">
        <v>349</v>
      </c>
      <c r="Y21" s="4" t="s">
        <v>350</v>
      </c>
      <c r="Z21" s="4" t="s">
        <v>350</v>
      </c>
      <c r="AA21" s="3">
        <v>292</v>
      </c>
      <c r="AB21" s="3">
        <v>163</v>
      </c>
      <c r="AC21" s="3">
        <v>217</v>
      </c>
      <c r="AD21" s="3">
        <v>1</v>
      </c>
      <c r="AE21" s="3">
        <v>1</v>
      </c>
      <c r="AF21" s="3">
        <v>5</v>
      </c>
      <c r="AG21" s="3">
        <v>7</v>
      </c>
      <c r="AH21" s="3">
        <v>1</v>
      </c>
      <c r="AI21" s="3">
        <v>2</v>
      </c>
      <c r="AJ21" s="3">
        <v>2</v>
      </c>
      <c r="AK21" s="3">
        <v>3</v>
      </c>
      <c r="AL21" s="3">
        <v>3</v>
      </c>
      <c r="AM21" s="3">
        <v>4</v>
      </c>
      <c r="AN21" s="3">
        <v>0</v>
      </c>
      <c r="AO21" s="3">
        <v>0</v>
      </c>
      <c r="AP21" s="3">
        <v>0</v>
      </c>
      <c r="AQ21" s="3">
        <v>0</v>
      </c>
      <c r="AR21" s="2" t="s">
        <v>63</v>
      </c>
      <c r="AS21" s="2" t="s">
        <v>92</v>
      </c>
      <c r="AT21" s="5" t="str">
        <f>HYPERLINK("http://catalog.hathitrust.org/Record/003951115","HathiTrust Record")</f>
        <v>HathiTrust Record</v>
      </c>
      <c r="AU21" s="5" t="str">
        <f>HYPERLINK("https://creighton-primo.hosted.exlibrisgroup.com/primo-explore/search?tab=default_tab&amp;search_scope=EVERYTHING&amp;vid=01CRU&amp;lang=en_US&amp;offset=0&amp;query=any,contains,991000324069702656","Catalog Record")</f>
        <v>Catalog Record</v>
      </c>
      <c r="AV21" s="5" t="str">
        <f>HYPERLINK("http://www.worldcat.org/oclc/37180371","WorldCat Record")</f>
        <v>WorldCat Record</v>
      </c>
      <c r="AW21" s="2" t="s">
        <v>351</v>
      </c>
      <c r="AX21" s="2" t="s">
        <v>352</v>
      </c>
      <c r="AY21" s="2" t="s">
        <v>353</v>
      </c>
      <c r="AZ21" s="2" t="s">
        <v>353</v>
      </c>
      <c r="BA21" s="2" t="s">
        <v>354</v>
      </c>
      <c r="BB21" s="2" t="s">
        <v>79</v>
      </c>
      <c r="BD21" s="2" t="s">
        <v>355</v>
      </c>
      <c r="BE21" s="2" t="s">
        <v>356</v>
      </c>
      <c r="BF21" s="2" t="s">
        <v>357</v>
      </c>
    </row>
    <row r="22" spans="1:58" ht="46.5" customHeight="1">
      <c r="A22" s="1"/>
      <c r="B22" s="1" t="s">
        <v>58</v>
      </c>
      <c r="C22" s="1" t="s">
        <v>59</v>
      </c>
      <c r="D22" s="1" t="s">
        <v>358</v>
      </c>
      <c r="E22" s="1" t="s">
        <v>359</v>
      </c>
      <c r="F22" s="1" t="s">
        <v>360</v>
      </c>
      <c r="H22" s="2" t="s">
        <v>63</v>
      </c>
      <c r="I22" s="2" t="s">
        <v>64</v>
      </c>
      <c r="J22" s="2" t="s">
        <v>63</v>
      </c>
      <c r="K22" s="2" t="s">
        <v>63</v>
      </c>
      <c r="L22" s="2" t="s">
        <v>65</v>
      </c>
      <c r="N22" s="1" t="s">
        <v>361</v>
      </c>
      <c r="O22" s="2" t="s">
        <v>362</v>
      </c>
      <c r="P22" s="1" t="s">
        <v>230</v>
      </c>
      <c r="Q22" s="2" t="s">
        <v>70</v>
      </c>
      <c r="R22" s="2" t="s">
        <v>260</v>
      </c>
      <c r="T22" s="2" t="s">
        <v>72</v>
      </c>
      <c r="U22" s="3">
        <v>9</v>
      </c>
      <c r="V22" s="3">
        <v>9</v>
      </c>
      <c r="W22" s="4" t="s">
        <v>363</v>
      </c>
      <c r="X22" s="4" t="s">
        <v>363</v>
      </c>
      <c r="Y22" s="4" t="s">
        <v>364</v>
      </c>
      <c r="Z22" s="4" t="s">
        <v>364</v>
      </c>
      <c r="AA22" s="3">
        <v>224</v>
      </c>
      <c r="AB22" s="3">
        <v>127</v>
      </c>
      <c r="AC22" s="3">
        <v>296</v>
      </c>
      <c r="AD22" s="3">
        <v>1</v>
      </c>
      <c r="AE22" s="3">
        <v>2</v>
      </c>
      <c r="AF22" s="3">
        <v>3</v>
      </c>
      <c r="AG22" s="3">
        <v>10</v>
      </c>
      <c r="AH22" s="3">
        <v>2</v>
      </c>
      <c r="AI22" s="3">
        <v>6</v>
      </c>
      <c r="AJ22" s="3">
        <v>1</v>
      </c>
      <c r="AK22" s="3">
        <v>1</v>
      </c>
      <c r="AL22" s="3">
        <v>1</v>
      </c>
      <c r="AM22" s="3">
        <v>4</v>
      </c>
      <c r="AN22" s="3">
        <v>0</v>
      </c>
      <c r="AO22" s="3">
        <v>1</v>
      </c>
      <c r="AP22" s="3">
        <v>0</v>
      </c>
      <c r="AQ22" s="3">
        <v>0</v>
      </c>
      <c r="AR22" s="2" t="s">
        <v>63</v>
      </c>
      <c r="AS22" s="2" t="s">
        <v>63</v>
      </c>
      <c r="AU22" s="5" t="str">
        <f>HYPERLINK("https://creighton-primo.hosted.exlibrisgroup.com/primo-explore/search?tab=default_tab&amp;search_scope=EVERYTHING&amp;vid=01CRU&amp;lang=en_US&amp;offset=0&amp;query=any,contains,991000455189702656","Catalog Record")</f>
        <v>Catalog Record</v>
      </c>
      <c r="AV22" s="5" t="str">
        <f>HYPERLINK("http://www.worldcat.org/oclc/58526990","WorldCat Record")</f>
        <v>WorldCat Record</v>
      </c>
      <c r="AW22" s="2" t="s">
        <v>365</v>
      </c>
      <c r="AX22" s="2" t="s">
        <v>366</v>
      </c>
      <c r="AY22" s="2" t="s">
        <v>367</v>
      </c>
      <c r="AZ22" s="2" t="s">
        <v>367</v>
      </c>
      <c r="BA22" s="2" t="s">
        <v>368</v>
      </c>
      <c r="BB22" s="2" t="s">
        <v>79</v>
      </c>
      <c r="BD22" s="2" t="s">
        <v>369</v>
      </c>
      <c r="BE22" s="2" t="s">
        <v>370</v>
      </c>
      <c r="BF22" s="2" t="s">
        <v>371</v>
      </c>
    </row>
    <row r="23" spans="1:58" ht="46.5" customHeight="1">
      <c r="A23" s="1"/>
      <c r="B23" s="1" t="s">
        <v>58</v>
      </c>
      <c r="C23" s="1" t="s">
        <v>59</v>
      </c>
      <c r="D23" s="1" t="s">
        <v>372</v>
      </c>
      <c r="E23" s="1" t="s">
        <v>373</v>
      </c>
      <c r="F23" s="1" t="s">
        <v>374</v>
      </c>
      <c r="H23" s="2" t="s">
        <v>63</v>
      </c>
      <c r="I23" s="2" t="s">
        <v>64</v>
      </c>
      <c r="J23" s="2" t="s">
        <v>63</v>
      </c>
      <c r="K23" s="2" t="s">
        <v>63</v>
      </c>
      <c r="L23" s="2" t="s">
        <v>65</v>
      </c>
      <c r="N23" s="1" t="s">
        <v>375</v>
      </c>
      <c r="O23" s="2" t="s">
        <v>307</v>
      </c>
      <c r="P23" s="1" t="s">
        <v>376</v>
      </c>
      <c r="Q23" s="2" t="s">
        <v>70</v>
      </c>
      <c r="R23" s="2" t="s">
        <v>377</v>
      </c>
      <c r="S23" s="1" t="s">
        <v>378</v>
      </c>
      <c r="T23" s="2" t="s">
        <v>72</v>
      </c>
      <c r="U23" s="3">
        <v>8</v>
      </c>
      <c r="V23" s="3">
        <v>8</v>
      </c>
      <c r="W23" s="4" t="s">
        <v>379</v>
      </c>
      <c r="X23" s="4" t="s">
        <v>379</v>
      </c>
      <c r="Y23" s="4" t="s">
        <v>380</v>
      </c>
      <c r="Z23" s="4" t="s">
        <v>380</v>
      </c>
      <c r="AA23" s="3">
        <v>106</v>
      </c>
      <c r="AB23" s="3">
        <v>79</v>
      </c>
      <c r="AC23" s="3">
        <v>81</v>
      </c>
      <c r="AD23" s="3">
        <v>1</v>
      </c>
      <c r="AE23" s="3">
        <v>1</v>
      </c>
      <c r="AF23" s="3">
        <v>3</v>
      </c>
      <c r="AG23" s="3">
        <v>3</v>
      </c>
      <c r="AH23" s="3">
        <v>1</v>
      </c>
      <c r="AI23" s="3">
        <v>1</v>
      </c>
      <c r="AJ23" s="3">
        <v>1</v>
      </c>
      <c r="AK23" s="3">
        <v>1</v>
      </c>
      <c r="AL23" s="3">
        <v>2</v>
      </c>
      <c r="AM23" s="3">
        <v>2</v>
      </c>
      <c r="AN23" s="3">
        <v>0</v>
      </c>
      <c r="AO23" s="3">
        <v>0</v>
      </c>
      <c r="AP23" s="3">
        <v>0</v>
      </c>
      <c r="AQ23" s="3">
        <v>0</v>
      </c>
      <c r="AR23" s="2" t="s">
        <v>63</v>
      </c>
      <c r="AS23" s="2" t="s">
        <v>92</v>
      </c>
      <c r="AT23" s="5" t="str">
        <f>HYPERLINK("http://catalog.hathitrust.org/Record/000481212","HathiTrust Record")</f>
        <v>HathiTrust Record</v>
      </c>
      <c r="AU23" s="5" t="str">
        <f>HYPERLINK("https://creighton-primo.hosted.exlibrisgroup.com/primo-explore/search?tab=default_tab&amp;search_scope=EVERYTHING&amp;vid=01CRU&amp;lang=en_US&amp;offset=0&amp;query=any,contains,991001422879702656","Catalog Record")</f>
        <v>Catalog Record</v>
      </c>
      <c r="AV23" s="5" t="str">
        <f>HYPERLINK("http://www.worldcat.org/oclc/12345052","WorldCat Record")</f>
        <v>WorldCat Record</v>
      </c>
      <c r="AW23" s="2" t="s">
        <v>381</v>
      </c>
      <c r="AX23" s="2" t="s">
        <v>382</v>
      </c>
      <c r="AY23" s="2" t="s">
        <v>383</v>
      </c>
      <c r="AZ23" s="2" t="s">
        <v>383</v>
      </c>
      <c r="BA23" s="2" t="s">
        <v>384</v>
      </c>
      <c r="BB23" s="2" t="s">
        <v>79</v>
      </c>
      <c r="BD23" s="2" t="s">
        <v>385</v>
      </c>
      <c r="BE23" s="2" t="s">
        <v>386</v>
      </c>
      <c r="BF23" s="2" t="s">
        <v>387</v>
      </c>
    </row>
    <row r="24" spans="1:58" ht="46.5" customHeight="1">
      <c r="A24" s="1"/>
      <c r="B24" s="1" t="s">
        <v>58</v>
      </c>
      <c r="C24" s="1" t="s">
        <v>59</v>
      </c>
      <c r="D24" s="1" t="s">
        <v>388</v>
      </c>
      <c r="E24" s="1" t="s">
        <v>389</v>
      </c>
      <c r="F24" s="1" t="s">
        <v>390</v>
      </c>
      <c r="H24" s="2" t="s">
        <v>63</v>
      </c>
      <c r="I24" s="2" t="s">
        <v>64</v>
      </c>
      <c r="J24" s="2" t="s">
        <v>63</v>
      </c>
      <c r="K24" s="2" t="s">
        <v>63</v>
      </c>
      <c r="L24" s="2" t="s">
        <v>65</v>
      </c>
      <c r="N24" s="1" t="s">
        <v>391</v>
      </c>
      <c r="O24" s="2" t="s">
        <v>87</v>
      </c>
      <c r="P24" s="1" t="s">
        <v>376</v>
      </c>
      <c r="Q24" s="2" t="s">
        <v>70</v>
      </c>
      <c r="R24" s="2" t="s">
        <v>377</v>
      </c>
      <c r="S24" s="1" t="s">
        <v>392</v>
      </c>
      <c r="T24" s="2" t="s">
        <v>72</v>
      </c>
      <c r="U24" s="3">
        <v>5</v>
      </c>
      <c r="V24" s="3">
        <v>5</v>
      </c>
      <c r="W24" s="4" t="s">
        <v>393</v>
      </c>
      <c r="X24" s="4" t="s">
        <v>393</v>
      </c>
      <c r="Y24" s="4" t="s">
        <v>394</v>
      </c>
      <c r="Z24" s="4" t="s">
        <v>394</v>
      </c>
      <c r="AA24" s="3">
        <v>103</v>
      </c>
      <c r="AB24" s="3">
        <v>71</v>
      </c>
      <c r="AC24" s="3">
        <v>73</v>
      </c>
      <c r="AD24" s="3">
        <v>1</v>
      </c>
      <c r="AE24" s="3">
        <v>1</v>
      </c>
      <c r="AF24" s="3">
        <v>3</v>
      </c>
      <c r="AG24" s="3">
        <v>3</v>
      </c>
      <c r="AH24" s="3">
        <v>1</v>
      </c>
      <c r="AI24" s="3">
        <v>1</v>
      </c>
      <c r="AJ24" s="3">
        <v>1</v>
      </c>
      <c r="AK24" s="3">
        <v>1</v>
      </c>
      <c r="AL24" s="3">
        <v>2</v>
      </c>
      <c r="AM24" s="3">
        <v>2</v>
      </c>
      <c r="AN24" s="3">
        <v>0</v>
      </c>
      <c r="AO24" s="3">
        <v>0</v>
      </c>
      <c r="AP24" s="3">
        <v>0</v>
      </c>
      <c r="AQ24" s="3">
        <v>0</v>
      </c>
      <c r="AR24" s="2" t="s">
        <v>63</v>
      </c>
      <c r="AS24" s="2" t="s">
        <v>92</v>
      </c>
      <c r="AT24" s="5" t="str">
        <f>HYPERLINK("http://catalog.hathitrust.org/Record/000866361","HathiTrust Record")</f>
        <v>HathiTrust Record</v>
      </c>
      <c r="AU24" s="5" t="str">
        <f>HYPERLINK("https://creighton-primo.hosted.exlibrisgroup.com/primo-explore/search?tab=default_tab&amp;search_scope=EVERYTHING&amp;vid=01CRU&amp;lang=en_US&amp;offset=0&amp;query=any,contains,991001190569702656","Catalog Record")</f>
        <v>Catalog Record</v>
      </c>
      <c r="AV24" s="5" t="str">
        <f>HYPERLINK("http://www.worldcat.org/oclc/16404880","WorldCat Record")</f>
        <v>WorldCat Record</v>
      </c>
      <c r="AW24" s="2" t="s">
        <v>395</v>
      </c>
      <c r="AX24" s="2" t="s">
        <v>396</v>
      </c>
      <c r="AY24" s="2" t="s">
        <v>397</v>
      </c>
      <c r="AZ24" s="2" t="s">
        <v>397</v>
      </c>
      <c r="BA24" s="2" t="s">
        <v>398</v>
      </c>
      <c r="BB24" s="2" t="s">
        <v>79</v>
      </c>
      <c r="BD24" s="2" t="s">
        <v>399</v>
      </c>
      <c r="BE24" s="2" t="s">
        <v>400</v>
      </c>
      <c r="BF24" s="2" t="s">
        <v>401</v>
      </c>
    </row>
    <row r="25" spans="1:58" ht="46.5" customHeight="1">
      <c r="A25" s="1"/>
      <c r="B25" s="1" t="s">
        <v>58</v>
      </c>
      <c r="C25" s="1" t="s">
        <v>59</v>
      </c>
      <c r="D25" s="1" t="s">
        <v>402</v>
      </c>
      <c r="E25" s="1" t="s">
        <v>403</v>
      </c>
      <c r="F25" s="1" t="s">
        <v>404</v>
      </c>
      <c r="G25" s="2" t="s">
        <v>405</v>
      </c>
      <c r="H25" s="2" t="s">
        <v>63</v>
      </c>
      <c r="I25" s="2" t="s">
        <v>64</v>
      </c>
      <c r="J25" s="2" t="s">
        <v>63</v>
      </c>
      <c r="K25" s="2" t="s">
        <v>63</v>
      </c>
      <c r="L25" s="2" t="s">
        <v>65</v>
      </c>
      <c r="N25" s="1" t="s">
        <v>406</v>
      </c>
      <c r="O25" s="2" t="s">
        <v>407</v>
      </c>
      <c r="Q25" s="2" t="s">
        <v>70</v>
      </c>
      <c r="R25" s="2" t="s">
        <v>89</v>
      </c>
      <c r="S25" s="1" t="s">
        <v>408</v>
      </c>
      <c r="T25" s="2" t="s">
        <v>72</v>
      </c>
      <c r="U25" s="3">
        <v>5</v>
      </c>
      <c r="V25" s="3">
        <v>5</v>
      </c>
      <c r="W25" s="4" t="s">
        <v>409</v>
      </c>
      <c r="X25" s="4" t="s">
        <v>409</v>
      </c>
      <c r="Y25" s="4" t="s">
        <v>410</v>
      </c>
      <c r="Z25" s="4" t="s">
        <v>410</v>
      </c>
      <c r="AA25" s="3">
        <v>138</v>
      </c>
      <c r="AB25" s="3">
        <v>103</v>
      </c>
      <c r="AC25" s="3">
        <v>111</v>
      </c>
      <c r="AD25" s="3">
        <v>1</v>
      </c>
      <c r="AE25" s="3">
        <v>1</v>
      </c>
      <c r="AF25" s="3">
        <v>4</v>
      </c>
      <c r="AG25" s="3">
        <v>5</v>
      </c>
      <c r="AH25" s="3">
        <v>1</v>
      </c>
      <c r="AI25" s="3">
        <v>2</v>
      </c>
      <c r="AJ25" s="3">
        <v>0</v>
      </c>
      <c r="AK25" s="3">
        <v>0</v>
      </c>
      <c r="AL25" s="3">
        <v>4</v>
      </c>
      <c r="AM25" s="3">
        <v>4</v>
      </c>
      <c r="AN25" s="3">
        <v>0</v>
      </c>
      <c r="AO25" s="3">
        <v>0</v>
      </c>
      <c r="AP25" s="3">
        <v>0</v>
      </c>
      <c r="AQ25" s="3">
        <v>0</v>
      </c>
      <c r="AR25" s="2" t="s">
        <v>63</v>
      </c>
      <c r="AS25" s="2" t="s">
        <v>92</v>
      </c>
      <c r="AT25" s="5" t="str">
        <f>HYPERLINK("http://catalog.hathitrust.org/Record/002064565","HathiTrust Record")</f>
        <v>HathiTrust Record</v>
      </c>
      <c r="AU25" s="5" t="str">
        <f>HYPERLINK("https://creighton-primo.hosted.exlibrisgroup.com/primo-explore/search?tab=default_tab&amp;search_scope=EVERYTHING&amp;vid=01CRU&amp;lang=en_US&amp;offset=0&amp;query=any,contains,991001452549702656","Catalog Record")</f>
        <v>Catalog Record</v>
      </c>
      <c r="AV25" s="5" t="str">
        <f>HYPERLINK("http://www.worldcat.org/oclc/19510803","WorldCat Record")</f>
        <v>WorldCat Record</v>
      </c>
      <c r="AW25" s="2" t="s">
        <v>411</v>
      </c>
      <c r="AX25" s="2" t="s">
        <v>412</v>
      </c>
      <c r="AY25" s="2" t="s">
        <v>413</v>
      </c>
      <c r="AZ25" s="2" t="s">
        <v>413</v>
      </c>
      <c r="BA25" s="2" t="s">
        <v>414</v>
      </c>
      <c r="BB25" s="2" t="s">
        <v>79</v>
      </c>
      <c r="BD25" s="2" t="s">
        <v>415</v>
      </c>
      <c r="BE25" s="2" t="s">
        <v>416</v>
      </c>
      <c r="BF25" s="2" t="s">
        <v>417</v>
      </c>
    </row>
    <row r="26" spans="1:58" ht="46.5" customHeight="1">
      <c r="A26" s="1"/>
      <c r="B26" s="1" t="s">
        <v>58</v>
      </c>
      <c r="C26" s="1" t="s">
        <v>59</v>
      </c>
      <c r="D26" s="1" t="s">
        <v>418</v>
      </c>
      <c r="E26" s="1" t="s">
        <v>419</v>
      </c>
      <c r="F26" s="1" t="s">
        <v>420</v>
      </c>
      <c r="H26" s="2" t="s">
        <v>63</v>
      </c>
      <c r="I26" s="2" t="s">
        <v>64</v>
      </c>
      <c r="J26" s="2" t="s">
        <v>63</v>
      </c>
      <c r="K26" s="2" t="s">
        <v>63</v>
      </c>
      <c r="L26" s="2" t="s">
        <v>65</v>
      </c>
      <c r="M26" s="1" t="s">
        <v>421</v>
      </c>
      <c r="N26" s="1" t="s">
        <v>422</v>
      </c>
      <c r="O26" s="2" t="s">
        <v>423</v>
      </c>
      <c r="Q26" s="2" t="s">
        <v>70</v>
      </c>
      <c r="R26" s="2" t="s">
        <v>424</v>
      </c>
      <c r="S26" s="1" t="s">
        <v>425</v>
      </c>
      <c r="T26" s="2" t="s">
        <v>72</v>
      </c>
      <c r="U26" s="3">
        <v>8</v>
      </c>
      <c r="V26" s="3">
        <v>8</v>
      </c>
      <c r="W26" s="4" t="s">
        <v>426</v>
      </c>
      <c r="X26" s="4" t="s">
        <v>426</v>
      </c>
      <c r="Y26" s="4" t="s">
        <v>427</v>
      </c>
      <c r="Z26" s="4" t="s">
        <v>427</v>
      </c>
      <c r="AA26" s="3">
        <v>64</v>
      </c>
      <c r="AB26" s="3">
        <v>42</v>
      </c>
      <c r="AC26" s="3">
        <v>44</v>
      </c>
      <c r="AD26" s="3">
        <v>1</v>
      </c>
      <c r="AE26" s="3">
        <v>1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2" t="s">
        <v>63</v>
      </c>
      <c r="AS26" s="2" t="s">
        <v>92</v>
      </c>
      <c r="AT26" s="5" t="str">
        <f>HYPERLINK("http://catalog.hathitrust.org/Record/001540131","HathiTrust Record")</f>
        <v>HathiTrust Record</v>
      </c>
      <c r="AU26" s="5" t="str">
        <f>HYPERLINK("https://creighton-primo.hosted.exlibrisgroup.com/primo-explore/search?tab=default_tab&amp;search_scope=EVERYTHING&amp;vid=01CRU&amp;lang=en_US&amp;offset=0&amp;query=any,contains,991001254219702656","Catalog Record")</f>
        <v>Catalog Record</v>
      </c>
      <c r="AV26" s="5" t="str">
        <f>HYPERLINK("http://www.worldcat.org/oclc/19514833","WorldCat Record")</f>
        <v>WorldCat Record</v>
      </c>
      <c r="AW26" s="2" t="s">
        <v>428</v>
      </c>
      <c r="AX26" s="2" t="s">
        <v>429</v>
      </c>
      <c r="AY26" s="2" t="s">
        <v>430</v>
      </c>
      <c r="AZ26" s="2" t="s">
        <v>430</v>
      </c>
      <c r="BA26" s="2" t="s">
        <v>431</v>
      </c>
      <c r="BB26" s="2" t="s">
        <v>79</v>
      </c>
      <c r="BD26" s="2" t="s">
        <v>432</v>
      </c>
      <c r="BE26" s="2" t="s">
        <v>433</v>
      </c>
      <c r="BF26" s="2" t="s">
        <v>434</v>
      </c>
    </row>
    <row r="27" spans="1:58" ht="46.5" customHeight="1">
      <c r="A27" s="1"/>
      <c r="B27" s="1" t="s">
        <v>58</v>
      </c>
      <c r="C27" s="1" t="s">
        <v>59</v>
      </c>
      <c r="D27" s="1" t="s">
        <v>435</v>
      </c>
      <c r="E27" s="1" t="s">
        <v>436</v>
      </c>
      <c r="F27" s="1" t="s">
        <v>437</v>
      </c>
      <c r="H27" s="2" t="s">
        <v>63</v>
      </c>
      <c r="I27" s="2" t="s">
        <v>64</v>
      </c>
      <c r="J27" s="2" t="s">
        <v>63</v>
      </c>
      <c r="K27" s="2" t="s">
        <v>92</v>
      </c>
      <c r="L27" s="2" t="s">
        <v>65</v>
      </c>
      <c r="M27" s="1" t="s">
        <v>438</v>
      </c>
      <c r="N27" s="1" t="s">
        <v>439</v>
      </c>
      <c r="O27" s="2" t="s">
        <v>440</v>
      </c>
      <c r="P27" s="1" t="s">
        <v>230</v>
      </c>
      <c r="Q27" s="2" t="s">
        <v>70</v>
      </c>
      <c r="R27" s="2" t="s">
        <v>260</v>
      </c>
      <c r="T27" s="2" t="s">
        <v>72</v>
      </c>
      <c r="U27" s="3">
        <v>4</v>
      </c>
      <c r="V27" s="3">
        <v>4</v>
      </c>
      <c r="W27" s="4" t="s">
        <v>441</v>
      </c>
      <c r="X27" s="4" t="s">
        <v>441</v>
      </c>
      <c r="Y27" s="4" t="s">
        <v>442</v>
      </c>
      <c r="Z27" s="4" t="s">
        <v>442</v>
      </c>
      <c r="AA27" s="3">
        <v>268</v>
      </c>
      <c r="AB27" s="3">
        <v>213</v>
      </c>
      <c r="AC27" s="3">
        <v>821</v>
      </c>
      <c r="AD27" s="3">
        <v>1</v>
      </c>
      <c r="AE27" s="3">
        <v>7</v>
      </c>
      <c r="AF27" s="3">
        <v>7</v>
      </c>
      <c r="AG27" s="3">
        <v>25</v>
      </c>
      <c r="AH27" s="3">
        <v>4</v>
      </c>
      <c r="AI27" s="3">
        <v>10</v>
      </c>
      <c r="AJ27" s="3">
        <v>0</v>
      </c>
      <c r="AK27" s="3">
        <v>3</v>
      </c>
      <c r="AL27" s="3">
        <v>6</v>
      </c>
      <c r="AM27" s="3">
        <v>14</v>
      </c>
      <c r="AN27" s="3">
        <v>0</v>
      </c>
      <c r="AO27" s="3">
        <v>5</v>
      </c>
      <c r="AP27" s="3">
        <v>0</v>
      </c>
      <c r="AQ27" s="3">
        <v>0</v>
      </c>
      <c r="AR27" s="2" t="s">
        <v>63</v>
      </c>
      <c r="AS27" s="2" t="s">
        <v>92</v>
      </c>
      <c r="AT27" s="5" t="str">
        <f>HYPERLINK("http://catalog.hathitrust.org/Record/004297412","HathiTrust Record")</f>
        <v>HathiTrust Record</v>
      </c>
      <c r="AU27" s="5" t="str">
        <f>HYPERLINK("https://creighton-primo.hosted.exlibrisgroup.com/primo-explore/search?tab=default_tab&amp;search_scope=EVERYTHING&amp;vid=01CRU&amp;lang=en_US&amp;offset=0&amp;query=any,contains,991001723059702656","Catalog Record")</f>
        <v>Catalog Record</v>
      </c>
      <c r="AV27" s="5" t="str">
        <f>HYPERLINK("http://www.worldcat.org/oclc/50002945","WorldCat Record")</f>
        <v>WorldCat Record</v>
      </c>
      <c r="AW27" s="2" t="s">
        <v>443</v>
      </c>
      <c r="AX27" s="2" t="s">
        <v>444</v>
      </c>
      <c r="AY27" s="2" t="s">
        <v>445</v>
      </c>
      <c r="AZ27" s="2" t="s">
        <v>445</v>
      </c>
      <c r="BA27" s="2" t="s">
        <v>446</v>
      </c>
      <c r="BB27" s="2" t="s">
        <v>79</v>
      </c>
      <c r="BD27" s="2" t="s">
        <v>447</v>
      </c>
      <c r="BE27" s="2" t="s">
        <v>448</v>
      </c>
      <c r="BF27" s="2" t="s">
        <v>449</v>
      </c>
    </row>
    <row r="28" spans="1:58" ht="46.5" customHeight="1">
      <c r="A28" s="1"/>
      <c r="B28" s="1" t="s">
        <v>58</v>
      </c>
      <c r="C28" s="1" t="s">
        <v>59</v>
      </c>
      <c r="D28" s="1" t="s">
        <v>450</v>
      </c>
      <c r="E28" s="1" t="s">
        <v>451</v>
      </c>
      <c r="F28" s="1" t="s">
        <v>452</v>
      </c>
      <c r="H28" s="2" t="s">
        <v>63</v>
      </c>
      <c r="I28" s="2" t="s">
        <v>64</v>
      </c>
      <c r="J28" s="2" t="s">
        <v>63</v>
      </c>
      <c r="K28" s="2" t="s">
        <v>92</v>
      </c>
      <c r="L28" s="2" t="s">
        <v>65</v>
      </c>
      <c r="M28" s="1" t="s">
        <v>438</v>
      </c>
      <c r="N28" s="1" t="s">
        <v>453</v>
      </c>
      <c r="O28" s="2" t="s">
        <v>454</v>
      </c>
      <c r="P28" s="1" t="s">
        <v>88</v>
      </c>
      <c r="Q28" s="2" t="s">
        <v>70</v>
      </c>
      <c r="R28" s="2" t="s">
        <v>200</v>
      </c>
      <c r="T28" s="2" t="s">
        <v>72</v>
      </c>
      <c r="U28" s="3">
        <v>0</v>
      </c>
      <c r="V28" s="3">
        <v>0</v>
      </c>
      <c r="W28" s="4" t="s">
        <v>455</v>
      </c>
      <c r="X28" s="4" t="s">
        <v>455</v>
      </c>
      <c r="Y28" s="4" t="s">
        <v>456</v>
      </c>
      <c r="Z28" s="4" t="s">
        <v>456</v>
      </c>
      <c r="AA28" s="3">
        <v>260</v>
      </c>
      <c r="AB28" s="3">
        <v>203</v>
      </c>
      <c r="AC28" s="3">
        <v>821</v>
      </c>
      <c r="AD28" s="3">
        <v>4</v>
      </c>
      <c r="AE28" s="3">
        <v>7</v>
      </c>
      <c r="AF28" s="3">
        <v>8</v>
      </c>
      <c r="AG28" s="3">
        <v>25</v>
      </c>
      <c r="AH28" s="3">
        <v>2</v>
      </c>
      <c r="AI28" s="3">
        <v>10</v>
      </c>
      <c r="AJ28" s="3">
        <v>0</v>
      </c>
      <c r="AK28" s="3">
        <v>3</v>
      </c>
      <c r="AL28" s="3">
        <v>4</v>
      </c>
      <c r="AM28" s="3">
        <v>14</v>
      </c>
      <c r="AN28" s="3">
        <v>3</v>
      </c>
      <c r="AO28" s="3">
        <v>5</v>
      </c>
      <c r="AP28" s="3">
        <v>0</v>
      </c>
      <c r="AQ28" s="3">
        <v>0</v>
      </c>
      <c r="AR28" s="2" t="s">
        <v>63</v>
      </c>
      <c r="AS28" s="2" t="s">
        <v>63</v>
      </c>
      <c r="AU28" s="5" t="str">
        <f>HYPERLINK("https://creighton-primo.hosted.exlibrisgroup.com/primo-explore/search?tab=default_tab&amp;search_scope=EVERYTHING&amp;vid=01CRU&amp;lang=en_US&amp;offset=0&amp;query=any,contains,991001459249702656","Catalog Record")</f>
        <v>Catalog Record</v>
      </c>
      <c r="AV28" s="5" t="str">
        <f>HYPERLINK("http://www.worldcat.org/oclc/225874498","WorldCat Record")</f>
        <v>WorldCat Record</v>
      </c>
      <c r="AW28" s="2" t="s">
        <v>443</v>
      </c>
      <c r="AX28" s="2" t="s">
        <v>457</v>
      </c>
      <c r="AY28" s="2" t="s">
        <v>458</v>
      </c>
      <c r="AZ28" s="2" t="s">
        <v>458</v>
      </c>
      <c r="BA28" s="2" t="s">
        <v>459</v>
      </c>
      <c r="BB28" s="2" t="s">
        <v>79</v>
      </c>
      <c r="BD28" s="2" t="s">
        <v>460</v>
      </c>
      <c r="BE28" s="2" t="s">
        <v>461</v>
      </c>
      <c r="BF28" s="2" t="s">
        <v>462</v>
      </c>
    </row>
    <row r="29" spans="1:58" ht="46.5" customHeight="1">
      <c r="A29" s="1"/>
      <c r="B29" s="1" t="s">
        <v>58</v>
      </c>
      <c r="C29" s="1" t="s">
        <v>59</v>
      </c>
      <c r="D29" s="1" t="s">
        <v>463</v>
      </c>
      <c r="E29" s="1" t="s">
        <v>464</v>
      </c>
      <c r="F29" s="1" t="s">
        <v>465</v>
      </c>
      <c r="H29" s="2" t="s">
        <v>63</v>
      </c>
      <c r="I29" s="2" t="s">
        <v>64</v>
      </c>
      <c r="J29" s="2" t="s">
        <v>63</v>
      </c>
      <c r="K29" s="2" t="s">
        <v>63</v>
      </c>
      <c r="L29" s="2" t="s">
        <v>65</v>
      </c>
      <c r="M29" s="1" t="s">
        <v>466</v>
      </c>
      <c r="N29" s="1" t="s">
        <v>467</v>
      </c>
      <c r="O29" s="2" t="s">
        <v>468</v>
      </c>
      <c r="P29" s="1" t="s">
        <v>469</v>
      </c>
      <c r="Q29" s="2" t="s">
        <v>70</v>
      </c>
      <c r="R29" s="2" t="s">
        <v>470</v>
      </c>
      <c r="T29" s="2" t="s">
        <v>72</v>
      </c>
      <c r="U29" s="3">
        <v>3</v>
      </c>
      <c r="V29" s="3">
        <v>3</v>
      </c>
      <c r="W29" s="4" t="s">
        <v>471</v>
      </c>
      <c r="X29" s="4" t="s">
        <v>471</v>
      </c>
      <c r="Y29" s="4" t="s">
        <v>472</v>
      </c>
      <c r="Z29" s="4" t="s">
        <v>472</v>
      </c>
      <c r="AA29" s="3">
        <v>151</v>
      </c>
      <c r="AB29" s="3">
        <v>121</v>
      </c>
      <c r="AC29" s="3">
        <v>122</v>
      </c>
      <c r="AD29" s="3">
        <v>1</v>
      </c>
      <c r="AE29" s="3">
        <v>1</v>
      </c>
      <c r="AF29" s="3">
        <v>3</v>
      </c>
      <c r="AG29" s="3">
        <v>3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0</v>
      </c>
      <c r="AO29" s="3">
        <v>0</v>
      </c>
      <c r="AP29" s="3">
        <v>0</v>
      </c>
      <c r="AQ29" s="3">
        <v>0</v>
      </c>
      <c r="AR29" s="2" t="s">
        <v>63</v>
      </c>
      <c r="AS29" s="2" t="s">
        <v>92</v>
      </c>
      <c r="AT29" s="5" t="str">
        <f>HYPERLINK("http://catalog.hathitrust.org/Record/001579221","HathiTrust Record")</f>
        <v>HathiTrust Record</v>
      </c>
      <c r="AU29" s="5" t="str">
        <f>HYPERLINK("https://creighton-primo.hosted.exlibrisgroup.com/primo-explore/search?tab=default_tab&amp;search_scope=EVERYTHING&amp;vid=01CRU&amp;lang=en_US&amp;offset=0&amp;query=any,contains,991000917849702656","Catalog Record")</f>
        <v>Catalog Record</v>
      </c>
      <c r="AV29" s="5" t="str">
        <f>HYPERLINK("http://www.worldcat.org/oclc/524452","WorldCat Record")</f>
        <v>WorldCat Record</v>
      </c>
      <c r="AW29" s="2" t="s">
        <v>473</v>
      </c>
      <c r="AX29" s="2" t="s">
        <v>474</v>
      </c>
      <c r="AY29" s="2" t="s">
        <v>475</v>
      </c>
      <c r="AZ29" s="2" t="s">
        <v>475</v>
      </c>
      <c r="BA29" s="2" t="s">
        <v>476</v>
      </c>
      <c r="BB29" s="2" t="s">
        <v>79</v>
      </c>
      <c r="BE29" s="2" t="s">
        <v>477</v>
      </c>
      <c r="BF29" s="2" t="s">
        <v>478</v>
      </c>
    </row>
    <row r="30" spans="1:58" ht="46.5" customHeight="1">
      <c r="A30" s="1"/>
      <c r="B30" s="1" t="s">
        <v>58</v>
      </c>
      <c r="C30" s="1" t="s">
        <v>59</v>
      </c>
      <c r="D30" s="1" t="s">
        <v>479</v>
      </c>
      <c r="E30" s="1" t="s">
        <v>480</v>
      </c>
      <c r="F30" s="1" t="s">
        <v>481</v>
      </c>
      <c r="H30" s="2" t="s">
        <v>63</v>
      </c>
      <c r="I30" s="2" t="s">
        <v>64</v>
      </c>
      <c r="J30" s="2" t="s">
        <v>63</v>
      </c>
      <c r="K30" s="2" t="s">
        <v>92</v>
      </c>
      <c r="L30" s="2" t="s">
        <v>65</v>
      </c>
      <c r="M30" s="1" t="s">
        <v>482</v>
      </c>
      <c r="N30" s="1" t="s">
        <v>483</v>
      </c>
      <c r="O30" s="2" t="s">
        <v>484</v>
      </c>
      <c r="P30" s="1" t="s">
        <v>105</v>
      </c>
      <c r="Q30" s="2" t="s">
        <v>70</v>
      </c>
      <c r="R30" s="2" t="s">
        <v>200</v>
      </c>
      <c r="T30" s="2" t="s">
        <v>72</v>
      </c>
      <c r="U30" s="3">
        <v>53</v>
      </c>
      <c r="V30" s="3">
        <v>53</v>
      </c>
      <c r="W30" s="4" t="s">
        <v>485</v>
      </c>
      <c r="X30" s="4" t="s">
        <v>485</v>
      </c>
      <c r="Y30" s="4" t="s">
        <v>486</v>
      </c>
      <c r="Z30" s="4" t="s">
        <v>486</v>
      </c>
      <c r="AA30" s="3">
        <v>251</v>
      </c>
      <c r="AB30" s="3">
        <v>186</v>
      </c>
      <c r="AC30" s="3">
        <v>712</v>
      </c>
      <c r="AD30" s="3">
        <v>1</v>
      </c>
      <c r="AE30" s="3">
        <v>6</v>
      </c>
      <c r="AF30" s="3">
        <v>2</v>
      </c>
      <c r="AG30" s="3">
        <v>23</v>
      </c>
      <c r="AH30" s="3">
        <v>0</v>
      </c>
      <c r="AI30" s="3">
        <v>9</v>
      </c>
      <c r="AJ30" s="3">
        <v>0</v>
      </c>
      <c r="AK30" s="3">
        <v>5</v>
      </c>
      <c r="AL30" s="3">
        <v>2</v>
      </c>
      <c r="AM30" s="3">
        <v>13</v>
      </c>
      <c r="AN30" s="3">
        <v>0</v>
      </c>
      <c r="AO30" s="3">
        <v>3</v>
      </c>
      <c r="AP30" s="3">
        <v>0</v>
      </c>
      <c r="AQ30" s="3">
        <v>0</v>
      </c>
      <c r="AR30" s="2" t="s">
        <v>63</v>
      </c>
      <c r="AS30" s="2" t="s">
        <v>92</v>
      </c>
      <c r="AT30" s="5" t="str">
        <f>HYPERLINK("http://catalog.hathitrust.org/Record/004352379","HathiTrust Record")</f>
        <v>HathiTrust Record</v>
      </c>
      <c r="AU30" s="5" t="str">
        <f>HYPERLINK("https://creighton-primo.hosted.exlibrisgroup.com/primo-explore/search?tab=default_tab&amp;search_scope=EVERYTHING&amp;vid=01CRU&amp;lang=en_US&amp;offset=0&amp;query=any,contains,991001725529702656","Catalog Record")</f>
        <v>Catalog Record</v>
      </c>
      <c r="AV30" s="5" t="str">
        <f>HYPERLINK("http://www.worldcat.org/oclc/53954891","WorldCat Record")</f>
        <v>WorldCat Record</v>
      </c>
      <c r="AW30" s="2" t="s">
        <v>487</v>
      </c>
      <c r="AX30" s="2" t="s">
        <v>488</v>
      </c>
      <c r="AY30" s="2" t="s">
        <v>489</v>
      </c>
      <c r="AZ30" s="2" t="s">
        <v>489</v>
      </c>
      <c r="BA30" s="2" t="s">
        <v>490</v>
      </c>
      <c r="BB30" s="2" t="s">
        <v>79</v>
      </c>
      <c r="BD30" s="2" t="s">
        <v>491</v>
      </c>
      <c r="BE30" s="2" t="s">
        <v>492</v>
      </c>
      <c r="BF30" s="2" t="s">
        <v>493</v>
      </c>
    </row>
    <row r="31" spans="1:58" ht="46.5" customHeight="1">
      <c r="A31" s="1"/>
      <c r="B31" s="1" t="s">
        <v>58</v>
      </c>
      <c r="C31" s="1" t="s">
        <v>59</v>
      </c>
      <c r="D31" s="1" t="s">
        <v>494</v>
      </c>
      <c r="E31" s="1" t="s">
        <v>495</v>
      </c>
      <c r="F31" s="1" t="s">
        <v>496</v>
      </c>
      <c r="H31" s="2" t="s">
        <v>63</v>
      </c>
      <c r="I31" s="2" t="s">
        <v>64</v>
      </c>
      <c r="J31" s="2" t="s">
        <v>63</v>
      </c>
      <c r="K31" s="2" t="s">
        <v>92</v>
      </c>
      <c r="L31" s="2" t="s">
        <v>65</v>
      </c>
      <c r="M31" s="1" t="s">
        <v>497</v>
      </c>
      <c r="N31" s="1" t="s">
        <v>498</v>
      </c>
      <c r="O31" s="2" t="s">
        <v>275</v>
      </c>
      <c r="Q31" s="2" t="s">
        <v>70</v>
      </c>
      <c r="R31" s="2" t="s">
        <v>200</v>
      </c>
      <c r="T31" s="2" t="s">
        <v>72</v>
      </c>
      <c r="U31" s="3">
        <v>14</v>
      </c>
      <c r="V31" s="3">
        <v>14</v>
      </c>
      <c r="W31" s="4" t="s">
        <v>499</v>
      </c>
      <c r="X31" s="4" t="s">
        <v>499</v>
      </c>
      <c r="Y31" s="4" t="s">
        <v>500</v>
      </c>
      <c r="Z31" s="4" t="s">
        <v>500</v>
      </c>
      <c r="AA31" s="3">
        <v>132</v>
      </c>
      <c r="AB31" s="3">
        <v>97</v>
      </c>
      <c r="AC31" s="3">
        <v>926</v>
      </c>
      <c r="AD31" s="3">
        <v>1</v>
      </c>
      <c r="AE31" s="3">
        <v>3</v>
      </c>
      <c r="AF31" s="3">
        <v>4</v>
      </c>
      <c r="AG31" s="3">
        <v>22</v>
      </c>
      <c r="AH31" s="3">
        <v>2</v>
      </c>
      <c r="AI31" s="3">
        <v>8</v>
      </c>
      <c r="AJ31" s="3">
        <v>0</v>
      </c>
      <c r="AK31" s="3">
        <v>5</v>
      </c>
      <c r="AL31" s="3">
        <v>2</v>
      </c>
      <c r="AM31" s="3">
        <v>10</v>
      </c>
      <c r="AN31" s="3">
        <v>0</v>
      </c>
      <c r="AO31" s="3">
        <v>2</v>
      </c>
      <c r="AP31" s="3">
        <v>0</v>
      </c>
      <c r="AQ31" s="3">
        <v>0</v>
      </c>
      <c r="AR31" s="2" t="s">
        <v>63</v>
      </c>
      <c r="AS31" s="2" t="s">
        <v>92</v>
      </c>
      <c r="AT31" s="5" t="str">
        <f>HYPERLINK("http://catalog.hathitrust.org/Record/003052681","HathiTrust Record")</f>
        <v>HathiTrust Record</v>
      </c>
      <c r="AU31" s="5" t="str">
        <f>HYPERLINK("https://creighton-primo.hosted.exlibrisgroup.com/primo-explore/search?tab=default_tab&amp;search_scope=EVERYTHING&amp;vid=01CRU&amp;lang=en_US&amp;offset=0&amp;query=any,contains,991001552189702656","Catalog Record")</f>
        <v>Catalog Record</v>
      </c>
      <c r="AV31" s="5" t="str">
        <f>HYPERLINK("http://www.worldcat.org/oclc/33439085","WorldCat Record")</f>
        <v>WorldCat Record</v>
      </c>
      <c r="AW31" s="2" t="s">
        <v>501</v>
      </c>
      <c r="AX31" s="2" t="s">
        <v>502</v>
      </c>
      <c r="AY31" s="2" t="s">
        <v>503</v>
      </c>
      <c r="AZ31" s="2" t="s">
        <v>503</v>
      </c>
      <c r="BA31" s="2" t="s">
        <v>504</v>
      </c>
      <c r="BB31" s="2" t="s">
        <v>79</v>
      </c>
      <c r="BD31" s="2" t="s">
        <v>505</v>
      </c>
      <c r="BE31" s="2" t="s">
        <v>506</v>
      </c>
      <c r="BF31" s="2" t="s">
        <v>507</v>
      </c>
    </row>
    <row r="32" spans="1:58" ht="46.5" customHeight="1">
      <c r="A32" s="1"/>
      <c r="B32" s="1" t="s">
        <v>58</v>
      </c>
      <c r="C32" s="1" t="s">
        <v>59</v>
      </c>
      <c r="D32" s="1" t="s">
        <v>508</v>
      </c>
      <c r="E32" s="1" t="s">
        <v>509</v>
      </c>
      <c r="F32" s="1" t="s">
        <v>510</v>
      </c>
      <c r="H32" s="2" t="s">
        <v>63</v>
      </c>
      <c r="I32" s="2" t="s">
        <v>64</v>
      </c>
      <c r="J32" s="2" t="s">
        <v>63</v>
      </c>
      <c r="K32" s="2" t="s">
        <v>63</v>
      </c>
      <c r="L32" s="2" t="s">
        <v>65</v>
      </c>
      <c r="M32" s="1" t="s">
        <v>511</v>
      </c>
      <c r="N32" s="1" t="s">
        <v>512</v>
      </c>
      <c r="O32" s="2" t="s">
        <v>145</v>
      </c>
      <c r="P32" s="1" t="s">
        <v>230</v>
      </c>
      <c r="Q32" s="2" t="s">
        <v>70</v>
      </c>
      <c r="R32" s="2" t="s">
        <v>260</v>
      </c>
      <c r="T32" s="2" t="s">
        <v>72</v>
      </c>
      <c r="U32" s="3">
        <v>6</v>
      </c>
      <c r="V32" s="3">
        <v>6</v>
      </c>
      <c r="W32" s="4" t="s">
        <v>513</v>
      </c>
      <c r="X32" s="4" t="s">
        <v>513</v>
      </c>
      <c r="Y32" s="4" t="s">
        <v>514</v>
      </c>
      <c r="Z32" s="4" t="s">
        <v>514</v>
      </c>
      <c r="AA32" s="3">
        <v>187</v>
      </c>
      <c r="AB32" s="3">
        <v>142</v>
      </c>
      <c r="AC32" s="3">
        <v>339</v>
      </c>
      <c r="AD32" s="3">
        <v>1</v>
      </c>
      <c r="AE32" s="3">
        <v>4</v>
      </c>
      <c r="AF32" s="3">
        <v>3</v>
      </c>
      <c r="AG32" s="3">
        <v>10</v>
      </c>
      <c r="AH32" s="3">
        <v>1</v>
      </c>
      <c r="AI32" s="3">
        <v>4</v>
      </c>
      <c r="AJ32" s="3">
        <v>1</v>
      </c>
      <c r="AK32" s="3">
        <v>2</v>
      </c>
      <c r="AL32" s="3">
        <v>2</v>
      </c>
      <c r="AM32" s="3">
        <v>6</v>
      </c>
      <c r="AN32" s="3">
        <v>0</v>
      </c>
      <c r="AO32" s="3">
        <v>1</v>
      </c>
      <c r="AP32" s="3">
        <v>0</v>
      </c>
      <c r="AQ32" s="3">
        <v>0</v>
      </c>
      <c r="AR32" s="2" t="s">
        <v>63</v>
      </c>
      <c r="AS32" s="2" t="s">
        <v>92</v>
      </c>
      <c r="AT32" s="5" t="str">
        <f>HYPERLINK("http://catalog.hathitrust.org/Record/002954630","HathiTrust Record")</f>
        <v>HathiTrust Record</v>
      </c>
      <c r="AU32" s="5" t="str">
        <f>HYPERLINK("https://creighton-primo.hosted.exlibrisgroup.com/primo-explore/search?tab=default_tab&amp;search_scope=EVERYTHING&amp;vid=01CRU&amp;lang=en_US&amp;offset=0&amp;query=any,contains,991001769159702656","Catalog Record")</f>
        <v>Catalog Record</v>
      </c>
      <c r="AV32" s="5" t="str">
        <f>HYPERLINK("http://www.worldcat.org/oclc/31076972","WorldCat Record")</f>
        <v>WorldCat Record</v>
      </c>
      <c r="AW32" s="2" t="s">
        <v>515</v>
      </c>
      <c r="AX32" s="2" t="s">
        <v>516</v>
      </c>
      <c r="AY32" s="2" t="s">
        <v>517</v>
      </c>
      <c r="AZ32" s="2" t="s">
        <v>517</v>
      </c>
      <c r="BA32" s="2" t="s">
        <v>518</v>
      </c>
      <c r="BB32" s="2" t="s">
        <v>79</v>
      </c>
      <c r="BD32" s="2" t="s">
        <v>519</v>
      </c>
      <c r="BE32" s="2" t="s">
        <v>520</v>
      </c>
      <c r="BF32" s="2" t="s">
        <v>521</v>
      </c>
    </row>
    <row r="33" spans="1:58" ht="46.5" customHeight="1">
      <c r="A33" s="1"/>
      <c r="B33" s="1" t="s">
        <v>58</v>
      </c>
      <c r="C33" s="1" t="s">
        <v>59</v>
      </c>
      <c r="D33" s="1" t="s">
        <v>522</v>
      </c>
      <c r="E33" s="1" t="s">
        <v>523</v>
      </c>
      <c r="F33" s="1" t="s">
        <v>524</v>
      </c>
      <c r="H33" s="2" t="s">
        <v>63</v>
      </c>
      <c r="I33" s="2" t="s">
        <v>64</v>
      </c>
      <c r="J33" s="2" t="s">
        <v>63</v>
      </c>
      <c r="K33" s="2" t="s">
        <v>92</v>
      </c>
      <c r="L33" s="2" t="s">
        <v>65</v>
      </c>
      <c r="M33" s="1" t="s">
        <v>525</v>
      </c>
      <c r="N33" s="1" t="s">
        <v>526</v>
      </c>
      <c r="O33" s="2" t="s">
        <v>348</v>
      </c>
      <c r="P33" s="1" t="s">
        <v>527</v>
      </c>
      <c r="Q33" s="2" t="s">
        <v>70</v>
      </c>
      <c r="R33" s="2" t="s">
        <v>200</v>
      </c>
      <c r="T33" s="2" t="s">
        <v>72</v>
      </c>
      <c r="U33" s="3">
        <v>6</v>
      </c>
      <c r="V33" s="3">
        <v>6</v>
      </c>
      <c r="W33" s="4" t="s">
        <v>499</v>
      </c>
      <c r="X33" s="4" t="s">
        <v>499</v>
      </c>
      <c r="Y33" s="4" t="s">
        <v>528</v>
      </c>
      <c r="Z33" s="4" t="s">
        <v>528</v>
      </c>
      <c r="AA33" s="3">
        <v>235</v>
      </c>
      <c r="AB33" s="3">
        <v>200</v>
      </c>
      <c r="AC33" s="3">
        <v>782</v>
      </c>
      <c r="AD33" s="3">
        <v>1</v>
      </c>
      <c r="AE33" s="3">
        <v>4</v>
      </c>
      <c r="AF33" s="3">
        <v>5</v>
      </c>
      <c r="AG33" s="3">
        <v>16</v>
      </c>
      <c r="AH33" s="3">
        <v>3</v>
      </c>
      <c r="AI33" s="3">
        <v>6</v>
      </c>
      <c r="AJ33" s="3">
        <v>1</v>
      </c>
      <c r="AK33" s="3">
        <v>3</v>
      </c>
      <c r="AL33" s="3">
        <v>1</v>
      </c>
      <c r="AM33" s="3">
        <v>8</v>
      </c>
      <c r="AN33" s="3">
        <v>0</v>
      </c>
      <c r="AO33" s="3">
        <v>1</v>
      </c>
      <c r="AP33" s="3">
        <v>0</v>
      </c>
      <c r="AQ33" s="3">
        <v>0</v>
      </c>
      <c r="AR33" s="2" t="s">
        <v>63</v>
      </c>
      <c r="AS33" s="2" t="s">
        <v>92</v>
      </c>
      <c r="AT33" s="5" t="str">
        <f>HYPERLINK("http://catalog.hathitrust.org/Record/003958608","HathiTrust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HYPERLINK("https://creighton-primo.hosted.exlibrisgroup.com/primo-explore/search?tab=default_tab&amp;search_scope=EVERYTHING&amp;vid=01CRU&amp;lang=en_US&amp;offset=0&amp;query=any,contains,991001564509702656","Catalog Record")</f>
        <v>Catalog Record</v>
      </c>
      <c r="AV33" s="5" t="str">
        <f>HYPERLINK("http://www.worldcat.org/oclc/40517045","WorldCat Record")</f>
        <v>WorldCat Record</v>
      </c>
      <c r="AW33" s="2" t="s">
        <v>529</v>
      </c>
      <c r="AX33" s="2" t="s">
        <v>530</v>
      </c>
      <c r="AY33" s="2" t="s">
        <v>531</v>
      </c>
      <c r="AZ33" s="2" t="s">
        <v>531</v>
      </c>
      <c r="BA33" s="2" t="s">
        <v>532</v>
      </c>
      <c r="BB33" s="2" t="s">
        <v>79</v>
      </c>
      <c r="BD33" s="2" t="s">
        <v>533</v>
      </c>
      <c r="BE33" s="2" t="s">
        <v>534</v>
      </c>
      <c r="BF33" s="2" t="s">
        <v>535</v>
      </c>
    </row>
    <row r="34" spans="1:58" ht="46.5" customHeight="1">
      <c r="A34" s="1"/>
      <c r="B34" s="1" t="s">
        <v>58</v>
      </c>
      <c r="C34" s="1" t="s">
        <v>59</v>
      </c>
      <c r="D34" s="1" t="s">
        <v>536</v>
      </c>
      <c r="E34" s="1" t="s">
        <v>537</v>
      </c>
      <c r="F34" s="1" t="s">
        <v>538</v>
      </c>
      <c r="H34" s="2" t="s">
        <v>63</v>
      </c>
      <c r="I34" s="2" t="s">
        <v>64</v>
      </c>
      <c r="J34" s="2" t="s">
        <v>63</v>
      </c>
      <c r="K34" s="2" t="s">
        <v>92</v>
      </c>
      <c r="L34" s="2" t="s">
        <v>65</v>
      </c>
      <c r="M34" s="1" t="s">
        <v>525</v>
      </c>
      <c r="N34" s="1" t="s">
        <v>539</v>
      </c>
      <c r="O34" s="2" t="s">
        <v>540</v>
      </c>
      <c r="P34" s="1" t="s">
        <v>541</v>
      </c>
      <c r="Q34" s="2" t="s">
        <v>70</v>
      </c>
      <c r="R34" s="2" t="s">
        <v>200</v>
      </c>
      <c r="T34" s="2" t="s">
        <v>72</v>
      </c>
      <c r="U34" s="3">
        <v>1</v>
      </c>
      <c r="V34" s="3">
        <v>1</v>
      </c>
      <c r="W34" s="4" t="s">
        <v>542</v>
      </c>
      <c r="X34" s="4" t="s">
        <v>542</v>
      </c>
      <c r="Y34" s="4" t="s">
        <v>543</v>
      </c>
      <c r="Z34" s="4" t="s">
        <v>543</v>
      </c>
      <c r="AA34" s="3">
        <v>330</v>
      </c>
      <c r="AB34" s="3">
        <v>250</v>
      </c>
      <c r="AC34" s="3">
        <v>782</v>
      </c>
      <c r="AD34" s="3">
        <v>2</v>
      </c>
      <c r="AE34" s="3">
        <v>4</v>
      </c>
      <c r="AF34" s="3">
        <v>8</v>
      </c>
      <c r="AG34" s="3">
        <v>16</v>
      </c>
      <c r="AH34" s="3">
        <v>3</v>
      </c>
      <c r="AI34" s="3">
        <v>6</v>
      </c>
      <c r="AJ34" s="3">
        <v>0</v>
      </c>
      <c r="AK34" s="3">
        <v>3</v>
      </c>
      <c r="AL34" s="3">
        <v>4</v>
      </c>
      <c r="AM34" s="3">
        <v>8</v>
      </c>
      <c r="AN34" s="3">
        <v>1</v>
      </c>
      <c r="AO34" s="3">
        <v>1</v>
      </c>
      <c r="AP34" s="3">
        <v>0</v>
      </c>
      <c r="AQ34" s="3">
        <v>0</v>
      </c>
      <c r="AR34" s="2" t="s">
        <v>63</v>
      </c>
      <c r="AS34" s="2" t="s">
        <v>63</v>
      </c>
      <c r="AU34" s="5" t="str">
        <f>HYPERLINK("https://creighton-primo.hosted.exlibrisgroup.com/primo-explore/search?tab=default_tab&amp;search_scope=EVERYTHING&amp;vid=01CRU&amp;lang=en_US&amp;offset=0&amp;query=any,contains,991001738269702656","Catalog Record")</f>
        <v>Catalog Record</v>
      </c>
      <c r="AV34" s="5" t="str">
        <f>HYPERLINK("http://www.worldcat.org/oclc/65195229","WorldCat Record")</f>
        <v>WorldCat Record</v>
      </c>
      <c r="AW34" s="2" t="s">
        <v>529</v>
      </c>
      <c r="AX34" s="2" t="s">
        <v>544</v>
      </c>
      <c r="AY34" s="2" t="s">
        <v>545</v>
      </c>
      <c r="AZ34" s="2" t="s">
        <v>545</v>
      </c>
      <c r="BA34" s="2" t="s">
        <v>546</v>
      </c>
      <c r="BB34" s="2" t="s">
        <v>79</v>
      </c>
      <c r="BD34" s="2" t="s">
        <v>547</v>
      </c>
      <c r="BE34" s="2" t="s">
        <v>548</v>
      </c>
      <c r="BF34" s="2" t="s">
        <v>549</v>
      </c>
    </row>
    <row r="35" spans="1:58" ht="46.5" customHeight="1">
      <c r="A35" s="1"/>
      <c r="B35" s="1" t="s">
        <v>58</v>
      </c>
      <c r="C35" s="1" t="s">
        <v>59</v>
      </c>
      <c r="D35" s="1" t="s">
        <v>550</v>
      </c>
      <c r="E35" s="1" t="s">
        <v>551</v>
      </c>
      <c r="F35" s="1" t="s">
        <v>552</v>
      </c>
      <c r="H35" s="2" t="s">
        <v>63</v>
      </c>
      <c r="I35" s="2" t="s">
        <v>64</v>
      </c>
      <c r="J35" s="2" t="s">
        <v>63</v>
      </c>
      <c r="K35" s="2" t="s">
        <v>63</v>
      </c>
      <c r="L35" s="2" t="s">
        <v>65</v>
      </c>
      <c r="N35" s="1" t="s">
        <v>553</v>
      </c>
      <c r="O35" s="2" t="s">
        <v>554</v>
      </c>
      <c r="P35" s="1" t="s">
        <v>230</v>
      </c>
      <c r="Q35" s="2" t="s">
        <v>70</v>
      </c>
      <c r="R35" s="2" t="s">
        <v>555</v>
      </c>
      <c r="T35" s="2" t="s">
        <v>72</v>
      </c>
      <c r="U35" s="3">
        <v>86</v>
      </c>
      <c r="V35" s="3">
        <v>86</v>
      </c>
      <c r="W35" s="4" t="s">
        <v>556</v>
      </c>
      <c r="X35" s="4" t="s">
        <v>556</v>
      </c>
      <c r="Y35" s="4" t="s">
        <v>557</v>
      </c>
      <c r="Z35" s="4" t="s">
        <v>557</v>
      </c>
      <c r="AA35" s="3">
        <v>189</v>
      </c>
      <c r="AB35" s="3">
        <v>126</v>
      </c>
      <c r="AC35" s="3">
        <v>287</v>
      </c>
      <c r="AD35" s="3">
        <v>1</v>
      </c>
      <c r="AE35" s="3">
        <v>2</v>
      </c>
      <c r="AF35" s="3">
        <v>1</v>
      </c>
      <c r="AG35" s="3">
        <v>7</v>
      </c>
      <c r="AH35" s="3">
        <v>0</v>
      </c>
      <c r="AI35" s="3">
        <v>1</v>
      </c>
      <c r="AJ35" s="3">
        <v>0</v>
      </c>
      <c r="AK35" s="3">
        <v>3</v>
      </c>
      <c r="AL35" s="3">
        <v>1</v>
      </c>
      <c r="AM35" s="3">
        <v>3</v>
      </c>
      <c r="AN35" s="3">
        <v>0</v>
      </c>
      <c r="AO35" s="3">
        <v>1</v>
      </c>
      <c r="AP35" s="3">
        <v>0</v>
      </c>
      <c r="AQ35" s="3">
        <v>0</v>
      </c>
      <c r="AR35" s="2" t="s">
        <v>63</v>
      </c>
      <c r="AS35" s="2" t="s">
        <v>92</v>
      </c>
      <c r="AT35" s="5" t="str">
        <f>HYPERLINK("http://catalog.hathitrust.org/Record/002795724","HathiTrust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HYPERLINK("https://creighton-primo.hosted.exlibrisgroup.com/primo-explore/search?tab=default_tab&amp;search_scope=EVERYTHING&amp;vid=01CRU&amp;lang=en_US&amp;offset=0&amp;query=any,contains,991001119779702656","Catalog Record")</f>
        <v>Catalog Record</v>
      </c>
      <c r="AV35" s="5" t="str">
        <f>HYPERLINK("http://www.worldcat.org/oclc/28929399","WorldCat Record")</f>
        <v>WorldCat Record</v>
      </c>
      <c r="AW35" s="2" t="s">
        <v>558</v>
      </c>
      <c r="AX35" s="2" t="s">
        <v>559</v>
      </c>
      <c r="AY35" s="2" t="s">
        <v>560</v>
      </c>
      <c r="AZ35" s="2" t="s">
        <v>560</v>
      </c>
      <c r="BA35" s="2" t="s">
        <v>561</v>
      </c>
      <c r="BB35" s="2" t="s">
        <v>79</v>
      </c>
      <c r="BD35" s="2" t="s">
        <v>562</v>
      </c>
      <c r="BE35" s="2" t="s">
        <v>563</v>
      </c>
      <c r="BF35" s="2" t="s">
        <v>564</v>
      </c>
    </row>
    <row r="36" spans="1:58" ht="46.5" customHeight="1">
      <c r="A36" s="1"/>
      <c r="B36" s="1" t="s">
        <v>58</v>
      </c>
      <c r="C36" s="1" t="s">
        <v>59</v>
      </c>
      <c r="D36" s="1" t="s">
        <v>565</v>
      </c>
      <c r="E36" s="1" t="s">
        <v>566</v>
      </c>
      <c r="F36" s="1" t="s">
        <v>567</v>
      </c>
      <c r="H36" s="2" t="s">
        <v>63</v>
      </c>
      <c r="I36" s="2" t="s">
        <v>64</v>
      </c>
      <c r="J36" s="2" t="s">
        <v>63</v>
      </c>
      <c r="K36" s="2" t="s">
        <v>92</v>
      </c>
      <c r="L36" s="2" t="s">
        <v>65</v>
      </c>
      <c r="N36" s="1" t="s">
        <v>568</v>
      </c>
      <c r="O36" s="2" t="s">
        <v>484</v>
      </c>
      <c r="P36" s="1" t="s">
        <v>88</v>
      </c>
      <c r="Q36" s="2" t="s">
        <v>70</v>
      </c>
      <c r="R36" s="2" t="s">
        <v>260</v>
      </c>
      <c r="T36" s="2" t="s">
        <v>72</v>
      </c>
      <c r="U36" s="3">
        <v>15</v>
      </c>
      <c r="V36" s="3">
        <v>15</v>
      </c>
      <c r="W36" s="4" t="s">
        <v>569</v>
      </c>
      <c r="X36" s="4" t="s">
        <v>569</v>
      </c>
      <c r="Y36" s="4" t="s">
        <v>570</v>
      </c>
      <c r="Z36" s="4" t="s">
        <v>570</v>
      </c>
      <c r="AA36" s="3">
        <v>273</v>
      </c>
      <c r="AB36" s="3">
        <v>183</v>
      </c>
      <c r="AC36" s="3">
        <v>259</v>
      </c>
      <c r="AD36" s="3">
        <v>2</v>
      </c>
      <c r="AE36" s="3">
        <v>2</v>
      </c>
      <c r="AF36" s="3">
        <v>8</v>
      </c>
      <c r="AG36" s="3">
        <v>10</v>
      </c>
      <c r="AH36" s="3">
        <v>3</v>
      </c>
      <c r="AI36" s="3">
        <v>4</v>
      </c>
      <c r="AJ36" s="3">
        <v>1</v>
      </c>
      <c r="AK36" s="3">
        <v>1</v>
      </c>
      <c r="AL36" s="3">
        <v>3</v>
      </c>
      <c r="AM36" s="3">
        <v>4</v>
      </c>
      <c r="AN36" s="3">
        <v>1</v>
      </c>
      <c r="AO36" s="3">
        <v>1</v>
      </c>
      <c r="AP36" s="3">
        <v>0</v>
      </c>
      <c r="AQ36" s="3">
        <v>0</v>
      </c>
      <c r="AR36" s="2" t="s">
        <v>63</v>
      </c>
      <c r="AS36" s="2" t="s">
        <v>63</v>
      </c>
      <c r="AU36" s="5" t="str">
        <f>HYPERLINK("https://creighton-primo.hosted.exlibrisgroup.com/primo-explore/search?tab=default_tab&amp;search_scope=EVERYTHING&amp;vid=01CRU&amp;lang=en_US&amp;offset=0&amp;query=any,contains,991000448159702656","Catalog Record")</f>
        <v>Catalog Record</v>
      </c>
      <c r="AV36" s="5" t="str">
        <f>HYPERLINK("http://www.worldcat.org/oclc/51258187","WorldCat Record")</f>
        <v>WorldCat Record</v>
      </c>
      <c r="AW36" s="2" t="s">
        <v>571</v>
      </c>
      <c r="AX36" s="2" t="s">
        <v>572</v>
      </c>
      <c r="AY36" s="2" t="s">
        <v>573</v>
      </c>
      <c r="AZ36" s="2" t="s">
        <v>573</v>
      </c>
      <c r="BA36" s="2" t="s">
        <v>574</v>
      </c>
      <c r="BB36" s="2" t="s">
        <v>79</v>
      </c>
      <c r="BD36" s="2" t="s">
        <v>575</v>
      </c>
      <c r="BE36" s="2" t="s">
        <v>576</v>
      </c>
      <c r="BF36" s="2" t="s">
        <v>577</v>
      </c>
    </row>
    <row r="37" spans="1:58" ht="46.5" customHeight="1">
      <c r="A37" s="1"/>
      <c r="B37" s="1" t="s">
        <v>58</v>
      </c>
      <c r="C37" s="1" t="s">
        <v>59</v>
      </c>
      <c r="D37" s="1" t="s">
        <v>578</v>
      </c>
      <c r="E37" s="1" t="s">
        <v>579</v>
      </c>
      <c r="F37" s="1" t="s">
        <v>567</v>
      </c>
      <c r="H37" s="2" t="s">
        <v>63</v>
      </c>
      <c r="I37" s="2" t="s">
        <v>64</v>
      </c>
      <c r="J37" s="2" t="s">
        <v>63</v>
      </c>
      <c r="K37" s="2" t="s">
        <v>92</v>
      </c>
      <c r="L37" s="2" t="s">
        <v>65</v>
      </c>
      <c r="N37" s="1" t="s">
        <v>580</v>
      </c>
      <c r="O37" s="2" t="s">
        <v>229</v>
      </c>
      <c r="P37" s="1" t="s">
        <v>105</v>
      </c>
      <c r="Q37" s="2" t="s">
        <v>70</v>
      </c>
      <c r="R37" s="2" t="s">
        <v>555</v>
      </c>
      <c r="T37" s="2" t="s">
        <v>72</v>
      </c>
      <c r="U37" s="3">
        <v>28</v>
      </c>
      <c r="V37" s="3">
        <v>28</v>
      </c>
      <c r="W37" s="4" t="s">
        <v>581</v>
      </c>
      <c r="X37" s="4" t="s">
        <v>581</v>
      </c>
      <c r="Y37" s="4" t="s">
        <v>582</v>
      </c>
      <c r="Z37" s="4" t="s">
        <v>582</v>
      </c>
      <c r="AA37" s="3">
        <v>211</v>
      </c>
      <c r="AB37" s="3">
        <v>144</v>
      </c>
      <c r="AC37" s="3">
        <v>259</v>
      </c>
      <c r="AD37" s="3">
        <v>1</v>
      </c>
      <c r="AE37" s="3">
        <v>2</v>
      </c>
      <c r="AF37" s="3">
        <v>5</v>
      </c>
      <c r="AG37" s="3">
        <v>10</v>
      </c>
      <c r="AH37" s="3">
        <v>2</v>
      </c>
      <c r="AI37" s="3">
        <v>4</v>
      </c>
      <c r="AJ37" s="3">
        <v>1</v>
      </c>
      <c r="AK37" s="3">
        <v>1</v>
      </c>
      <c r="AL37" s="3">
        <v>2</v>
      </c>
      <c r="AM37" s="3">
        <v>4</v>
      </c>
      <c r="AN37" s="3">
        <v>0</v>
      </c>
      <c r="AO37" s="3">
        <v>1</v>
      </c>
      <c r="AP37" s="3">
        <v>0</v>
      </c>
      <c r="AQ37" s="3">
        <v>0</v>
      </c>
      <c r="AR37" s="2" t="s">
        <v>63</v>
      </c>
      <c r="AS37" s="2" t="s">
        <v>92</v>
      </c>
      <c r="AT37" s="5" t="str">
        <f>HYPERLINK("http://catalog.hathitrust.org/Record/003126395","HathiTrust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HYPERLINK("https://creighton-primo.hosted.exlibrisgroup.com/primo-explore/search?tab=default_tab&amp;search_scope=EVERYTHING&amp;vid=01CRU&amp;lang=en_US&amp;offset=0&amp;query=any,contains,991000839499702656","Catalog Record")</f>
        <v>Catalog Record</v>
      </c>
      <c r="AV37" s="5" t="str">
        <f>HYPERLINK("http://www.worldcat.org/oclc/34912638","WorldCat Record")</f>
        <v>WorldCat Record</v>
      </c>
      <c r="AW37" s="2" t="s">
        <v>571</v>
      </c>
      <c r="AX37" s="2" t="s">
        <v>583</v>
      </c>
      <c r="AY37" s="2" t="s">
        <v>584</v>
      </c>
      <c r="AZ37" s="2" t="s">
        <v>584</v>
      </c>
      <c r="BA37" s="2" t="s">
        <v>585</v>
      </c>
      <c r="BB37" s="2" t="s">
        <v>79</v>
      </c>
      <c r="BD37" s="2" t="s">
        <v>586</v>
      </c>
      <c r="BE37" s="2" t="s">
        <v>587</v>
      </c>
      <c r="BF37" s="2" t="s">
        <v>588</v>
      </c>
    </row>
    <row r="38" spans="1:58" ht="46.5" customHeight="1">
      <c r="A38" s="1"/>
      <c r="B38" s="1" t="s">
        <v>58</v>
      </c>
      <c r="C38" s="1" t="s">
        <v>59</v>
      </c>
      <c r="D38" s="1" t="s">
        <v>589</v>
      </c>
      <c r="E38" s="1" t="s">
        <v>590</v>
      </c>
      <c r="F38" s="1" t="s">
        <v>591</v>
      </c>
      <c r="H38" s="2" t="s">
        <v>63</v>
      </c>
      <c r="I38" s="2" t="s">
        <v>64</v>
      </c>
      <c r="J38" s="2" t="s">
        <v>63</v>
      </c>
      <c r="K38" s="2" t="s">
        <v>92</v>
      </c>
      <c r="L38" s="2" t="s">
        <v>65</v>
      </c>
      <c r="M38" s="1" t="s">
        <v>592</v>
      </c>
      <c r="N38" s="1" t="s">
        <v>593</v>
      </c>
      <c r="O38" s="2" t="s">
        <v>594</v>
      </c>
      <c r="Q38" s="2" t="s">
        <v>70</v>
      </c>
      <c r="R38" s="2" t="s">
        <v>260</v>
      </c>
      <c r="T38" s="2" t="s">
        <v>72</v>
      </c>
      <c r="U38" s="3">
        <v>6</v>
      </c>
      <c r="V38" s="3">
        <v>6</v>
      </c>
      <c r="W38" s="4" t="s">
        <v>595</v>
      </c>
      <c r="X38" s="4" t="s">
        <v>595</v>
      </c>
      <c r="Y38" s="4" t="s">
        <v>472</v>
      </c>
      <c r="Z38" s="4" t="s">
        <v>472</v>
      </c>
      <c r="AA38" s="3">
        <v>127</v>
      </c>
      <c r="AB38" s="3">
        <v>110</v>
      </c>
      <c r="AC38" s="3">
        <v>526</v>
      </c>
      <c r="AD38" s="3">
        <v>2</v>
      </c>
      <c r="AE38" s="3">
        <v>3</v>
      </c>
      <c r="AF38" s="3">
        <v>3</v>
      </c>
      <c r="AG38" s="3">
        <v>13</v>
      </c>
      <c r="AH38" s="3">
        <v>1</v>
      </c>
      <c r="AI38" s="3">
        <v>5</v>
      </c>
      <c r="AJ38" s="3">
        <v>0</v>
      </c>
      <c r="AK38" s="3">
        <v>4</v>
      </c>
      <c r="AL38" s="3">
        <v>1</v>
      </c>
      <c r="AM38" s="3">
        <v>6</v>
      </c>
      <c r="AN38" s="3">
        <v>1</v>
      </c>
      <c r="AO38" s="3">
        <v>2</v>
      </c>
      <c r="AP38" s="3">
        <v>0</v>
      </c>
      <c r="AQ38" s="3">
        <v>0</v>
      </c>
      <c r="AR38" s="2" t="s">
        <v>63</v>
      </c>
      <c r="AS38" s="2" t="s">
        <v>92</v>
      </c>
      <c r="AT38" s="5" t="str">
        <f>HYPERLINK("http://catalog.hathitrust.org/Record/000020504","HathiTrust Record")</f>
        <v>HathiTrust Record</v>
      </c>
      <c r="AU38" s="5" t="str">
        <f>HYPERLINK("https://creighton-primo.hosted.exlibrisgroup.com/primo-explore/search?tab=default_tab&amp;search_scope=EVERYTHING&amp;vid=01CRU&amp;lang=en_US&amp;offset=0&amp;query=any,contains,991000947129702656","Catalog Record")</f>
        <v>Catalog Record</v>
      </c>
      <c r="AV38" s="5" t="str">
        <f>HYPERLINK("http://www.worldcat.org/oclc/1218402","WorldCat Record")</f>
        <v>WorldCat Record</v>
      </c>
      <c r="AW38" s="2" t="s">
        <v>596</v>
      </c>
      <c r="AX38" s="2" t="s">
        <v>597</v>
      </c>
      <c r="AY38" s="2" t="s">
        <v>598</v>
      </c>
      <c r="AZ38" s="2" t="s">
        <v>598</v>
      </c>
      <c r="BA38" s="2" t="s">
        <v>599</v>
      </c>
      <c r="BB38" s="2" t="s">
        <v>79</v>
      </c>
      <c r="BD38" s="2" t="s">
        <v>600</v>
      </c>
      <c r="BE38" s="2" t="s">
        <v>601</v>
      </c>
      <c r="BF38" s="2" t="s">
        <v>602</v>
      </c>
    </row>
    <row r="39" spans="1:58" ht="46.5" customHeight="1">
      <c r="A39" s="1"/>
      <c r="B39" s="1" t="s">
        <v>58</v>
      </c>
      <c r="C39" s="1" t="s">
        <v>59</v>
      </c>
      <c r="D39" s="1" t="s">
        <v>603</v>
      </c>
      <c r="E39" s="1" t="s">
        <v>604</v>
      </c>
      <c r="F39" s="1" t="s">
        <v>605</v>
      </c>
      <c r="H39" s="2" t="s">
        <v>63</v>
      </c>
      <c r="I39" s="2" t="s">
        <v>64</v>
      </c>
      <c r="J39" s="2" t="s">
        <v>63</v>
      </c>
      <c r="K39" s="2" t="s">
        <v>63</v>
      </c>
      <c r="L39" s="2" t="s">
        <v>65</v>
      </c>
      <c r="M39" s="1" t="s">
        <v>606</v>
      </c>
      <c r="N39" s="1" t="s">
        <v>607</v>
      </c>
      <c r="O39" s="2" t="s">
        <v>608</v>
      </c>
      <c r="P39" s="1" t="s">
        <v>157</v>
      </c>
      <c r="Q39" s="2" t="s">
        <v>70</v>
      </c>
      <c r="R39" s="2" t="s">
        <v>322</v>
      </c>
      <c r="T39" s="2" t="s">
        <v>72</v>
      </c>
      <c r="U39" s="3">
        <v>90</v>
      </c>
      <c r="V39" s="3">
        <v>90</v>
      </c>
      <c r="W39" s="4" t="s">
        <v>609</v>
      </c>
      <c r="X39" s="4" t="s">
        <v>609</v>
      </c>
      <c r="Y39" s="4" t="s">
        <v>610</v>
      </c>
      <c r="Z39" s="4" t="s">
        <v>610</v>
      </c>
      <c r="AA39" s="3">
        <v>173</v>
      </c>
      <c r="AB39" s="3">
        <v>136</v>
      </c>
      <c r="AC39" s="3">
        <v>238</v>
      </c>
      <c r="AD39" s="3">
        <v>3</v>
      </c>
      <c r="AE39" s="3">
        <v>3</v>
      </c>
      <c r="AF39" s="3">
        <v>2</v>
      </c>
      <c r="AG39" s="3">
        <v>6</v>
      </c>
      <c r="AH39" s="3">
        <v>0</v>
      </c>
      <c r="AI39" s="3">
        <v>3</v>
      </c>
      <c r="AJ39" s="3">
        <v>1</v>
      </c>
      <c r="AK39" s="3">
        <v>2</v>
      </c>
      <c r="AL39" s="3">
        <v>2</v>
      </c>
      <c r="AM39" s="3">
        <v>4</v>
      </c>
      <c r="AN39" s="3">
        <v>0</v>
      </c>
      <c r="AO39" s="3">
        <v>0</v>
      </c>
      <c r="AP39" s="3">
        <v>0</v>
      </c>
      <c r="AQ39" s="3">
        <v>0</v>
      </c>
      <c r="AR39" s="2" t="s">
        <v>63</v>
      </c>
      <c r="AS39" s="2" t="s">
        <v>92</v>
      </c>
      <c r="AT39" s="5" t="str">
        <f>HYPERLINK("http://catalog.hathitrust.org/Record/004546240","HathiTrust Record")</f>
        <v>HathiTrust Record</v>
      </c>
      <c r="AU39" s="5" t="str">
        <f>HYPERLINK("https://creighton-primo.hosted.exlibrisgroup.com/primo-explore/search?tab=default_tab&amp;search_scope=EVERYTHING&amp;vid=01CRU&amp;lang=en_US&amp;offset=0&amp;query=any,contains,991001479729702656","Catalog Record")</f>
        <v>Catalog Record</v>
      </c>
      <c r="AV39" s="5" t="str">
        <f>HYPERLINK("http://www.worldcat.org/oclc/27218119","WorldCat Record")</f>
        <v>WorldCat Record</v>
      </c>
      <c r="AW39" s="2" t="s">
        <v>611</v>
      </c>
      <c r="AX39" s="2" t="s">
        <v>612</v>
      </c>
      <c r="AY39" s="2" t="s">
        <v>613</v>
      </c>
      <c r="AZ39" s="2" t="s">
        <v>613</v>
      </c>
      <c r="BA39" s="2" t="s">
        <v>614</v>
      </c>
      <c r="BB39" s="2" t="s">
        <v>79</v>
      </c>
      <c r="BD39" s="2" t="s">
        <v>615</v>
      </c>
      <c r="BE39" s="2" t="s">
        <v>616</v>
      </c>
      <c r="BF39" s="2" t="s">
        <v>617</v>
      </c>
    </row>
    <row r="40" spans="1:58" ht="46.5" customHeight="1">
      <c r="A40" s="1"/>
      <c r="B40" s="1" t="s">
        <v>58</v>
      </c>
      <c r="C40" s="1" t="s">
        <v>59</v>
      </c>
      <c r="D40" s="1" t="s">
        <v>618</v>
      </c>
      <c r="E40" s="1" t="s">
        <v>619</v>
      </c>
      <c r="F40" s="1" t="s">
        <v>620</v>
      </c>
      <c r="H40" s="2" t="s">
        <v>63</v>
      </c>
      <c r="I40" s="2" t="s">
        <v>64</v>
      </c>
      <c r="J40" s="2" t="s">
        <v>63</v>
      </c>
      <c r="K40" s="2" t="s">
        <v>63</v>
      </c>
      <c r="L40" s="2" t="s">
        <v>65</v>
      </c>
      <c r="M40" s="1" t="s">
        <v>621</v>
      </c>
      <c r="N40" s="1" t="s">
        <v>622</v>
      </c>
      <c r="O40" s="2" t="s">
        <v>104</v>
      </c>
      <c r="P40" s="1" t="s">
        <v>623</v>
      </c>
      <c r="Q40" s="2" t="s">
        <v>70</v>
      </c>
      <c r="R40" s="2" t="s">
        <v>89</v>
      </c>
      <c r="T40" s="2" t="s">
        <v>72</v>
      </c>
      <c r="U40" s="3">
        <v>8</v>
      </c>
      <c r="V40" s="3">
        <v>8</v>
      </c>
      <c r="W40" s="4" t="s">
        <v>624</v>
      </c>
      <c r="X40" s="4" t="s">
        <v>624</v>
      </c>
      <c r="Y40" s="4" t="s">
        <v>74</v>
      </c>
      <c r="Z40" s="4" t="s">
        <v>74</v>
      </c>
      <c r="AA40" s="3">
        <v>157</v>
      </c>
      <c r="AB40" s="3">
        <v>133</v>
      </c>
      <c r="AC40" s="3">
        <v>135</v>
      </c>
      <c r="AD40" s="3">
        <v>3</v>
      </c>
      <c r="AE40" s="3">
        <v>3</v>
      </c>
      <c r="AF40" s="3">
        <v>4</v>
      </c>
      <c r="AG40" s="3">
        <v>4</v>
      </c>
      <c r="AH40" s="3">
        <v>1</v>
      </c>
      <c r="AI40" s="3">
        <v>1</v>
      </c>
      <c r="AJ40" s="3">
        <v>1</v>
      </c>
      <c r="AK40" s="3">
        <v>1</v>
      </c>
      <c r="AL40" s="3">
        <v>2</v>
      </c>
      <c r="AM40" s="3">
        <v>2</v>
      </c>
      <c r="AN40" s="3">
        <v>0</v>
      </c>
      <c r="AO40" s="3">
        <v>0</v>
      </c>
      <c r="AP40" s="3">
        <v>0</v>
      </c>
      <c r="AQ40" s="3">
        <v>0</v>
      </c>
      <c r="AR40" s="2" t="s">
        <v>63</v>
      </c>
      <c r="AS40" s="2" t="s">
        <v>92</v>
      </c>
      <c r="AT40" s="5" t="str">
        <f>HYPERLINK("http://catalog.hathitrust.org/Record/000569813","HathiTrust Record")</f>
        <v>HathiTrust Record</v>
      </c>
      <c r="AU40" s="5" t="str">
        <f>HYPERLINK("https://creighton-primo.hosted.exlibrisgroup.com/primo-explore/search?tab=default_tab&amp;search_scope=EVERYTHING&amp;vid=01CRU&amp;lang=en_US&amp;offset=0&amp;query=any,contains,991000946889702656","Catalog Record")</f>
        <v>Catalog Record</v>
      </c>
      <c r="AV40" s="5" t="str">
        <f>HYPERLINK("http://www.worldcat.org/oclc/11649350","WorldCat Record")</f>
        <v>WorldCat Record</v>
      </c>
      <c r="AW40" s="2" t="s">
        <v>625</v>
      </c>
      <c r="AX40" s="2" t="s">
        <v>626</v>
      </c>
      <c r="AY40" s="2" t="s">
        <v>627</v>
      </c>
      <c r="AZ40" s="2" t="s">
        <v>627</v>
      </c>
      <c r="BA40" s="2" t="s">
        <v>628</v>
      </c>
      <c r="BB40" s="2" t="s">
        <v>79</v>
      </c>
      <c r="BD40" s="2" t="s">
        <v>629</v>
      </c>
      <c r="BE40" s="2" t="s">
        <v>630</v>
      </c>
      <c r="BF40" s="2" t="s">
        <v>631</v>
      </c>
    </row>
    <row r="41" spans="1:58" ht="46.5" customHeight="1">
      <c r="A41" s="1"/>
      <c r="B41" s="1" t="s">
        <v>58</v>
      </c>
      <c r="C41" s="1" t="s">
        <v>59</v>
      </c>
      <c r="D41" s="1" t="s">
        <v>632</v>
      </c>
      <c r="E41" s="1" t="s">
        <v>633</v>
      </c>
      <c r="F41" s="1" t="s">
        <v>634</v>
      </c>
      <c r="H41" s="2" t="s">
        <v>63</v>
      </c>
      <c r="I41" s="2" t="s">
        <v>64</v>
      </c>
      <c r="J41" s="2" t="s">
        <v>63</v>
      </c>
      <c r="K41" s="2" t="s">
        <v>92</v>
      </c>
      <c r="L41" s="2" t="s">
        <v>65</v>
      </c>
      <c r="M41" s="1" t="s">
        <v>635</v>
      </c>
      <c r="N41" s="1" t="s">
        <v>274</v>
      </c>
      <c r="O41" s="2" t="s">
        <v>275</v>
      </c>
      <c r="Q41" s="2" t="s">
        <v>70</v>
      </c>
      <c r="R41" s="2" t="s">
        <v>277</v>
      </c>
      <c r="T41" s="2" t="s">
        <v>72</v>
      </c>
      <c r="U41" s="3">
        <v>18</v>
      </c>
      <c r="V41" s="3">
        <v>18</v>
      </c>
      <c r="W41" s="4" t="s">
        <v>636</v>
      </c>
      <c r="X41" s="4" t="s">
        <v>636</v>
      </c>
      <c r="Y41" s="4" t="s">
        <v>637</v>
      </c>
      <c r="Z41" s="4" t="s">
        <v>637</v>
      </c>
      <c r="AA41" s="3">
        <v>127</v>
      </c>
      <c r="AB41" s="3">
        <v>93</v>
      </c>
      <c r="AC41" s="3">
        <v>202</v>
      </c>
      <c r="AD41" s="3">
        <v>1</v>
      </c>
      <c r="AE41" s="3">
        <v>1</v>
      </c>
      <c r="AF41" s="3">
        <v>7</v>
      </c>
      <c r="AG41" s="3">
        <v>11</v>
      </c>
      <c r="AH41" s="3">
        <v>1</v>
      </c>
      <c r="AI41" s="3">
        <v>5</v>
      </c>
      <c r="AJ41" s="3">
        <v>2</v>
      </c>
      <c r="AK41" s="3">
        <v>3</v>
      </c>
      <c r="AL41" s="3">
        <v>5</v>
      </c>
      <c r="AM41" s="3">
        <v>5</v>
      </c>
      <c r="AN41" s="3">
        <v>0</v>
      </c>
      <c r="AO41" s="3">
        <v>0</v>
      </c>
      <c r="AP41" s="3">
        <v>0</v>
      </c>
      <c r="AQ41" s="3">
        <v>0</v>
      </c>
      <c r="AR41" s="2" t="s">
        <v>63</v>
      </c>
      <c r="AS41" s="2" t="s">
        <v>92</v>
      </c>
      <c r="AT41" s="5" t="str">
        <f>HYPERLINK("http://catalog.hathitrust.org/Record/003067158","HathiTrust Record")</f>
        <v>HathiTrust Record</v>
      </c>
      <c r="AU41" s="5" t="str">
        <f>HYPERLINK("https://creighton-primo.hosted.exlibrisgroup.com/primo-explore/search?tab=default_tab&amp;search_scope=EVERYTHING&amp;vid=01CRU&amp;lang=en_US&amp;offset=0&amp;query=any,contains,991001559339702656","Catalog Record")</f>
        <v>Catalog Record</v>
      </c>
      <c r="AV41" s="5" t="str">
        <f>HYPERLINK("http://www.worldcat.org/oclc/33105346","WorldCat Record")</f>
        <v>WorldCat Record</v>
      </c>
      <c r="AW41" s="2" t="s">
        <v>638</v>
      </c>
      <c r="AX41" s="2" t="s">
        <v>639</v>
      </c>
      <c r="AY41" s="2" t="s">
        <v>640</v>
      </c>
      <c r="AZ41" s="2" t="s">
        <v>640</v>
      </c>
      <c r="BA41" s="2" t="s">
        <v>641</v>
      </c>
      <c r="BB41" s="2" t="s">
        <v>79</v>
      </c>
      <c r="BD41" s="2" t="s">
        <v>642</v>
      </c>
      <c r="BE41" s="2" t="s">
        <v>643</v>
      </c>
      <c r="BF41" s="2" t="s">
        <v>644</v>
      </c>
    </row>
    <row r="42" spans="1:58" ht="46.5" customHeight="1">
      <c r="A42" s="1"/>
      <c r="B42" s="1" t="s">
        <v>58</v>
      </c>
      <c r="C42" s="1" t="s">
        <v>59</v>
      </c>
      <c r="D42" s="1" t="s">
        <v>645</v>
      </c>
      <c r="E42" s="1" t="s">
        <v>646</v>
      </c>
      <c r="F42" s="1" t="s">
        <v>647</v>
      </c>
      <c r="H42" s="2" t="s">
        <v>63</v>
      </c>
      <c r="I42" s="2" t="s">
        <v>64</v>
      </c>
      <c r="J42" s="2" t="s">
        <v>63</v>
      </c>
      <c r="K42" s="2" t="s">
        <v>63</v>
      </c>
      <c r="L42" s="2" t="s">
        <v>65</v>
      </c>
      <c r="M42" s="1" t="s">
        <v>648</v>
      </c>
      <c r="N42" s="1" t="s">
        <v>649</v>
      </c>
      <c r="O42" s="2" t="s">
        <v>198</v>
      </c>
      <c r="P42" s="1" t="s">
        <v>157</v>
      </c>
      <c r="Q42" s="2" t="s">
        <v>70</v>
      </c>
      <c r="R42" s="2" t="s">
        <v>89</v>
      </c>
      <c r="T42" s="2" t="s">
        <v>72</v>
      </c>
      <c r="U42" s="3">
        <v>2</v>
      </c>
      <c r="V42" s="3">
        <v>2</v>
      </c>
      <c r="W42" s="4" t="s">
        <v>650</v>
      </c>
      <c r="X42" s="4" t="s">
        <v>650</v>
      </c>
      <c r="Y42" s="4" t="s">
        <v>651</v>
      </c>
      <c r="Z42" s="4" t="s">
        <v>651</v>
      </c>
      <c r="AA42" s="3">
        <v>183</v>
      </c>
      <c r="AB42" s="3">
        <v>145</v>
      </c>
      <c r="AC42" s="3">
        <v>263</v>
      </c>
      <c r="AD42" s="3">
        <v>1</v>
      </c>
      <c r="AE42" s="3">
        <v>3</v>
      </c>
      <c r="AF42" s="3">
        <v>3</v>
      </c>
      <c r="AG42" s="3">
        <v>6</v>
      </c>
      <c r="AH42" s="3">
        <v>1</v>
      </c>
      <c r="AI42" s="3">
        <v>3</v>
      </c>
      <c r="AJ42" s="3">
        <v>0</v>
      </c>
      <c r="AK42" s="3">
        <v>0</v>
      </c>
      <c r="AL42" s="3">
        <v>2</v>
      </c>
      <c r="AM42" s="3">
        <v>4</v>
      </c>
      <c r="AN42" s="3">
        <v>0</v>
      </c>
      <c r="AO42" s="3">
        <v>1</v>
      </c>
      <c r="AP42" s="3">
        <v>0</v>
      </c>
      <c r="AQ42" s="3">
        <v>0</v>
      </c>
      <c r="AR42" s="2" t="s">
        <v>63</v>
      </c>
      <c r="AS42" s="2" t="s">
        <v>92</v>
      </c>
      <c r="AT42" s="5" t="str">
        <f>HYPERLINK("http://catalog.hathitrust.org/Record/002432718","HathiTrust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HYPERLINK("https://creighton-primo.hosted.exlibrisgroup.com/primo-explore/search?tab=default_tab&amp;search_scope=EVERYTHING&amp;vid=01CRU&amp;lang=en_US&amp;offset=0&amp;query=any,contains,991000935059702656","Catalog Record")</f>
        <v>Catalog Record</v>
      </c>
      <c r="AV42" s="5" t="str">
        <f>HYPERLINK("http://www.worldcat.org/oclc/22110607","WorldCat Record")</f>
        <v>WorldCat Record</v>
      </c>
      <c r="AW42" s="2" t="s">
        <v>652</v>
      </c>
      <c r="AX42" s="2" t="s">
        <v>653</v>
      </c>
      <c r="AY42" s="2" t="s">
        <v>654</v>
      </c>
      <c r="AZ42" s="2" t="s">
        <v>654</v>
      </c>
      <c r="BA42" s="2" t="s">
        <v>655</v>
      </c>
      <c r="BB42" s="2" t="s">
        <v>79</v>
      </c>
      <c r="BD42" s="2" t="s">
        <v>656</v>
      </c>
      <c r="BE42" s="2" t="s">
        <v>657</v>
      </c>
      <c r="BF42" s="2" t="s">
        <v>658</v>
      </c>
    </row>
    <row r="43" spans="1:58" ht="46.5" customHeight="1">
      <c r="A43" s="1"/>
      <c r="B43" s="1" t="s">
        <v>58</v>
      </c>
      <c r="C43" s="1" t="s">
        <v>59</v>
      </c>
      <c r="D43" s="1" t="s">
        <v>659</v>
      </c>
      <c r="E43" s="1" t="s">
        <v>660</v>
      </c>
      <c r="F43" s="1" t="s">
        <v>661</v>
      </c>
      <c r="H43" s="2" t="s">
        <v>63</v>
      </c>
      <c r="I43" s="2" t="s">
        <v>64</v>
      </c>
      <c r="J43" s="2" t="s">
        <v>63</v>
      </c>
      <c r="K43" s="2" t="s">
        <v>63</v>
      </c>
      <c r="L43" s="2" t="s">
        <v>65</v>
      </c>
      <c r="M43" s="1" t="s">
        <v>662</v>
      </c>
      <c r="N43" s="1" t="s">
        <v>663</v>
      </c>
      <c r="O43" s="2" t="s">
        <v>198</v>
      </c>
      <c r="P43" s="1" t="s">
        <v>157</v>
      </c>
      <c r="Q43" s="2" t="s">
        <v>70</v>
      </c>
      <c r="R43" s="2" t="s">
        <v>277</v>
      </c>
      <c r="T43" s="2" t="s">
        <v>72</v>
      </c>
      <c r="U43" s="3">
        <v>9</v>
      </c>
      <c r="V43" s="3">
        <v>9</v>
      </c>
      <c r="W43" s="4" t="s">
        <v>664</v>
      </c>
      <c r="X43" s="4" t="s">
        <v>664</v>
      </c>
      <c r="Y43" s="4" t="s">
        <v>665</v>
      </c>
      <c r="Z43" s="4" t="s">
        <v>665</v>
      </c>
      <c r="AA43" s="3">
        <v>77</v>
      </c>
      <c r="AB43" s="3">
        <v>58</v>
      </c>
      <c r="AC43" s="3">
        <v>460</v>
      </c>
      <c r="AD43" s="3">
        <v>1</v>
      </c>
      <c r="AE43" s="3">
        <v>3</v>
      </c>
      <c r="AF43" s="3">
        <v>0</v>
      </c>
      <c r="AG43" s="3">
        <v>9</v>
      </c>
      <c r="AH43" s="3">
        <v>0</v>
      </c>
      <c r="AI43" s="3">
        <v>2</v>
      </c>
      <c r="AJ43" s="3">
        <v>0</v>
      </c>
      <c r="AK43" s="3">
        <v>3</v>
      </c>
      <c r="AL43" s="3">
        <v>0</v>
      </c>
      <c r="AM43" s="3">
        <v>4</v>
      </c>
      <c r="AN43" s="3">
        <v>0</v>
      </c>
      <c r="AO43" s="3">
        <v>2</v>
      </c>
      <c r="AP43" s="3">
        <v>0</v>
      </c>
      <c r="AQ43" s="3">
        <v>0</v>
      </c>
      <c r="AR43" s="2" t="s">
        <v>63</v>
      </c>
      <c r="AS43" s="2" t="s">
        <v>63</v>
      </c>
      <c r="AU43" s="5" t="str">
        <f>HYPERLINK("https://creighton-primo.hosted.exlibrisgroup.com/primo-explore/search?tab=default_tab&amp;search_scope=EVERYTHING&amp;vid=01CRU&amp;lang=en_US&amp;offset=0&amp;query=any,contains,991001298029702656","Catalog Record")</f>
        <v>Catalog Record</v>
      </c>
      <c r="AV43" s="5" t="str">
        <f>HYPERLINK("http://www.worldcat.org/oclc/23286681","WorldCat Record")</f>
        <v>WorldCat Record</v>
      </c>
      <c r="AW43" s="2" t="s">
        <v>666</v>
      </c>
      <c r="AX43" s="2" t="s">
        <v>667</v>
      </c>
      <c r="AY43" s="2" t="s">
        <v>668</v>
      </c>
      <c r="AZ43" s="2" t="s">
        <v>668</v>
      </c>
      <c r="BA43" s="2" t="s">
        <v>669</v>
      </c>
      <c r="BB43" s="2" t="s">
        <v>79</v>
      </c>
      <c r="BD43" s="2" t="s">
        <v>670</v>
      </c>
      <c r="BE43" s="2" t="s">
        <v>671</v>
      </c>
      <c r="BF43" s="2" t="s">
        <v>672</v>
      </c>
    </row>
    <row r="44" spans="1:58" ht="46.5" customHeight="1">
      <c r="A44" s="1"/>
      <c r="B44" s="1" t="s">
        <v>58</v>
      </c>
      <c r="C44" s="1" t="s">
        <v>59</v>
      </c>
      <c r="D44" s="1" t="s">
        <v>673</v>
      </c>
      <c r="E44" s="1" t="s">
        <v>674</v>
      </c>
      <c r="F44" s="1" t="s">
        <v>675</v>
      </c>
      <c r="H44" s="2" t="s">
        <v>63</v>
      </c>
      <c r="I44" s="2" t="s">
        <v>64</v>
      </c>
      <c r="J44" s="2" t="s">
        <v>63</v>
      </c>
      <c r="K44" s="2" t="s">
        <v>63</v>
      </c>
      <c r="L44" s="2" t="s">
        <v>65</v>
      </c>
      <c r="N44" s="1" t="s">
        <v>676</v>
      </c>
      <c r="O44" s="2" t="s">
        <v>292</v>
      </c>
      <c r="Q44" s="2" t="s">
        <v>70</v>
      </c>
      <c r="R44" s="2" t="s">
        <v>277</v>
      </c>
      <c r="T44" s="2" t="s">
        <v>72</v>
      </c>
      <c r="U44" s="3">
        <v>3</v>
      </c>
      <c r="V44" s="3">
        <v>3</v>
      </c>
      <c r="W44" s="4" t="s">
        <v>677</v>
      </c>
      <c r="X44" s="4" t="s">
        <v>677</v>
      </c>
      <c r="Y44" s="4" t="s">
        <v>678</v>
      </c>
      <c r="Z44" s="4" t="s">
        <v>678</v>
      </c>
      <c r="AA44" s="3">
        <v>80</v>
      </c>
      <c r="AB44" s="3">
        <v>61</v>
      </c>
      <c r="AC44" s="3">
        <v>64</v>
      </c>
      <c r="AD44" s="3">
        <v>1</v>
      </c>
      <c r="AE44" s="3">
        <v>1</v>
      </c>
      <c r="AF44" s="3">
        <v>1</v>
      </c>
      <c r="AG44" s="3">
        <v>1</v>
      </c>
      <c r="AH44" s="3">
        <v>0</v>
      </c>
      <c r="AI44" s="3">
        <v>0</v>
      </c>
      <c r="AJ44" s="3">
        <v>1</v>
      </c>
      <c r="AK44" s="3">
        <v>1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2" t="s">
        <v>63</v>
      </c>
      <c r="AS44" s="2" t="s">
        <v>92</v>
      </c>
      <c r="AT44" s="5" t="str">
        <f>HYPERLINK("http://catalog.hathitrust.org/Record/001549921","HathiTrust Record")</f>
        <v>HathiTrust Record</v>
      </c>
      <c r="AU44" s="5" t="str">
        <f>HYPERLINK("https://creighton-primo.hosted.exlibrisgroup.com/primo-explore/search?tab=default_tab&amp;search_scope=EVERYTHING&amp;vid=01CRU&amp;lang=en_US&amp;offset=0&amp;query=any,contains,991001120879702656","Catalog Record")</f>
        <v>Catalog Record</v>
      </c>
      <c r="AV44" s="5" t="str">
        <f>HYPERLINK("http://www.worldcat.org/oclc/18537731","WorldCat Record")</f>
        <v>WorldCat Record</v>
      </c>
      <c r="AW44" s="2" t="s">
        <v>679</v>
      </c>
      <c r="AX44" s="2" t="s">
        <v>680</v>
      </c>
      <c r="AY44" s="2" t="s">
        <v>681</v>
      </c>
      <c r="AZ44" s="2" t="s">
        <v>681</v>
      </c>
      <c r="BA44" s="2" t="s">
        <v>682</v>
      </c>
      <c r="BB44" s="2" t="s">
        <v>79</v>
      </c>
      <c r="BE44" s="2" t="s">
        <v>683</v>
      </c>
      <c r="BF44" s="2" t="s">
        <v>684</v>
      </c>
    </row>
    <row r="45" spans="1:58" ht="46.5" customHeight="1">
      <c r="A45" s="1"/>
      <c r="B45" s="1" t="s">
        <v>58</v>
      </c>
      <c r="C45" s="1" t="s">
        <v>59</v>
      </c>
      <c r="D45" s="1" t="s">
        <v>685</v>
      </c>
      <c r="E45" s="1" t="s">
        <v>686</v>
      </c>
      <c r="F45" s="1" t="s">
        <v>687</v>
      </c>
      <c r="H45" s="2" t="s">
        <v>63</v>
      </c>
      <c r="I45" s="2" t="s">
        <v>64</v>
      </c>
      <c r="J45" s="2" t="s">
        <v>63</v>
      </c>
      <c r="K45" s="2" t="s">
        <v>63</v>
      </c>
      <c r="L45" s="2" t="s">
        <v>65</v>
      </c>
      <c r="M45" s="1" t="s">
        <v>688</v>
      </c>
      <c r="N45" s="1" t="s">
        <v>689</v>
      </c>
      <c r="O45" s="2" t="s">
        <v>690</v>
      </c>
      <c r="Q45" s="2" t="s">
        <v>70</v>
      </c>
      <c r="R45" s="2" t="s">
        <v>691</v>
      </c>
      <c r="T45" s="2" t="s">
        <v>72</v>
      </c>
      <c r="U45" s="3">
        <v>1</v>
      </c>
      <c r="V45" s="3">
        <v>1</v>
      </c>
      <c r="W45" s="4" t="s">
        <v>692</v>
      </c>
      <c r="X45" s="4" t="s">
        <v>692</v>
      </c>
      <c r="Y45" s="4" t="s">
        <v>472</v>
      </c>
      <c r="Z45" s="4" t="s">
        <v>472</v>
      </c>
      <c r="AA45" s="3">
        <v>23</v>
      </c>
      <c r="AB45" s="3">
        <v>23</v>
      </c>
      <c r="AC45" s="3">
        <v>23</v>
      </c>
      <c r="AD45" s="3">
        <v>1</v>
      </c>
      <c r="AE45" s="3">
        <v>1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2" t="s">
        <v>63</v>
      </c>
      <c r="AS45" s="2" t="s">
        <v>63</v>
      </c>
      <c r="AU45" s="5" t="str">
        <f>HYPERLINK("https://creighton-primo.hosted.exlibrisgroup.com/primo-explore/search?tab=default_tab&amp;search_scope=EVERYTHING&amp;vid=01CRU&amp;lang=en_US&amp;offset=0&amp;query=any,contains,991000947949702656","Catalog Record")</f>
        <v>Catalog Record</v>
      </c>
      <c r="AV45" s="5" t="str">
        <f>HYPERLINK("http://www.worldcat.org/oclc/14549965","WorldCat Record")</f>
        <v>WorldCat Record</v>
      </c>
      <c r="AW45" s="2" t="s">
        <v>693</v>
      </c>
      <c r="AX45" s="2" t="s">
        <v>694</v>
      </c>
      <c r="AY45" s="2" t="s">
        <v>695</v>
      </c>
      <c r="AZ45" s="2" t="s">
        <v>695</v>
      </c>
      <c r="BA45" s="2" t="s">
        <v>696</v>
      </c>
      <c r="BB45" s="2" t="s">
        <v>79</v>
      </c>
      <c r="BE45" s="2" t="s">
        <v>697</v>
      </c>
      <c r="BF45" s="2" t="s">
        <v>698</v>
      </c>
    </row>
    <row r="46" spans="1:58" ht="46.5" customHeight="1">
      <c r="A46" s="1"/>
      <c r="B46" s="1" t="s">
        <v>58</v>
      </c>
      <c r="C46" s="1" t="s">
        <v>59</v>
      </c>
      <c r="D46" s="1" t="s">
        <v>699</v>
      </c>
      <c r="E46" s="1" t="s">
        <v>700</v>
      </c>
      <c r="F46" s="1" t="s">
        <v>701</v>
      </c>
      <c r="H46" s="2" t="s">
        <v>63</v>
      </c>
      <c r="I46" s="2" t="s">
        <v>64</v>
      </c>
      <c r="J46" s="2" t="s">
        <v>63</v>
      </c>
      <c r="K46" s="2" t="s">
        <v>63</v>
      </c>
      <c r="L46" s="2" t="s">
        <v>65</v>
      </c>
      <c r="M46" s="1" t="s">
        <v>702</v>
      </c>
      <c r="N46" s="1" t="s">
        <v>703</v>
      </c>
      <c r="O46" s="2" t="s">
        <v>348</v>
      </c>
      <c r="Q46" s="2" t="s">
        <v>70</v>
      </c>
      <c r="R46" s="2" t="s">
        <v>704</v>
      </c>
      <c r="T46" s="2" t="s">
        <v>72</v>
      </c>
      <c r="U46" s="3">
        <v>6</v>
      </c>
      <c r="V46" s="3">
        <v>6</v>
      </c>
      <c r="W46" s="4" t="s">
        <v>705</v>
      </c>
      <c r="X46" s="4" t="s">
        <v>705</v>
      </c>
      <c r="Y46" s="4" t="s">
        <v>706</v>
      </c>
      <c r="Z46" s="4" t="s">
        <v>706</v>
      </c>
      <c r="AA46" s="3">
        <v>54</v>
      </c>
      <c r="AB46" s="3">
        <v>52</v>
      </c>
      <c r="AC46" s="3">
        <v>54</v>
      </c>
      <c r="AD46" s="3">
        <v>1</v>
      </c>
      <c r="AE46" s="3">
        <v>1</v>
      </c>
      <c r="AF46" s="3">
        <v>3</v>
      </c>
      <c r="AG46" s="3">
        <v>3</v>
      </c>
      <c r="AH46" s="3">
        <v>2</v>
      </c>
      <c r="AI46" s="3">
        <v>2</v>
      </c>
      <c r="AJ46" s="3">
        <v>1</v>
      </c>
      <c r="AK46" s="3">
        <v>1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2" t="s">
        <v>63</v>
      </c>
      <c r="AS46" s="2" t="s">
        <v>92</v>
      </c>
      <c r="AT46" s="5" t="str">
        <f>HYPERLINK("http://catalog.hathitrust.org/Record/004198190","HathiTrust Record")</f>
        <v>HathiTrust Record</v>
      </c>
      <c r="AU46" s="5" t="str">
        <f>HYPERLINK("https://creighton-primo.hosted.exlibrisgroup.com/primo-explore/search?tab=default_tab&amp;search_scope=EVERYTHING&amp;vid=01CRU&amp;lang=en_US&amp;offset=0&amp;query=any,contains,991001557589702656","Catalog Record")</f>
        <v>Catalog Record</v>
      </c>
      <c r="AV46" s="5" t="str">
        <f>HYPERLINK("http://www.worldcat.org/oclc/40604657","WorldCat Record")</f>
        <v>WorldCat Record</v>
      </c>
      <c r="AW46" s="2" t="s">
        <v>707</v>
      </c>
      <c r="AX46" s="2" t="s">
        <v>708</v>
      </c>
      <c r="AY46" s="2" t="s">
        <v>709</v>
      </c>
      <c r="AZ46" s="2" t="s">
        <v>709</v>
      </c>
      <c r="BA46" s="2" t="s">
        <v>710</v>
      </c>
      <c r="BB46" s="2" t="s">
        <v>79</v>
      </c>
      <c r="BD46" s="2" t="s">
        <v>711</v>
      </c>
      <c r="BE46" s="2" t="s">
        <v>712</v>
      </c>
      <c r="BF46" s="2" t="s">
        <v>713</v>
      </c>
    </row>
    <row r="47" spans="1:58" ht="46.5" customHeight="1">
      <c r="A47" s="1"/>
      <c r="B47" s="1" t="s">
        <v>58</v>
      </c>
      <c r="C47" s="1" t="s">
        <v>59</v>
      </c>
      <c r="D47" s="1" t="s">
        <v>714</v>
      </c>
      <c r="E47" s="1" t="s">
        <v>715</v>
      </c>
      <c r="F47" s="1" t="s">
        <v>716</v>
      </c>
      <c r="H47" s="2" t="s">
        <v>63</v>
      </c>
      <c r="I47" s="2" t="s">
        <v>64</v>
      </c>
      <c r="J47" s="2" t="s">
        <v>63</v>
      </c>
      <c r="K47" s="2" t="s">
        <v>63</v>
      </c>
      <c r="L47" s="2" t="s">
        <v>65</v>
      </c>
      <c r="N47" s="1" t="s">
        <v>717</v>
      </c>
      <c r="O47" s="2" t="s">
        <v>718</v>
      </c>
      <c r="Q47" s="2" t="s">
        <v>70</v>
      </c>
      <c r="R47" s="2" t="s">
        <v>277</v>
      </c>
      <c r="T47" s="2" t="s">
        <v>72</v>
      </c>
      <c r="U47" s="3">
        <v>8</v>
      </c>
      <c r="V47" s="3">
        <v>8</v>
      </c>
      <c r="W47" s="4" t="s">
        <v>719</v>
      </c>
      <c r="X47" s="4" t="s">
        <v>719</v>
      </c>
      <c r="Y47" s="4" t="s">
        <v>74</v>
      </c>
      <c r="Z47" s="4" t="s">
        <v>74</v>
      </c>
      <c r="AA47" s="3">
        <v>441</v>
      </c>
      <c r="AB47" s="3">
        <v>318</v>
      </c>
      <c r="AC47" s="3">
        <v>325</v>
      </c>
      <c r="AD47" s="3">
        <v>1</v>
      </c>
      <c r="AE47" s="3">
        <v>1</v>
      </c>
      <c r="AF47" s="3">
        <v>8</v>
      </c>
      <c r="AG47" s="3">
        <v>8</v>
      </c>
      <c r="AH47" s="3">
        <v>3</v>
      </c>
      <c r="AI47" s="3">
        <v>3</v>
      </c>
      <c r="AJ47" s="3">
        <v>2</v>
      </c>
      <c r="AK47" s="3">
        <v>2</v>
      </c>
      <c r="AL47" s="3">
        <v>7</v>
      </c>
      <c r="AM47" s="3">
        <v>7</v>
      </c>
      <c r="AN47" s="3">
        <v>0</v>
      </c>
      <c r="AO47" s="3">
        <v>0</v>
      </c>
      <c r="AP47" s="3">
        <v>0</v>
      </c>
      <c r="AQ47" s="3">
        <v>0</v>
      </c>
      <c r="AR47" s="2" t="s">
        <v>63</v>
      </c>
      <c r="AS47" s="2" t="s">
        <v>92</v>
      </c>
      <c r="AT47" s="5" t="str">
        <f>HYPERLINK("http://catalog.hathitrust.org/Record/000751228","HathiTrust Record")</f>
        <v>HathiTrust Record</v>
      </c>
      <c r="AU47" s="5" t="str">
        <f>HYPERLINK("https://creighton-primo.hosted.exlibrisgroup.com/primo-explore/search?tab=default_tab&amp;search_scope=EVERYTHING&amp;vid=01CRU&amp;lang=en_US&amp;offset=0&amp;query=any,contains,991000947829702656","Catalog Record")</f>
        <v>Catalog Record</v>
      </c>
      <c r="AV47" s="5" t="str">
        <f>HYPERLINK("http://www.worldcat.org/oclc/3396533","WorldCat Record")</f>
        <v>WorldCat Record</v>
      </c>
      <c r="AW47" s="2" t="s">
        <v>720</v>
      </c>
      <c r="AX47" s="2" t="s">
        <v>721</v>
      </c>
      <c r="AY47" s="2" t="s">
        <v>722</v>
      </c>
      <c r="AZ47" s="2" t="s">
        <v>722</v>
      </c>
      <c r="BA47" s="2" t="s">
        <v>723</v>
      </c>
      <c r="BB47" s="2" t="s">
        <v>79</v>
      </c>
      <c r="BD47" s="2" t="s">
        <v>724</v>
      </c>
      <c r="BE47" s="2" t="s">
        <v>725</v>
      </c>
      <c r="BF47" s="2" t="s">
        <v>726</v>
      </c>
    </row>
    <row r="48" spans="1:58" ht="46.5" customHeight="1">
      <c r="A48" s="1"/>
      <c r="B48" s="1" t="s">
        <v>58</v>
      </c>
      <c r="C48" s="1" t="s">
        <v>59</v>
      </c>
      <c r="D48" s="1" t="s">
        <v>727</v>
      </c>
      <c r="E48" s="1" t="s">
        <v>728</v>
      </c>
      <c r="F48" s="1" t="s">
        <v>729</v>
      </c>
      <c r="H48" s="2" t="s">
        <v>63</v>
      </c>
      <c r="I48" s="2" t="s">
        <v>64</v>
      </c>
      <c r="J48" s="2" t="s">
        <v>92</v>
      </c>
      <c r="K48" s="2" t="s">
        <v>63</v>
      </c>
      <c r="L48" s="2" t="s">
        <v>65</v>
      </c>
      <c r="M48" s="1" t="s">
        <v>730</v>
      </c>
      <c r="N48" s="1" t="s">
        <v>731</v>
      </c>
      <c r="O48" s="2" t="s">
        <v>104</v>
      </c>
      <c r="Q48" s="2" t="s">
        <v>70</v>
      </c>
      <c r="R48" s="2" t="s">
        <v>377</v>
      </c>
      <c r="S48" s="1" t="s">
        <v>732</v>
      </c>
      <c r="T48" s="2" t="s">
        <v>72</v>
      </c>
      <c r="U48" s="3">
        <v>6</v>
      </c>
      <c r="V48" s="3">
        <v>6</v>
      </c>
      <c r="W48" s="4" t="s">
        <v>733</v>
      </c>
      <c r="X48" s="4" t="s">
        <v>733</v>
      </c>
      <c r="Y48" s="4" t="s">
        <v>74</v>
      </c>
      <c r="Z48" s="4" t="s">
        <v>74</v>
      </c>
      <c r="AA48" s="3">
        <v>361</v>
      </c>
      <c r="AB48" s="3">
        <v>261</v>
      </c>
      <c r="AC48" s="3">
        <v>263</v>
      </c>
      <c r="AD48" s="3">
        <v>4</v>
      </c>
      <c r="AE48" s="3">
        <v>4</v>
      </c>
      <c r="AF48" s="3">
        <v>15</v>
      </c>
      <c r="AG48" s="3">
        <v>15</v>
      </c>
      <c r="AH48" s="3">
        <v>5</v>
      </c>
      <c r="AI48" s="3">
        <v>5</v>
      </c>
      <c r="AJ48" s="3">
        <v>4</v>
      </c>
      <c r="AK48" s="3">
        <v>4</v>
      </c>
      <c r="AL48" s="3">
        <v>6</v>
      </c>
      <c r="AM48" s="3">
        <v>6</v>
      </c>
      <c r="AN48" s="3">
        <v>2</v>
      </c>
      <c r="AO48" s="3">
        <v>2</v>
      </c>
      <c r="AP48" s="3">
        <v>0</v>
      </c>
      <c r="AQ48" s="3">
        <v>0</v>
      </c>
      <c r="AR48" s="2" t="s">
        <v>63</v>
      </c>
      <c r="AS48" s="2" t="s">
        <v>92</v>
      </c>
      <c r="AT48" s="5" t="str">
        <f>HYPERLINK("http://catalog.hathitrust.org/Record/000350318","HathiTrust Record")</f>
        <v>HathiTrust Record</v>
      </c>
      <c r="AU48" s="5" t="str">
        <f>HYPERLINK("https://creighton-primo.hosted.exlibrisgroup.com/primo-explore/search?tab=default_tab&amp;search_scope=EVERYTHING&amp;vid=01CRU&amp;lang=en_US&amp;offset=0&amp;query=any,contains,991000947679702656","Catalog Record")</f>
        <v>Catalog Record</v>
      </c>
      <c r="AV48" s="5" t="str">
        <f>HYPERLINK("http://www.worldcat.org/oclc/11650496","WorldCat Record")</f>
        <v>WorldCat Record</v>
      </c>
      <c r="AW48" s="2" t="s">
        <v>734</v>
      </c>
      <c r="AX48" s="2" t="s">
        <v>735</v>
      </c>
      <c r="AY48" s="2" t="s">
        <v>736</v>
      </c>
      <c r="AZ48" s="2" t="s">
        <v>736</v>
      </c>
      <c r="BA48" s="2" t="s">
        <v>737</v>
      </c>
      <c r="BB48" s="2" t="s">
        <v>79</v>
      </c>
      <c r="BD48" s="2" t="s">
        <v>738</v>
      </c>
      <c r="BE48" s="2" t="s">
        <v>739</v>
      </c>
      <c r="BF48" s="2" t="s">
        <v>740</v>
      </c>
    </row>
    <row r="49" spans="1:58" ht="46.5" customHeight="1">
      <c r="A49" s="1"/>
      <c r="B49" s="1" t="s">
        <v>58</v>
      </c>
      <c r="C49" s="1" t="s">
        <v>59</v>
      </c>
      <c r="D49" s="1" t="s">
        <v>741</v>
      </c>
      <c r="E49" s="1" t="s">
        <v>742</v>
      </c>
      <c r="F49" s="1" t="s">
        <v>743</v>
      </c>
      <c r="H49" s="2" t="s">
        <v>63</v>
      </c>
      <c r="I49" s="2" t="s">
        <v>64</v>
      </c>
      <c r="J49" s="2" t="s">
        <v>63</v>
      </c>
      <c r="K49" s="2" t="s">
        <v>63</v>
      </c>
      <c r="L49" s="2" t="s">
        <v>65</v>
      </c>
      <c r="N49" s="1" t="s">
        <v>744</v>
      </c>
      <c r="O49" s="2" t="s">
        <v>440</v>
      </c>
      <c r="P49" s="1" t="s">
        <v>745</v>
      </c>
      <c r="Q49" s="2" t="s">
        <v>70</v>
      </c>
      <c r="R49" s="2" t="s">
        <v>277</v>
      </c>
      <c r="T49" s="2" t="s">
        <v>72</v>
      </c>
      <c r="U49" s="3">
        <v>1</v>
      </c>
      <c r="V49" s="3">
        <v>1</v>
      </c>
      <c r="W49" s="4" t="s">
        <v>746</v>
      </c>
      <c r="X49" s="4" t="s">
        <v>746</v>
      </c>
      <c r="Y49" s="4" t="s">
        <v>747</v>
      </c>
      <c r="Z49" s="4" t="s">
        <v>747</v>
      </c>
      <c r="AA49" s="3">
        <v>108</v>
      </c>
      <c r="AB49" s="3">
        <v>72</v>
      </c>
      <c r="AC49" s="3">
        <v>167</v>
      </c>
      <c r="AD49" s="3">
        <v>1</v>
      </c>
      <c r="AE49" s="3">
        <v>1</v>
      </c>
      <c r="AF49" s="3">
        <v>1</v>
      </c>
      <c r="AG49" s="3">
        <v>2</v>
      </c>
      <c r="AH49" s="3">
        <v>0</v>
      </c>
      <c r="AI49" s="3">
        <v>1</v>
      </c>
      <c r="AJ49" s="3">
        <v>1</v>
      </c>
      <c r="AK49" s="3">
        <v>1</v>
      </c>
      <c r="AL49" s="3">
        <v>0</v>
      </c>
      <c r="AM49" s="3">
        <v>1</v>
      </c>
      <c r="AN49" s="3">
        <v>0</v>
      </c>
      <c r="AO49" s="3">
        <v>0</v>
      </c>
      <c r="AP49" s="3">
        <v>0</v>
      </c>
      <c r="AQ49" s="3">
        <v>0</v>
      </c>
      <c r="AR49" s="2" t="s">
        <v>63</v>
      </c>
      <c r="AS49" s="2" t="s">
        <v>63</v>
      </c>
      <c r="AU49" s="5" t="str">
        <f>HYPERLINK("https://creighton-primo.hosted.exlibrisgroup.com/primo-explore/search?tab=default_tab&amp;search_scope=EVERYTHING&amp;vid=01CRU&amp;lang=en_US&amp;offset=0&amp;query=any,contains,991000398799702656","Catalog Record")</f>
        <v>Catalog Record</v>
      </c>
      <c r="AV49" s="5" t="str">
        <f>HYPERLINK("http://www.worldcat.org/oclc/52109678","WorldCat Record")</f>
        <v>WorldCat Record</v>
      </c>
      <c r="AW49" s="2" t="s">
        <v>748</v>
      </c>
      <c r="AX49" s="2" t="s">
        <v>749</v>
      </c>
      <c r="AY49" s="2" t="s">
        <v>750</v>
      </c>
      <c r="AZ49" s="2" t="s">
        <v>750</v>
      </c>
      <c r="BA49" s="2" t="s">
        <v>751</v>
      </c>
      <c r="BB49" s="2" t="s">
        <v>79</v>
      </c>
      <c r="BD49" s="2" t="s">
        <v>752</v>
      </c>
      <c r="BE49" s="2" t="s">
        <v>753</v>
      </c>
      <c r="BF49" s="2" t="s">
        <v>754</v>
      </c>
    </row>
    <row r="50" spans="1:58" ht="46.5" customHeight="1">
      <c r="A50" s="1"/>
      <c r="B50" s="1" t="s">
        <v>58</v>
      </c>
      <c r="C50" s="1" t="s">
        <v>59</v>
      </c>
      <c r="D50" s="1" t="s">
        <v>755</v>
      </c>
      <c r="E50" s="1" t="s">
        <v>756</v>
      </c>
      <c r="F50" s="1" t="s">
        <v>757</v>
      </c>
      <c r="H50" s="2" t="s">
        <v>63</v>
      </c>
      <c r="I50" s="2" t="s">
        <v>64</v>
      </c>
      <c r="J50" s="2" t="s">
        <v>63</v>
      </c>
      <c r="K50" s="2" t="s">
        <v>63</v>
      </c>
      <c r="L50" s="2" t="s">
        <v>65</v>
      </c>
      <c r="N50" s="1" t="s">
        <v>758</v>
      </c>
      <c r="O50" s="2" t="s">
        <v>87</v>
      </c>
      <c r="P50" s="1" t="s">
        <v>157</v>
      </c>
      <c r="Q50" s="2" t="s">
        <v>70</v>
      </c>
      <c r="R50" s="2" t="s">
        <v>89</v>
      </c>
      <c r="T50" s="2" t="s">
        <v>72</v>
      </c>
      <c r="U50" s="3">
        <v>13</v>
      </c>
      <c r="V50" s="3">
        <v>13</v>
      </c>
      <c r="W50" s="4" t="s">
        <v>759</v>
      </c>
      <c r="X50" s="4" t="s">
        <v>759</v>
      </c>
      <c r="Y50" s="4" t="s">
        <v>74</v>
      </c>
      <c r="Z50" s="4" t="s">
        <v>74</v>
      </c>
      <c r="AA50" s="3">
        <v>127</v>
      </c>
      <c r="AB50" s="3">
        <v>94</v>
      </c>
      <c r="AC50" s="3">
        <v>157</v>
      </c>
      <c r="AD50" s="3">
        <v>1</v>
      </c>
      <c r="AE50" s="3">
        <v>1</v>
      </c>
      <c r="AF50" s="3">
        <v>3</v>
      </c>
      <c r="AG50" s="3">
        <v>5</v>
      </c>
      <c r="AH50" s="3">
        <v>0</v>
      </c>
      <c r="AI50" s="3">
        <v>1</v>
      </c>
      <c r="AJ50" s="3">
        <v>0</v>
      </c>
      <c r="AK50" s="3">
        <v>1</v>
      </c>
      <c r="AL50" s="3">
        <v>3</v>
      </c>
      <c r="AM50" s="3">
        <v>4</v>
      </c>
      <c r="AN50" s="3">
        <v>0</v>
      </c>
      <c r="AO50" s="3">
        <v>0</v>
      </c>
      <c r="AP50" s="3">
        <v>0</v>
      </c>
      <c r="AQ50" s="3">
        <v>0</v>
      </c>
      <c r="AR50" s="2" t="s">
        <v>63</v>
      </c>
      <c r="AS50" s="2" t="s">
        <v>63</v>
      </c>
      <c r="AU50" s="5" t="str">
        <f>HYPERLINK("https://creighton-primo.hosted.exlibrisgroup.com/primo-explore/search?tab=default_tab&amp;search_scope=EVERYTHING&amp;vid=01CRU&amp;lang=en_US&amp;offset=0&amp;query=any,contains,991000947719702656","Catalog Record")</f>
        <v>Catalog Record</v>
      </c>
      <c r="AV50" s="5" t="str">
        <f>HYPERLINK("http://www.worldcat.org/oclc/14692695","WorldCat Record")</f>
        <v>WorldCat Record</v>
      </c>
      <c r="AW50" s="2" t="s">
        <v>760</v>
      </c>
      <c r="AX50" s="2" t="s">
        <v>761</v>
      </c>
      <c r="AY50" s="2" t="s">
        <v>762</v>
      </c>
      <c r="AZ50" s="2" t="s">
        <v>762</v>
      </c>
      <c r="BA50" s="2" t="s">
        <v>763</v>
      </c>
      <c r="BB50" s="2" t="s">
        <v>79</v>
      </c>
      <c r="BD50" s="2" t="s">
        <v>764</v>
      </c>
      <c r="BE50" s="2" t="s">
        <v>765</v>
      </c>
      <c r="BF50" s="2" t="s">
        <v>766</v>
      </c>
    </row>
    <row r="51" spans="1:58" ht="46.5" customHeight="1">
      <c r="A51" s="1"/>
      <c r="B51" s="1" t="s">
        <v>58</v>
      </c>
      <c r="C51" s="1" t="s">
        <v>59</v>
      </c>
      <c r="D51" s="1" t="s">
        <v>767</v>
      </c>
      <c r="E51" s="1" t="s">
        <v>768</v>
      </c>
      <c r="F51" s="1" t="s">
        <v>769</v>
      </c>
      <c r="H51" s="2" t="s">
        <v>63</v>
      </c>
      <c r="I51" s="2" t="s">
        <v>64</v>
      </c>
      <c r="J51" s="2" t="s">
        <v>63</v>
      </c>
      <c r="K51" s="2" t="s">
        <v>63</v>
      </c>
      <c r="L51" s="2" t="s">
        <v>65</v>
      </c>
      <c r="M51" s="1" t="s">
        <v>770</v>
      </c>
      <c r="N51" s="1" t="s">
        <v>771</v>
      </c>
      <c r="O51" s="2" t="s">
        <v>407</v>
      </c>
      <c r="P51" s="1" t="s">
        <v>772</v>
      </c>
      <c r="Q51" s="2" t="s">
        <v>70</v>
      </c>
      <c r="R51" s="2" t="s">
        <v>424</v>
      </c>
      <c r="T51" s="2" t="s">
        <v>72</v>
      </c>
      <c r="U51" s="3">
        <v>2</v>
      </c>
      <c r="V51" s="3">
        <v>2</v>
      </c>
      <c r="W51" s="4" t="s">
        <v>773</v>
      </c>
      <c r="X51" s="4" t="s">
        <v>773</v>
      </c>
      <c r="Y51" s="4" t="s">
        <v>773</v>
      </c>
      <c r="Z51" s="4" t="s">
        <v>773</v>
      </c>
      <c r="AA51" s="3">
        <v>192</v>
      </c>
      <c r="AB51" s="3">
        <v>121</v>
      </c>
      <c r="AC51" s="3">
        <v>349</v>
      </c>
      <c r="AD51" s="3">
        <v>2</v>
      </c>
      <c r="AE51" s="3">
        <v>2</v>
      </c>
      <c r="AF51" s="3">
        <v>3</v>
      </c>
      <c r="AG51" s="3">
        <v>6</v>
      </c>
      <c r="AH51" s="3">
        <v>0</v>
      </c>
      <c r="AI51" s="3">
        <v>0</v>
      </c>
      <c r="AJ51" s="3">
        <v>0</v>
      </c>
      <c r="AK51" s="3">
        <v>2</v>
      </c>
      <c r="AL51" s="3">
        <v>2</v>
      </c>
      <c r="AM51" s="3">
        <v>3</v>
      </c>
      <c r="AN51" s="3">
        <v>1</v>
      </c>
      <c r="AO51" s="3">
        <v>1</v>
      </c>
      <c r="AP51" s="3">
        <v>0</v>
      </c>
      <c r="AQ51" s="3">
        <v>1</v>
      </c>
      <c r="AR51" s="2" t="s">
        <v>63</v>
      </c>
      <c r="AS51" s="2" t="s">
        <v>92</v>
      </c>
      <c r="AT51" s="5" t="str">
        <f>HYPERLINK("http://catalog.hathitrust.org/Record/001828265","HathiTrust Record")</f>
        <v>HathiTrust Record</v>
      </c>
      <c r="AU51" s="5" t="str">
        <f>HYPERLINK("https://creighton-primo.hosted.exlibrisgroup.com/primo-explore/search?tab=default_tab&amp;search_scope=EVERYTHING&amp;vid=01CRU&amp;lang=en_US&amp;offset=0&amp;query=any,contains,991001453649702656","Catalog Record")</f>
        <v>Catalog Record</v>
      </c>
      <c r="AV51" s="5" t="str">
        <f>HYPERLINK("http://www.worldcat.org/oclc/22542134","WorldCat Record")</f>
        <v>WorldCat Record</v>
      </c>
      <c r="AW51" s="2" t="s">
        <v>774</v>
      </c>
      <c r="AX51" s="2" t="s">
        <v>775</v>
      </c>
      <c r="AY51" s="2" t="s">
        <v>776</v>
      </c>
      <c r="AZ51" s="2" t="s">
        <v>776</v>
      </c>
      <c r="BA51" s="2" t="s">
        <v>777</v>
      </c>
      <c r="BB51" s="2" t="s">
        <v>79</v>
      </c>
      <c r="BD51" s="2" t="s">
        <v>778</v>
      </c>
      <c r="BE51" s="2" t="s">
        <v>779</v>
      </c>
      <c r="BF51" s="2" t="s">
        <v>780</v>
      </c>
    </row>
    <row r="52" spans="1:58" ht="46.5" customHeight="1">
      <c r="A52" s="1"/>
      <c r="B52" s="1" t="s">
        <v>58</v>
      </c>
      <c r="C52" s="1" t="s">
        <v>59</v>
      </c>
      <c r="D52" s="1" t="s">
        <v>781</v>
      </c>
      <c r="E52" s="1" t="s">
        <v>782</v>
      </c>
      <c r="F52" s="1" t="s">
        <v>783</v>
      </c>
      <c r="H52" s="2" t="s">
        <v>63</v>
      </c>
      <c r="I52" s="2" t="s">
        <v>64</v>
      </c>
      <c r="J52" s="2" t="s">
        <v>63</v>
      </c>
      <c r="K52" s="2" t="s">
        <v>63</v>
      </c>
      <c r="L52" s="2" t="s">
        <v>65</v>
      </c>
      <c r="N52" s="1" t="s">
        <v>784</v>
      </c>
      <c r="O52" s="2" t="s">
        <v>132</v>
      </c>
      <c r="P52" s="1" t="s">
        <v>785</v>
      </c>
      <c r="Q52" s="2" t="s">
        <v>70</v>
      </c>
      <c r="R52" s="2" t="s">
        <v>786</v>
      </c>
      <c r="T52" s="2" t="s">
        <v>72</v>
      </c>
      <c r="U52" s="3">
        <v>5</v>
      </c>
      <c r="V52" s="3">
        <v>5</v>
      </c>
      <c r="W52" s="4" t="s">
        <v>787</v>
      </c>
      <c r="X52" s="4" t="s">
        <v>787</v>
      </c>
      <c r="Y52" s="4" t="s">
        <v>788</v>
      </c>
      <c r="Z52" s="4" t="s">
        <v>788</v>
      </c>
      <c r="AA52" s="3">
        <v>29</v>
      </c>
      <c r="AB52" s="3">
        <v>15</v>
      </c>
      <c r="AC52" s="3">
        <v>15</v>
      </c>
      <c r="AD52" s="3">
        <v>1</v>
      </c>
      <c r="AE52" s="3">
        <v>1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2" t="s">
        <v>63</v>
      </c>
      <c r="AS52" s="2" t="s">
        <v>63</v>
      </c>
      <c r="AU52" s="5" t="str">
        <f>HYPERLINK("https://creighton-primo.hosted.exlibrisgroup.com/primo-explore/search?tab=default_tab&amp;search_scope=EVERYTHING&amp;vid=01CRU&amp;lang=en_US&amp;offset=0&amp;query=any,contains,991001344199702656","Catalog Record")</f>
        <v>Catalog Record</v>
      </c>
      <c r="AV52" s="5" t="str">
        <f>HYPERLINK("http://www.worldcat.org/oclc/26733640","WorldCat Record")</f>
        <v>WorldCat Record</v>
      </c>
      <c r="AW52" s="2" t="s">
        <v>789</v>
      </c>
      <c r="AX52" s="2" t="s">
        <v>790</v>
      </c>
      <c r="AY52" s="2" t="s">
        <v>791</v>
      </c>
      <c r="AZ52" s="2" t="s">
        <v>791</v>
      </c>
      <c r="BA52" s="2" t="s">
        <v>792</v>
      </c>
      <c r="BB52" s="2" t="s">
        <v>79</v>
      </c>
      <c r="BD52" s="2" t="s">
        <v>793</v>
      </c>
      <c r="BE52" s="2" t="s">
        <v>794</v>
      </c>
      <c r="BF52" s="2" t="s">
        <v>795</v>
      </c>
    </row>
    <row r="53" spans="1:58" ht="46.5" customHeight="1">
      <c r="A53" s="1"/>
      <c r="B53" s="1" t="s">
        <v>58</v>
      </c>
      <c r="C53" s="1" t="s">
        <v>59</v>
      </c>
      <c r="D53" s="1" t="s">
        <v>796</v>
      </c>
      <c r="E53" s="1" t="s">
        <v>797</v>
      </c>
      <c r="F53" s="1" t="s">
        <v>798</v>
      </c>
      <c r="H53" s="2" t="s">
        <v>63</v>
      </c>
      <c r="I53" s="2" t="s">
        <v>64</v>
      </c>
      <c r="J53" s="2" t="s">
        <v>63</v>
      </c>
      <c r="K53" s="2" t="s">
        <v>63</v>
      </c>
      <c r="L53" s="2" t="s">
        <v>65</v>
      </c>
      <c r="M53" s="1" t="s">
        <v>799</v>
      </c>
      <c r="N53" s="1" t="s">
        <v>800</v>
      </c>
      <c r="O53" s="2" t="s">
        <v>407</v>
      </c>
      <c r="P53" s="1" t="s">
        <v>157</v>
      </c>
      <c r="Q53" s="2" t="s">
        <v>70</v>
      </c>
      <c r="R53" s="2" t="s">
        <v>277</v>
      </c>
      <c r="T53" s="2" t="s">
        <v>72</v>
      </c>
      <c r="U53" s="3">
        <v>3</v>
      </c>
      <c r="V53" s="3">
        <v>3</v>
      </c>
      <c r="W53" s="4" t="s">
        <v>801</v>
      </c>
      <c r="X53" s="4" t="s">
        <v>801</v>
      </c>
      <c r="Y53" s="4" t="s">
        <v>802</v>
      </c>
      <c r="Z53" s="4" t="s">
        <v>802</v>
      </c>
      <c r="AA53" s="3">
        <v>61</v>
      </c>
      <c r="AB53" s="3">
        <v>48</v>
      </c>
      <c r="AC53" s="3">
        <v>262</v>
      </c>
      <c r="AD53" s="3">
        <v>2</v>
      </c>
      <c r="AE53" s="3">
        <v>2</v>
      </c>
      <c r="AF53" s="3">
        <v>1</v>
      </c>
      <c r="AG53" s="3">
        <v>5</v>
      </c>
      <c r="AH53" s="3">
        <v>0</v>
      </c>
      <c r="AI53" s="3">
        <v>3</v>
      </c>
      <c r="AJ53" s="3">
        <v>0</v>
      </c>
      <c r="AK53" s="3">
        <v>0</v>
      </c>
      <c r="AL53" s="3">
        <v>0</v>
      </c>
      <c r="AM53" s="3">
        <v>3</v>
      </c>
      <c r="AN53" s="3">
        <v>1</v>
      </c>
      <c r="AO53" s="3">
        <v>1</v>
      </c>
      <c r="AP53" s="3">
        <v>0</v>
      </c>
      <c r="AQ53" s="3">
        <v>0</v>
      </c>
      <c r="AR53" s="2" t="s">
        <v>63</v>
      </c>
      <c r="AS53" s="2" t="s">
        <v>92</v>
      </c>
      <c r="AT53" s="5" t="str">
        <f>HYPERLINK("http://catalog.hathitrust.org/Record/002204544","HathiTrust Record")</f>
        <v>HathiTrust Record</v>
      </c>
      <c r="AU53" s="5" t="str">
        <f>HYPERLINK("https://creighton-primo.hosted.exlibrisgroup.com/primo-explore/search?tab=default_tab&amp;search_scope=EVERYTHING&amp;vid=01CRU&amp;lang=en_US&amp;offset=0&amp;query=any,contains,991000680929702656","Catalog Record")</f>
        <v>Catalog Record</v>
      </c>
      <c r="AV53" s="5" t="str">
        <f>HYPERLINK("http://www.worldcat.org/oclc/19672212","WorldCat Record")</f>
        <v>WorldCat Record</v>
      </c>
      <c r="AW53" s="2" t="s">
        <v>803</v>
      </c>
      <c r="AX53" s="2" t="s">
        <v>804</v>
      </c>
      <c r="AY53" s="2" t="s">
        <v>805</v>
      </c>
      <c r="AZ53" s="2" t="s">
        <v>805</v>
      </c>
      <c r="BA53" s="2" t="s">
        <v>806</v>
      </c>
      <c r="BB53" s="2" t="s">
        <v>79</v>
      </c>
      <c r="BD53" s="2" t="s">
        <v>807</v>
      </c>
      <c r="BE53" s="2" t="s">
        <v>808</v>
      </c>
      <c r="BF53" s="2" t="s">
        <v>809</v>
      </c>
    </row>
    <row r="54" spans="1:58" ht="46.5" customHeight="1">
      <c r="A54" s="1"/>
      <c r="B54" s="1" t="s">
        <v>58</v>
      </c>
      <c r="C54" s="1" t="s">
        <v>59</v>
      </c>
      <c r="D54" s="1" t="s">
        <v>810</v>
      </c>
      <c r="E54" s="1" t="s">
        <v>811</v>
      </c>
      <c r="F54" s="1" t="s">
        <v>812</v>
      </c>
      <c r="H54" s="2" t="s">
        <v>63</v>
      </c>
      <c r="I54" s="2" t="s">
        <v>64</v>
      </c>
      <c r="J54" s="2" t="s">
        <v>63</v>
      </c>
      <c r="K54" s="2" t="s">
        <v>63</v>
      </c>
      <c r="L54" s="2" t="s">
        <v>65</v>
      </c>
      <c r="N54" s="1" t="s">
        <v>813</v>
      </c>
      <c r="O54" s="2" t="s">
        <v>814</v>
      </c>
      <c r="P54" s="1" t="s">
        <v>230</v>
      </c>
      <c r="Q54" s="2" t="s">
        <v>70</v>
      </c>
      <c r="R54" s="2" t="s">
        <v>260</v>
      </c>
      <c r="T54" s="2" t="s">
        <v>72</v>
      </c>
      <c r="U54" s="3">
        <v>5</v>
      </c>
      <c r="V54" s="3">
        <v>5</v>
      </c>
      <c r="W54" s="4" t="s">
        <v>815</v>
      </c>
      <c r="X54" s="4" t="s">
        <v>815</v>
      </c>
      <c r="Y54" s="4" t="s">
        <v>816</v>
      </c>
      <c r="Z54" s="4" t="s">
        <v>816</v>
      </c>
      <c r="AA54" s="3">
        <v>136</v>
      </c>
      <c r="AB54" s="3">
        <v>98</v>
      </c>
      <c r="AC54" s="3">
        <v>225</v>
      </c>
      <c r="AD54" s="3">
        <v>2</v>
      </c>
      <c r="AE54" s="3">
        <v>2</v>
      </c>
      <c r="AF54" s="3">
        <v>3</v>
      </c>
      <c r="AG54" s="3">
        <v>8</v>
      </c>
      <c r="AH54" s="3">
        <v>1</v>
      </c>
      <c r="AI54" s="3">
        <v>5</v>
      </c>
      <c r="AJ54" s="3">
        <v>2</v>
      </c>
      <c r="AK54" s="3">
        <v>2</v>
      </c>
      <c r="AL54" s="3">
        <v>0</v>
      </c>
      <c r="AM54" s="3">
        <v>2</v>
      </c>
      <c r="AN54" s="3">
        <v>1</v>
      </c>
      <c r="AO54" s="3">
        <v>1</v>
      </c>
      <c r="AP54" s="3">
        <v>0</v>
      </c>
      <c r="AQ54" s="3">
        <v>0</v>
      </c>
      <c r="AR54" s="2" t="s">
        <v>63</v>
      </c>
      <c r="AS54" s="2" t="s">
        <v>92</v>
      </c>
      <c r="AT54" s="5" t="str">
        <f>HYPERLINK("http://catalog.hathitrust.org/Record/004026559","HathiTrust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HYPERLINK("https://creighton-primo.hosted.exlibrisgroup.com/primo-explore/search?tab=default_tab&amp;search_scope=EVERYTHING&amp;vid=01CRU&amp;lang=en_US&amp;offset=0&amp;query=any,contains,991000414209702656","Catalog Record")</f>
        <v>Catalog Record</v>
      </c>
      <c r="AV54" s="5" t="str">
        <f>HYPERLINK("http://www.worldcat.org/oclc/39891402","WorldCat Record")</f>
        <v>WorldCat Record</v>
      </c>
      <c r="AW54" s="2" t="s">
        <v>817</v>
      </c>
      <c r="AX54" s="2" t="s">
        <v>818</v>
      </c>
      <c r="AY54" s="2" t="s">
        <v>819</v>
      </c>
      <c r="AZ54" s="2" t="s">
        <v>819</v>
      </c>
      <c r="BA54" s="2" t="s">
        <v>820</v>
      </c>
      <c r="BB54" s="2" t="s">
        <v>79</v>
      </c>
      <c r="BD54" s="2" t="s">
        <v>821</v>
      </c>
      <c r="BE54" s="2" t="s">
        <v>822</v>
      </c>
      <c r="BF54" s="2" t="s">
        <v>823</v>
      </c>
    </row>
    <row r="55" spans="1:58" ht="46.5" customHeight="1">
      <c r="A55" s="1"/>
      <c r="B55" s="1" t="s">
        <v>58</v>
      </c>
      <c r="C55" s="1" t="s">
        <v>59</v>
      </c>
      <c r="D55" s="1" t="s">
        <v>824</v>
      </c>
      <c r="E55" s="1" t="s">
        <v>825</v>
      </c>
      <c r="F55" s="1" t="s">
        <v>826</v>
      </c>
      <c r="H55" s="2" t="s">
        <v>63</v>
      </c>
      <c r="I55" s="2" t="s">
        <v>64</v>
      </c>
      <c r="J55" s="2" t="s">
        <v>63</v>
      </c>
      <c r="K55" s="2" t="s">
        <v>63</v>
      </c>
      <c r="L55" s="2" t="s">
        <v>65</v>
      </c>
      <c r="M55" s="1" t="s">
        <v>827</v>
      </c>
      <c r="N55" s="1" t="s">
        <v>828</v>
      </c>
      <c r="O55" s="2" t="s">
        <v>829</v>
      </c>
      <c r="P55" s="1" t="s">
        <v>259</v>
      </c>
      <c r="Q55" s="2" t="s">
        <v>70</v>
      </c>
      <c r="R55" s="2" t="s">
        <v>260</v>
      </c>
      <c r="T55" s="2" t="s">
        <v>72</v>
      </c>
      <c r="U55" s="3">
        <v>13</v>
      </c>
      <c r="V55" s="3">
        <v>13</v>
      </c>
      <c r="W55" s="4" t="s">
        <v>830</v>
      </c>
      <c r="X55" s="4" t="s">
        <v>830</v>
      </c>
      <c r="Y55" s="4" t="s">
        <v>472</v>
      </c>
      <c r="Z55" s="4" t="s">
        <v>472</v>
      </c>
      <c r="AA55" s="3">
        <v>76</v>
      </c>
      <c r="AB55" s="3">
        <v>60</v>
      </c>
      <c r="AC55" s="3">
        <v>97</v>
      </c>
      <c r="AD55" s="3">
        <v>2</v>
      </c>
      <c r="AE55" s="3">
        <v>2</v>
      </c>
      <c r="AF55" s="3">
        <v>5</v>
      </c>
      <c r="AG55" s="3">
        <v>8</v>
      </c>
      <c r="AH55" s="3">
        <v>2</v>
      </c>
      <c r="AI55" s="3">
        <v>5</v>
      </c>
      <c r="AJ55" s="3">
        <v>2</v>
      </c>
      <c r="AK55" s="3">
        <v>3</v>
      </c>
      <c r="AL55" s="3">
        <v>0</v>
      </c>
      <c r="AM55" s="3">
        <v>1</v>
      </c>
      <c r="AN55" s="3">
        <v>1</v>
      </c>
      <c r="AO55" s="3">
        <v>1</v>
      </c>
      <c r="AP55" s="3">
        <v>0</v>
      </c>
      <c r="AQ55" s="3">
        <v>0</v>
      </c>
      <c r="AR55" s="2" t="s">
        <v>63</v>
      </c>
      <c r="AS55" s="2" t="s">
        <v>63</v>
      </c>
      <c r="AU55" s="5" t="str">
        <f>HYPERLINK("https://creighton-primo.hosted.exlibrisgroup.com/primo-explore/search?tab=default_tab&amp;search_scope=EVERYTHING&amp;vid=01CRU&amp;lang=en_US&amp;offset=0&amp;query=any,contains,991000948529702656","Catalog Record")</f>
        <v>Catalog Record</v>
      </c>
      <c r="AV55" s="5" t="str">
        <f>HYPERLINK("http://www.worldcat.org/oclc/1659685","WorldCat Record")</f>
        <v>WorldCat Record</v>
      </c>
      <c r="AW55" s="2" t="s">
        <v>831</v>
      </c>
      <c r="AX55" s="2" t="s">
        <v>832</v>
      </c>
      <c r="AY55" s="2" t="s">
        <v>833</v>
      </c>
      <c r="AZ55" s="2" t="s">
        <v>833</v>
      </c>
      <c r="BA55" s="2" t="s">
        <v>834</v>
      </c>
      <c r="BB55" s="2" t="s">
        <v>79</v>
      </c>
      <c r="BD55" s="2" t="s">
        <v>835</v>
      </c>
      <c r="BE55" s="2" t="s">
        <v>836</v>
      </c>
      <c r="BF55" s="2" t="s">
        <v>837</v>
      </c>
    </row>
    <row r="56" spans="1:58" ht="46.5" customHeight="1">
      <c r="A56" s="1"/>
      <c r="B56" s="1" t="s">
        <v>58</v>
      </c>
      <c r="C56" s="1" t="s">
        <v>59</v>
      </c>
      <c r="D56" s="1" t="s">
        <v>838</v>
      </c>
      <c r="E56" s="1" t="s">
        <v>839</v>
      </c>
      <c r="F56" s="1" t="s">
        <v>840</v>
      </c>
      <c r="H56" s="2" t="s">
        <v>63</v>
      </c>
      <c r="I56" s="2" t="s">
        <v>64</v>
      </c>
      <c r="J56" s="2" t="s">
        <v>63</v>
      </c>
      <c r="K56" s="2" t="s">
        <v>92</v>
      </c>
      <c r="L56" s="2" t="s">
        <v>65</v>
      </c>
      <c r="M56" s="1" t="s">
        <v>841</v>
      </c>
      <c r="N56" s="1" t="s">
        <v>842</v>
      </c>
      <c r="O56" s="2" t="s">
        <v>307</v>
      </c>
      <c r="P56" s="1" t="s">
        <v>469</v>
      </c>
      <c r="Q56" s="2" t="s">
        <v>70</v>
      </c>
      <c r="R56" s="2" t="s">
        <v>89</v>
      </c>
      <c r="T56" s="2" t="s">
        <v>72</v>
      </c>
      <c r="U56" s="3">
        <v>35</v>
      </c>
      <c r="V56" s="3">
        <v>35</v>
      </c>
      <c r="W56" s="4" t="s">
        <v>843</v>
      </c>
      <c r="X56" s="4" t="s">
        <v>843</v>
      </c>
      <c r="Y56" s="4" t="s">
        <v>262</v>
      </c>
      <c r="Z56" s="4" t="s">
        <v>262</v>
      </c>
      <c r="AA56" s="3">
        <v>121</v>
      </c>
      <c r="AB56" s="3">
        <v>94</v>
      </c>
      <c r="AC56" s="3">
        <v>461</v>
      </c>
      <c r="AD56" s="3">
        <v>1</v>
      </c>
      <c r="AE56" s="3">
        <v>4</v>
      </c>
      <c r="AF56" s="3">
        <v>2</v>
      </c>
      <c r="AG56" s="3">
        <v>17</v>
      </c>
      <c r="AH56" s="3">
        <v>1</v>
      </c>
      <c r="AI56" s="3">
        <v>11</v>
      </c>
      <c r="AJ56" s="3">
        <v>1</v>
      </c>
      <c r="AK56" s="3">
        <v>4</v>
      </c>
      <c r="AL56" s="3">
        <v>0</v>
      </c>
      <c r="AM56" s="3">
        <v>5</v>
      </c>
      <c r="AN56" s="3">
        <v>0</v>
      </c>
      <c r="AO56" s="3">
        <v>2</v>
      </c>
      <c r="AP56" s="3">
        <v>0</v>
      </c>
      <c r="AQ56" s="3">
        <v>0</v>
      </c>
      <c r="AR56" s="2" t="s">
        <v>63</v>
      </c>
      <c r="AS56" s="2" t="s">
        <v>92</v>
      </c>
      <c r="AT56" s="5" t="str">
        <f>HYPERLINK("http://catalog.hathitrust.org/Record/000378449","HathiTrust Record")</f>
        <v>HathiTrust Record</v>
      </c>
      <c r="AU56" s="5" t="str">
        <f>HYPERLINK("https://creighton-primo.hosted.exlibrisgroup.com/primo-explore/search?tab=default_tab&amp;search_scope=EVERYTHING&amp;vid=01CRU&amp;lang=en_US&amp;offset=0&amp;query=any,contains,991000747399702656","Catalog Record")</f>
        <v>Catalog Record</v>
      </c>
      <c r="AV56" s="5" t="str">
        <f>HYPERLINK("http://www.worldcat.org/oclc/12237530","WorldCat Record")</f>
        <v>WorldCat Record</v>
      </c>
      <c r="AW56" s="2" t="s">
        <v>844</v>
      </c>
      <c r="AX56" s="2" t="s">
        <v>845</v>
      </c>
      <c r="AY56" s="2" t="s">
        <v>846</v>
      </c>
      <c r="AZ56" s="2" t="s">
        <v>846</v>
      </c>
      <c r="BA56" s="2" t="s">
        <v>847</v>
      </c>
      <c r="BB56" s="2" t="s">
        <v>79</v>
      </c>
      <c r="BD56" s="2" t="s">
        <v>848</v>
      </c>
      <c r="BE56" s="2" t="s">
        <v>849</v>
      </c>
      <c r="BF56" s="2" t="s">
        <v>850</v>
      </c>
    </row>
    <row r="57" spans="1:58" ht="46.5" customHeight="1">
      <c r="A57" s="1"/>
      <c r="B57" s="1" t="s">
        <v>58</v>
      </c>
      <c r="C57" s="1" t="s">
        <v>59</v>
      </c>
      <c r="D57" s="1" t="s">
        <v>851</v>
      </c>
      <c r="E57" s="1" t="s">
        <v>852</v>
      </c>
      <c r="F57" s="1" t="s">
        <v>840</v>
      </c>
      <c r="H57" s="2" t="s">
        <v>63</v>
      </c>
      <c r="I57" s="2" t="s">
        <v>64</v>
      </c>
      <c r="J57" s="2" t="s">
        <v>63</v>
      </c>
      <c r="K57" s="2" t="s">
        <v>92</v>
      </c>
      <c r="L57" s="2" t="s">
        <v>65</v>
      </c>
      <c r="M57" s="1" t="s">
        <v>841</v>
      </c>
      <c r="N57" s="1" t="s">
        <v>853</v>
      </c>
      <c r="O57" s="2" t="s">
        <v>198</v>
      </c>
      <c r="P57" s="1" t="s">
        <v>772</v>
      </c>
      <c r="Q57" s="2" t="s">
        <v>70</v>
      </c>
      <c r="R57" s="2" t="s">
        <v>260</v>
      </c>
      <c r="T57" s="2" t="s">
        <v>72</v>
      </c>
      <c r="U57" s="3">
        <v>51</v>
      </c>
      <c r="V57" s="3">
        <v>51</v>
      </c>
      <c r="W57" s="4" t="s">
        <v>830</v>
      </c>
      <c r="X57" s="4" t="s">
        <v>830</v>
      </c>
      <c r="Y57" s="4" t="s">
        <v>854</v>
      </c>
      <c r="Z57" s="4" t="s">
        <v>854</v>
      </c>
      <c r="AA57" s="3">
        <v>103</v>
      </c>
      <c r="AB57" s="3">
        <v>64</v>
      </c>
      <c r="AC57" s="3">
        <v>461</v>
      </c>
      <c r="AD57" s="3">
        <v>1</v>
      </c>
      <c r="AE57" s="3">
        <v>4</v>
      </c>
      <c r="AF57" s="3">
        <v>3</v>
      </c>
      <c r="AG57" s="3">
        <v>17</v>
      </c>
      <c r="AH57" s="3">
        <v>2</v>
      </c>
      <c r="AI57" s="3">
        <v>11</v>
      </c>
      <c r="AJ57" s="3">
        <v>1</v>
      </c>
      <c r="AK57" s="3">
        <v>4</v>
      </c>
      <c r="AL57" s="3">
        <v>1</v>
      </c>
      <c r="AM57" s="3">
        <v>5</v>
      </c>
      <c r="AN57" s="3">
        <v>0</v>
      </c>
      <c r="AO57" s="3">
        <v>2</v>
      </c>
      <c r="AP57" s="3">
        <v>0</v>
      </c>
      <c r="AQ57" s="3">
        <v>0</v>
      </c>
      <c r="AR57" s="2" t="s">
        <v>63</v>
      </c>
      <c r="AS57" s="2" t="s">
        <v>92</v>
      </c>
      <c r="AT57" s="5" t="str">
        <f>HYPERLINK("http://catalog.hathitrust.org/Record/002473741","HathiTrust Record")</f>
        <v>HathiTrust Record</v>
      </c>
      <c r="AU57" s="5" t="str">
        <f>HYPERLINK("https://creighton-primo.hosted.exlibrisgroup.com/primo-explore/search?tab=default_tab&amp;search_scope=EVERYTHING&amp;vid=01CRU&amp;lang=en_US&amp;offset=0&amp;query=any,contains,991000944289702656","Catalog Record")</f>
        <v>Catalog Record</v>
      </c>
      <c r="AV57" s="5" t="str">
        <f>HYPERLINK("http://www.worldcat.org/oclc/22596271","WorldCat Record")</f>
        <v>WorldCat Record</v>
      </c>
      <c r="AW57" s="2" t="s">
        <v>844</v>
      </c>
      <c r="AX57" s="2" t="s">
        <v>855</v>
      </c>
      <c r="AY57" s="2" t="s">
        <v>856</v>
      </c>
      <c r="AZ57" s="2" t="s">
        <v>856</v>
      </c>
      <c r="BA57" s="2" t="s">
        <v>857</v>
      </c>
      <c r="BB57" s="2" t="s">
        <v>79</v>
      </c>
      <c r="BD57" s="2" t="s">
        <v>858</v>
      </c>
      <c r="BE57" s="2" t="s">
        <v>859</v>
      </c>
      <c r="BF57" s="2" t="s">
        <v>860</v>
      </c>
    </row>
    <row r="58" spans="1:58" ht="46.5" customHeight="1">
      <c r="A58" s="1"/>
      <c r="B58" s="1" t="s">
        <v>58</v>
      </c>
      <c r="C58" s="1" t="s">
        <v>59</v>
      </c>
      <c r="D58" s="1" t="s">
        <v>861</v>
      </c>
      <c r="E58" s="1" t="s">
        <v>862</v>
      </c>
      <c r="F58" s="1" t="s">
        <v>863</v>
      </c>
      <c r="H58" s="2" t="s">
        <v>63</v>
      </c>
      <c r="I58" s="2" t="s">
        <v>64</v>
      </c>
      <c r="J58" s="2" t="s">
        <v>63</v>
      </c>
      <c r="K58" s="2" t="s">
        <v>92</v>
      </c>
      <c r="L58" s="2" t="s">
        <v>65</v>
      </c>
      <c r="M58" s="1" t="s">
        <v>841</v>
      </c>
      <c r="N58" s="1" t="s">
        <v>864</v>
      </c>
      <c r="O58" s="2" t="s">
        <v>275</v>
      </c>
      <c r="P58" s="1" t="s">
        <v>865</v>
      </c>
      <c r="Q58" s="2" t="s">
        <v>70</v>
      </c>
      <c r="R58" s="2" t="s">
        <v>470</v>
      </c>
      <c r="T58" s="2" t="s">
        <v>72</v>
      </c>
      <c r="U58" s="3">
        <v>93</v>
      </c>
      <c r="V58" s="3">
        <v>93</v>
      </c>
      <c r="W58" s="4" t="s">
        <v>866</v>
      </c>
      <c r="X58" s="4" t="s">
        <v>866</v>
      </c>
      <c r="Y58" s="4" t="s">
        <v>514</v>
      </c>
      <c r="Z58" s="4" t="s">
        <v>514</v>
      </c>
      <c r="AA58" s="3">
        <v>133</v>
      </c>
      <c r="AB58" s="3">
        <v>82</v>
      </c>
      <c r="AC58" s="3">
        <v>461</v>
      </c>
      <c r="AD58" s="3">
        <v>1</v>
      </c>
      <c r="AE58" s="3">
        <v>4</v>
      </c>
      <c r="AF58" s="3">
        <v>1</v>
      </c>
      <c r="AG58" s="3">
        <v>17</v>
      </c>
      <c r="AH58" s="3">
        <v>1</v>
      </c>
      <c r="AI58" s="3">
        <v>11</v>
      </c>
      <c r="AJ58" s="3">
        <v>0</v>
      </c>
      <c r="AK58" s="3">
        <v>4</v>
      </c>
      <c r="AL58" s="3">
        <v>0</v>
      </c>
      <c r="AM58" s="3">
        <v>5</v>
      </c>
      <c r="AN58" s="3">
        <v>0</v>
      </c>
      <c r="AO58" s="3">
        <v>2</v>
      </c>
      <c r="AP58" s="3">
        <v>0</v>
      </c>
      <c r="AQ58" s="3">
        <v>0</v>
      </c>
      <c r="AR58" s="2" t="s">
        <v>63</v>
      </c>
      <c r="AS58" s="2" t="s">
        <v>92</v>
      </c>
      <c r="AT58" s="5" t="str">
        <f>HYPERLINK("http://catalog.hathitrust.org/Record/003022923","HathiTrust Record")</f>
        <v>HathiTrust Record</v>
      </c>
      <c r="AU58" s="5" t="str">
        <f>HYPERLINK("https://creighton-primo.hosted.exlibrisgroup.com/primo-explore/search?tab=default_tab&amp;search_scope=EVERYTHING&amp;vid=01CRU&amp;lang=en_US&amp;offset=0&amp;query=any,contains,991000835919702656","Catalog Record")</f>
        <v>Catalog Record</v>
      </c>
      <c r="AV58" s="5" t="str">
        <f>HYPERLINK("http://www.worldcat.org/oclc/32968804","WorldCat Record")</f>
        <v>WorldCat Record</v>
      </c>
      <c r="AW58" s="2" t="s">
        <v>844</v>
      </c>
      <c r="AX58" s="2" t="s">
        <v>867</v>
      </c>
      <c r="AY58" s="2" t="s">
        <v>868</v>
      </c>
      <c r="AZ58" s="2" t="s">
        <v>868</v>
      </c>
      <c r="BA58" s="2" t="s">
        <v>869</v>
      </c>
      <c r="BB58" s="2" t="s">
        <v>79</v>
      </c>
      <c r="BD58" s="2" t="s">
        <v>870</v>
      </c>
      <c r="BE58" s="2" t="s">
        <v>871</v>
      </c>
      <c r="BF58" s="2" t="s">
        <v>872</v>
      </c>
    </row>
    <row r="59" spans="1:58" ht="46.5" customHeight="1">
      <c r="A59" s="1"/>
      <c r="B59" s="1" t="s">
        <v>58</v>
      </c>
      <c r="C59" s="1" t="s">
        <v>59</v>
      </c>
      <c r="D59" s="1" t="s">
        <v>873</v>
      </c>
      <c r="E59" s="1" t="s">
        <v>874</v>
      </c>
      <c r="F59" s="1" t="s">
        <v>875</v>
      </c>
      <c r="H59" s="2" t="s">
        <v>63</v>
      </c>
      <c r="I59" s="2" t="s">
        <v>64</v>
      </c>
      <c r="J59" s="2" t="s">
        <v>63</v>
      </c>
      <c r="K59" s="2" t="s">
        <v>63</v>
      </c>
      <c r="L59" s="2" t="s">
        <v>65</v>
      </c>
      <c r="M59" s="1" t="s">
        <v>876</v>
      </c>
      <c r="N59" s="1" t="s">
        <v>877</v>
      </c>
      <c r="O59" s="2" t="s">
        <v>878</v>
      </c>
      <c r="P59" s="1" t="s">
        <v>879</v>
      </c>
      <c r="Q59" s="2" t="s">
        <v>70</v>
      </c>
      <c r="R59" s="2" t="s">
        <v>691</v>
      </c>
      <c r="T59" s="2" t="s">
        <v>72</v>
      </c>
      <c r="U59" s="3">
        <v>5</v>
      </c>
      <c r="V59" s="3">
        <v>5</v>
      </c>
      <c r="W59" s="4" t="s">
        <v>880</v>
      </c>
      <c r="X59" s="4" t="s">
        <v>880</v>
      </c>
      <c r="Y59" s="4" t="s">
        <v>74</v>
      </c>
      <c r="Z59" s="4" t="s">
        <v>74</v>
      </c>
      <c r="AA59" s="3">
        <v>7</v>
      </c>
      <c r="AB59" s="3">
        <v>7</v>
      </c>
      <c r="AC59" s="3">
        <v>69</v>
      </c>
      <c r="AD59" s="3">
        <v>1</v>
      </c>
      <c r="AE59" s="3">
        <v>1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2" t="s">
        <v>63</v>
      </c>
      <c r="AS59" s="2" t="s">
        <v>63</v>
      </c>
      <c r="AU59" s="5" t="str">
        <f>HYPERLINK("https://creighton-primo.hosted.exlibrisgroup.com/primo-explore/search?tab=default_tab&amp;search_scope=EVERYTHING&amp;vid=01CRU&amp;lang=en_US&amp;offset=0&amp;query=any,contains,991000948609702656","Catalog Record")</f>
        <v>Catalog Record</v>
      </c>
      <c r="AV59" s="5" t="str">
        <f>HYPERLINK("http://www.worldcat.org/oclc/3754693","WorldCat Record")</f>
        <v>WorldCat Record</v>
      </c>
      <c r="AW59" s="2" t="s">
        <v>881</v>
      </c>
      <c r="AX59" s="2" t="s">
        <v>882</v>
      </c>
      <c r="AY59" s="2" t="s">
        <v>883</v>
      </c>
      <c r="AZ59" s="2" t="s">
        <v>883</v>
      </c>
      <c r="BA59" s="2" t="s">
        <v>884</v>
      </c>
      <c r="BB59" s="2" t="s">
        <v>79</v>
      </c>
      <c r="BE59" s="2" t="s">
        <v>885</v>
      </c>
      <c r="BF59" s="2" t="s">
        <v>886</v>
      </c>
    </row>
    <row r="60" spans="1:58" ht="46.5" customHeight="1">
      <c r="A60" s="1"/>
      <c r="B60" s="1" t="s">
        <v>58</v>
      </c>
      <c r="C60" s="1" t="s">
        <v>59</v>
      </c>
      <c r="D60" s="1" t="s">
        <v>887</v>
      </c>
      <c r="E60" s="1" t="s">
        <v>888</v>
      </c>
      <c r="F60" s="1" t="s">
        <v>889</v>
      </c>
      <c r="H60" s="2" t="s">
        <v>63</v>
      </c>
      <c r="I60" s="2" t="s">
        <v>64</v>
      </c>
      <c r="J60" s="2" t="s">
        <v>63</v>
      </c>
      <c r="K60" s="2" t="s">
        <v>63</v>
      </c>
      <c r="L60" s="2" t="s">
        <v>65</v>
      </c>
      <c r="M60" s="1" t="s">
        <v>890</v>
      </c>
      <c r="N60" s="1" t="s">
        <v>891</v>
      </c>
      <c r="O60" s="2" t="s">
        <v>554</v>
      </c>
      <c r="Q60" s="2" t="s">
        <v>70</v>
      </c>
      <c r="R60" s="2" t="s">
        <v>892</v>
      </c>
      <c r="T60" s="2" t="s">
        <v>72</v>
      </c>
      <c r="U60" s="3">
        <v>5</v>
      </c>
      <c r="V60" s="3">
        <v>5</v>
      </c>
      <c r="W60" s="4" t="s">
        <v>893</v>
      </c>
      <c r="X60" s="4" t="s">
        <v>893</v>
      </c>
      <c r="Y60" s="4" t="s">
        <v>894</v>
      </c>
      <c r="Z60" s="4" t="s">
        <v>894</v>
      </c>
      <c r="AA60" s="3">
        <v>82</v>
      </c>
      <c r="AB60" s="3">
        <v>61</v>
      </c>
      <c r="AC60" s="3">
        <v>64</v>
      </c>
      <c r="AD60" s="3">
        <v>1</v>
      </c>
      <c r="AE60" s="3">
        <v>1</v>
      </c>
      <c r="AF60" s="3">
        <v>2</v>
      </c>
      <c r="AG60" s="3">
        <v>2</v>
      </c>
      <c r="AH60" s="3">
        <v>1</v>
      </c>
      <c r="AI60" s="3">
        <v>1</v>
      </c>
      <c r="AJ60" s="3">
        <v>0</v>
      </c>
      <c r="AK60" s="3">
        <v>0</v>
      </c>
      <c r="AL60" s="3">
        <v>1</v>
      </c>
      <c r="AM60" s="3">
        <v>1</v>
      </c>
      <c r="AN60" s="3">
        <v>0</v>
      </c>
      <c r="AO60" s="3">
        <v>0</v>
      </c>
      <c r="AP60" s="3">
        <v>0</v>
      </c>
      <c r="AQ60" s="3">
        <v>0</v>
      </c>
      <c r="AR60" s="2" t="s">
        <v>63</v>
      </c>
      <c r="AS60" s="2" t="s">
        <v>92</v>
      </c>
      <c r="AT60" s="5" t="str">
        <f>HYPERLINK("http://catalog.hathitrust.org/Record/002905361","HathiTrust Record")</f>
        <v>HathiTrust Record</v>
      </c>
      <c r="AU60" s="5" t="str">
        <f>HYPERLINK("https://creighton-primo.hosted.exlibrisgroup.com/primo-explore/search?tab=default_tab&amp;search_scope=EVERYTHING&amp;vid=01CRU&amp;lang=en_US&amp;offset=0&amp;query=any,contains,991001283619702656","Catalog Record")</f>
        <v>Catalog Record</v>
      </c>
      <c r="AV60" s="5" t="str">
        <f>HYPERLINK("http://www.worldcat.org/oclc/29358612","WorldCat Record")</f>
        <v>WorldCat Record</v>
      </c>
      <c r="AW60" s="2" t="s">
        <v>895</v>
      </c>
      <c r="AX60" s="2" t="s">
        <v>896</v>
      </c>
      <c r="AY60" s="2" t="s">
        <v>897</v>
      </c>
      <c r="AZ60" s="2" t="s">
        <v>897</v>
      </c>
      <c r="BA60" s="2" t="s">
        <v>898</v>
      </c>
      <c r="BB60" s="2" t="s">
        <v>79</v>
      </c>
      <c r="BD60" s="2" t="s">
        <v>899</v>
      </c>
      <c r="BE60" s="2" t="s">
        <v>900</v>
      </c>
      <c r="BF60" s="2" t="s">
        <v>901</v>
      </c>
    </row>
    <row r="61" spans="1:58" ht="46.5" customHeight="1">
      <c r="A61" s="1"/>
      <c r="B61" s="1" t="s">
        <v>58</v>
      </c>
      <c r="C61" s="1" t="s">
        <v>59</v>
      </c>
      <c r="D61" s="1" t="s">
        <v>902</v>
      </c>
      <c r="E61" s="1" t="s">
        <v>903</v>
      </c>
      <c r="F61" s="1" t="s">
        <v>904</v>
      </c>
      <c r="H61" s="2" t="s">
        <v>63</v>
      </c>
      <c r="I61" s="2" t="s">
        <v>64</v>
      </c>
      <c r="J61" s="2" t="s">
        <v>63</v>
      </c>
      <c r="K61" s="2" t="s">
        <v>92</v>
      </c>
      <c r="L61" s="2" t="s">
        <v>65</v>
      </c>
      <c r="M61" s="1" t="s">
        <v>905</v>
      </c>
      <c r="N61" s="1" t="s">
        <v>906</v>
      </c>
      <c r="O61" s="2" t="s">
        <v>87</v>
      </c>
      <c r="P61" s="1" t="s">
        <v>259</v>
      </c>
      <c r="Q61" s="2" t="s">
        <v>70</v>
      </c>
      <c r="R61" s="2" t="s">
        <v>277</v>
      </c>
      <c r="S61" s="1" t="s">
        <v>907</v>
      </c>
      <c r="T61" s="2" t="s">
        <v>72</v>
      </c>
      <c r="U61" s="3">
        <v>6</v>
      </c>
      <c r="V61" s="3">
        <v>6</v>
      </c>
      <c r="W61" s="4" t="s">
        <v>908</v>
      </c>
      <c r="X61" s="4" t="s">
        <v>908</v>
      </c>
      <c r="Y61" s="4" t="s">
        <v>909</v>
      </c>
      <c r="Z61" s="4" t="s">
        <v>909</v>
      </c>
      <c r="AA61" s="3">
        <v>148</v>
      </c>
      <c r="AB61" s="3">
        <v>131</v>
      </c>
      <c r="AC61" s="3">
        <v>183</v>
      </c>
      <c r="AD61" s="3">
        <v>1</v>
      </c>
      <c r="AE61" s="3">
        <v>2</v>
      </c>
      <c r="AF61" s="3">
        <v>4</v>
      </c>
      <c r="AG61" s="3">
        <v>6</v>
      </c>
      <c r="AH61" s="3">
        <v>0</v>
      </c>
      <c r="AI61" s="3">
        <v>1</v>
      </c>
      <c r="AJ61" s="3">
        <v>2</v>
      </c>
      <c r="AK61" s="3">
        <v>3</v>
      </c>
      <c r="AL61" s="3">
        <v>2</v>
      </c>
      <c r="AM61" s="3">
        <v>3</v>
      </c>
      <c r="AN61" s="3">
        <v>0</v>
      </c>
      <c r="AO61" s="3">
        <v>0</v>
      </c>
      <c r="AP61" s="3">
        <v>0</v>
      </c>
      <c r="AQ61" s="3">
        <v>0</v>
      </c>
      <c r="AR61" s="2" t="s">
        <v>63</v>
      </c>
      <c r="AS61" s="2" t="s">
        <v>92</v>
      </c>
      <c r="AT61" s="5" t="str">
        <f>HYPERLINK("http://catalog.hathitrust.org/Record/002494654","HathiTrust Record")</f>
        <v>HathiTrust Record</v>
      </c>
      <c r="AU61" s="5" t="str">
        <f>HYPERLINK("https://creighton-primo.hosted.exlibrisgroup.com/primo-explore/search?tab=default_tab&amp;search_scope=EVERYTHING&amp;vid=01CRU&amp;lang=en_US&amp;offset=0&amp;query=any,contains,991001233529702656","Catalog Record")</f>
        <v>Catalog Record</v>
      </c>
      <c r="AV61" s="5" t="str">
        <f>HYPERLINK("http://www.worldcat.org/oclc/17951997","WorldCat Record")</f>
        <v>WorldCat Record</v>
      </c>
      <c r="AW61" s="2" t="s">
        <v>910</v>
      </c>
      <c r="AX61" s="2" t="s">
        <v>911</v>
      </c>
      <c r="AY61" s="2" t="s">
        <v>912</v>
      </c>
      <c r="AZ61" s="2" t="s">
        <v>912</v>
      </c>
      <c r="BA61" s="2" t="s">
        <v>913</v>
      </c>
      <c r="BB61" s="2" t="s">
        <v>79</v>
      </c>
      <c r="BD61" s="2" t="s">
        <v>914</v>
      </c>
      <c r="BE61" s="2" t="s">
        <v>915</v>
      </c>
      <c r="BF61" s="2" t="s">
        <v>916</v>
      </c>
    </row>
    <row r="62" spans="1:58" ht="46.5" customHeight="1">
      <c r="A62" s="1"/>
      <c r="B62" s="1" t="s">
        <v>58</v>
      </c>
      <c r="C62" s="1" t="s">
        <v>59</v>
      </c>
      <c r="D62" s="1" t="s">
        <v>917</v>
      </c>
      <c r="E62" s="1" t="s">
        <v>918</v>
      </c>
      <c r="F62" s="1" t="s">
        <v>919</v>
      </c>
      <c r="H62" s="2" t="s">
        <v>63</v>
      </c>
      <c r="I62" s="2" t="s">
        <v>64</v>
      </c>
      <c r="J62" s="2" t="s">
        <v>63</v>
      </c>
      <c r="K62" s="2" t="s">
        <v>63</v>
      </c>
      <c r="L62" s="2" t="s">
        <v>65</v>
      </c>
      <c r="M62" s="1" t="s">
        <v>920</v>
      </c>
      <c r="N62" s="1" t="s">
        <v>921</v>
      </c>
      <c r="O62" s="2" t="s">
        <v>215</v>
      </c>
      <c r="P62" s="1" t="s">
        <v>157</v>
      </c>
      <c r="Q62" s="2" t="s">
        <v>70</v>
      </c>
      <c r="R62" s="2" t="s">
        <v>200</v>
      </c>
      <c r="T62" s="2" t="s">
        <v>72</v>
      </c>
      <c r="U62" s="3">
        <v>8</v>
      </c>
      <c r="V62" s="3">
        <v>8</v>
      </c>
      <c r="W62" s="4" t="s">
        <v>922</v>
      </c>
      <c r="X62" s="4" t="s">
        <v>922</v>
      </c>
      <c r="Y62" s="4" t="s">
        <v>74</v>
      </c>
      <c r="Z62" s="4" t="s">
        <v>74</v>
      </c>
      <c r="AA62" s="3">
        <v>68</v>
      </c>
      <c r="AB62" s="3">
        <v>51</v>
      </c>
      <c r="AC62" s="3">
        <v>91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0</v>
      </c>
      <c r="AK62" s="3">
        <v>0</v>
      </c>
      <c r="AL62" s="3">
        <v>1</v>
      </c>
      <c r="AM62" s="3">
        <v>1</v>
      </c>
      <c r="AN62" s="3">
        <v>0</v>
      </c>
      <c r="AO62" s="3">
        <v>0</v>
      </c>
      <c r="AP62" s="3">
        <v>0</v>
      </c>
      <c r="AQ62" s="3">
        <v>0</v>
      </c>
      <c r="AR62" s="2" t="s">
        <v>63</v>
      </c>
      <c r="AS62" s="2" t="s">
        <v>63</v>
      </c>
      <c r="AU62" s="5" t="str">
        <f>HYPERLINK("https://creighton-primo.hosted.exlibrisgroup.com/primo-explore/search?tab=default_tab&amp;search_scope=EVERYTHING&amp;vid=01CRU&amp;lang=en_US&amp;offset=0&amp;query=any,contains,991000948769702656","Catalog Record")</f>
        <v>Catalog Record</v>
      </c>
      <c r="AV62" s="5" t="str">
        <f>HYPERLINK("http://www.worldcat.org/oclc/9830792","WorldCat Record")</f>
        <v>WorldCat Record</v>
      </c>
      <c r="AW62" s="2" t="s">
        <v>923</v>
      </c>
      <c r="AX62" s="2" t="s">
        <v>924</v>
      </c>
      <c r="AY62" s="2" t="s">
        <v>925</v>
      </c>
      <c r="AZ62" s="2" t="s">
        <v>925</v>
      </c>
      <c r="BA62" s="2" t="s">
        <v>926</v>
      </c>
      <c r="BB62" s="2" t="s">
        <v>79</v>
      </c>
      <c r="BD62" s="2" t="s">
        <v>927</v>
      </c>
      <c r="BE62" s="2" t="s">
        <v>928</v>
      </c>
      <c r="BF62" s="2" t="s">
        <v>929</v>
      </c>
    </row>
    <row r="63" spans="1:58" ht="46.5" customHeight="1">
      <c r="A63" s="1"/>
      <c r="B63" s="1" t="s">
        <v>58</v>
      </c>
      <c r="C63" s="1" t="s">
        <v>59</v>
      </c>
      <c r="D63" s="1" t="s">
        <v>930</v>
      </c>
      <c r="E63" s="1" t="s">
        <v>931</v>
      </c>
      <c r="F63" s="1" t="s">
        <v>932</v>
      </c>
      <c r="H63" s="2" t="s">
        <v>63</v>
      </c>
      <c r="I63" s="2" t="s">
        <v>64</v>
      </c>
      <c r="J63" s="2" t="s">
        <v>63</v>
      </c>
      <c r="K63" s="2" t="s">
        <v>92</v>
      </c>
      <c r="L63" s="2" t="s">
        <v>65</v>
      </c>
      <c r="M63" s="1" t="s">
        <v>933</v>
      </c>
      <c r="N63" s="1" t="s">
        <v>934</v>
      </c>
      <c r="O63" s="2" t="s">
        <v>423</v>
      </c>
      <c r="P63" s="1" t="s">
        <v>157</v>
      </c>
      <c r="Q63" s="2" t="s">
        <v>70</v>
      </c>
      <c r="R63" s="2" t="s">
        <v>89</v>
      </c>
      <c r="T63" s="2" t="s">
        <v>72</v>
      </c>
      <c r="U63" s="3">
        <v>13</v>
      </c>
      <c r="V63" s="3">
        <v>13</v>
      </c>
      <c r="W63" s="4" t="s">
        <v>935</v>
      </c>
      <c r="X63" s="4" t="s">
        <v>935</v>
      </c>
      <c r="Y63" s="4" t="s">
        <v>936</v>
      </c>
      <c r="Z63" s="4" t="s">
        <v>936</v>
      </c>
      <c r="AA63" s="3">
        <v>133</v>
      </c>
      <c r="AB63" s="3">
        <v>108</v>
      </c>
      <c r="AC63" s="3">
        <v>336</v>
      </c>
      <c r="AD63" s="3">
        <v>1</v>
      </c>
      <c r="AE63" s="3">
        <v>1</v>
      </c>
      <c r="AF63" s="3">
        <v>1</v>
      </c>
      <c r="AG63" s="3">
        <v>9</v>
      </c>
      <c r="AH63" s="3">
        <v>0</v>
      </c>
      <c r="AI63" s="3">
        <v>4</v>
      </c>
      <c r="AJ63" s="3">
        <v>0</v>
      </c>
      <c r="AK63" s="3">
        <v>1</v>
      </c>
      <c r="AL63" s="3">
        <v>1</v>
      </c>
      <c r="AM63" s="3">
        <v>6</v>
      </c>
      <c r="AN63" s="3">
        <v>0</v>
      </c>
      <c r="AO63" s="3">
        <v>0</v>
      </c>
      <c r="AP63" s="3">
        <v>0</v>
      </c>
      <c r="AQ63" s="3">
        <v>0</v>
      </c>
      <c r="AR63" s="2" t="s">
        <v>63</v>
      </c>
      <c r="AS63" s="2" t="s">
        <v>92</v>
      </c>
      <c r="AT63" s="5" t="str">
        <f>HYPERLINK("http://catalog.hathitrust.org/Record/002423973","HathiTrust Record")</f>
        <v>HathiTrust Record</v>
      </c>
      <c r="AU63" s="5" t="str">
        <f>HYPERLINK("https://creighton-primo.hosted.exlibrisgroup.com/primo-explore/search?tab=default_tab&amp;search_scope=EVERYTHING&amp;vid=01CRU&amp;lang=en_US&amp;offset=0&amp;query=any,contains,991001375009702656","Catalog Record")</f>
        <v>Catalog Record</v>
      </c>
      <c r="AV63" s="5" t="str">
        <f>HYPERLINK("http://www.worldcat.org/oclc/19722574","WorldCat Record")</f>
        <v>WorldCat Record</v>
      </c>
      <c r="AW63" s="2" t="s">
        <v>937</v>
      </c>
      <c r="AX63" s="2" t="s">
        <v>938</v>
      </c>
      <c r="AY63" s="2" t="s">
        <v>939</v>
      </c>
      <c r="AZ63" s="2" t="s">
        <v>939</v>
      </c>
      <c r="BA63" s="2" t="s">
        <v>940</v>
      </c>
      <c r="BB63" s="2" t="s">
        <v>79</v>
      </c>
      <c r="BD63" s="2" t="s">
        <v>941</v>
      </c>
      <c r="BE63" s="2" t="s">
        <v>942</v>
      </c>
      <c r="BF63" s="2" t="s">
        <v>943</v>
      </c>
    </row>
    <row r="64" spans="1:58" ht="46.5" customHeight="1">
      <c r="A64" s="1"/>
      <c r="B64" s="1" t="s">
        <v>58</v>
      </c>
      <c r="C64" s="1" t="s">
        <v>59</v>
      </c>
      <c r="D64" s="1" t="s">
        <v>944</v>
      </c>
      <c r="E64" s="1" t="s">
        <v>945</v>
      </c>
      <c r="F64" s="1" t="s">
        <v>946</v>
      </c>
      <c r="H64" s="2" t="s">
        <v>63</v>
      </c>
      <c r="I64" s="2" t="s">
        <v>64</v>
      </c>
      <c r="J64" s="2" t="s">
        <v>63</v>
      </c>
      <c r="K64" s="2" t="s">
        <v>92</v>
      </c>
      <c r="L64" s="2" t="s">
        <v>65</v>
      </c>
      <c r="M64" s="1" t="s">
        <v>947</v>
      </c>
      <c r="N64" s="1" t="s">
        <v>948</v>
      </c>
      <c r="O64" s="2" t="s">
        <v>215</v>
      </c>
      <c r="P64" s="1" t="s">
        <v>230</v>
      </c>
      <c r="Q64" s="2" t="s">
        <v>70</v>
      </c>
      <c r="R64" s="2" t="s">
        <v>322</v>
      </c>
      <c r="T64" s="2" t="s">
        <v>72</v>
      </c>
      <c r="U64" s="3">
        <v>2</v>
      </c>
      <c r="V64" s="3">
        <v>2</v>
      </c>
      <c r="W64" s="4" t="s">
        <v>949</v>
      </c>
      <c r="X64" s="4" t="s">
        <v>949</v>
      </c>
      <c r="Y64" s="4" t="s">
        <v>74</v>
      </c>
      <c r="Z64" s="4" t="s">
        <v>74</v>
      </c>
      <c r="AA64" s="3">
        <v>28</v>
      </c>
      <c r="AB64" s="3">
        <v>24</v>
      </c>
      <c r="AC64" s="3">
        <v>639</v>
      </c>
      <c r="AD64" s="3">
        <v>1</v>
      </c>
      <c r="AE64" s="3">
        <v>6</v>
      </c>
      <c r="AF64" s="3">
        <v>1</v>
      </c>
      <c r="AG64" s="3">
        <v>18</v>
      </c>
      <c r="AH64" s="3">
        <v>1</v>
      </c>
      <c r="AI64" s="3">
        <v>7</v>
      </c>
      <c r="AJ64" s="3">
        <v>0</v>
      </c>
      <c r="AK64" s="3">
        <v>1</v>
      </c>
      <c r="AL64" s="3">
        <v>1</v>
      </c>
      <c r="AM64" s="3">
        <v>9</v>
      </c>
      <c r="AN64" s="3">
        <v>0</v>
      </c>
      <c r="AO64" s="3">
        <v>3</v>
      </c>
      <c r="AP64" s="3">
        <v>0</v>
      </c>
      <c r="AQ64" s="3">
        <v>0</v>
      </c>
      <c r="AR64" s="2" t="s">
        <v>63</v>
      </c>
      <c r="AS64" s="2" t="s">
        <v>63</v>
      </c>
      <c r="AU64" s="5" t="str">
        <f>HYPERLINK("https://creighton-primo.hosted.exlibrisgroup.com/primo-explore/search?tab=default_tab&amp;search_scope=EVERYTHING&amp;vid=01CRU&amp;lang=en_US&amp;offset=0&amp;query=any,contains,991000949169702656","Catalog Record")</f>
        <v>Catalog Record</v>
      </c>
      <c r="AV64" s="5" t="str">
        <f>HYPERLINK("http://www.worldcat.org/oclc/10494099","WorldCat Record")</f>
        <v>WorldCat Record</v>
      </c>
      <c r="AW64" s="2" t="s">
        <v>950</v>
      </c>
      <c r="AX64" s="2" t="s">
        <v>951</v>
      </c>
      <c r="AY64" s="2" t="s">
        <v>952</v>
      </c>
      <c r="AZ64" s="2" t="s">
        <v>952</v>
      </c>
      <c r="BA64" s="2" t="s">
        <v>953</v>
      </c>
      <c r="BB64" s="2" t="s">
        <v>79</v>
      </c>
      <c r="BE64" s="2" t="s">
        <v>954</v>
      </c>
      <c r="BF64" s="2" t="s">
        <v>955</v>
      </c>
    </row>
    <row r="65" spans="1:58" ht="46.5" customHeight="1">
      <c r="A65" s="1"/>
      <c r="B65" s="1" t="s">
        <v>58</v>
      </c>
      <c r="C65" s="1" t="s">
        <v>59</v>
      </c>
      <c r="D65" s="1" t="s">
        <v>956</v>
      </c>
      <c r="E65" s="1" t="s">
        <v>957</v>
      </c>
      <c r="F65" s="1" t="s">
        <v>958</v>
      </c>
      <c r="H65" s="2" t="s">
        <v>63</v>
      </c>
      <c r="I65" s="2" t="s">
        <v>64</v>
      </c>
      <c r="J65" s="2" t="s">
        <v>63</v>
      </c>
      <c r="K65" s="2" t="s">
        <v>63</v>
      </c>
      <c r="L65" s="2" t="s">
        <v>65</v>
      </c>
      <c r="M65" s="1" t="s">
        <v>959</v>
      </c>
      <c r="N65" s="1" t="s">
        <v>960</v>
      </c>
      <c r="O65" s="2" t="s">
        <v>198</v>
      </c>
      <c r="P65" s="1" t="s">
        <v>961</v>
      </c>
      <c r="Q65" s="2" t="s">
        <v>70</v>
      </c>
      <c r="R65" s="2" t="s">
        <v>277</v>
      </c>
      <c r="T65" s="2" t="s">
        <v>72</v>
      </c>
      <c r="U65" s="3">
        <v>23</v>
      </c>
      <c r="V65" s="3">
        <v>23</v>
      </c>
      <c r="W65" s="4" t="s">
        <v>962</v>
      </c>
      <c r="X65" s="4" t="s">
        <v>962</v>
      </c>
      <c r="Y65" s="4" t="s">
        <v>963</v>
      </c>
      <c r="Z65" s="4" t="s">
        <v>963</v>
      </c>
      <c r="AA65" s="3">
        <v>45</v>
      </c>
      <c r="AB65" s="3">
        <v>33</v>
      </c>
      <c r="AC65" s="3">
        <v>67</v>
      </c>
      <c r="AD65" s="3">
        <v>1</v>
      </c>
      <c r="AE65" s="3">
        <v>1</v>
      </c>
      <c r="AF65" s="3">
        <v>0</v>
      </c>
      <c r="AG65" s="3">
        <v>2</v>
      </c>
      <c r="AH65" s="3">
        <v>0</v>
      </c>
      <c r="AI65" s="3">
        <v>1</v>
      </c>
      <c r="AJ65" s="3">
        <v>0</v>
      </c>
      <c r="AK65" s="3">
        <v>1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2" t="s">
        <v>63</v>
      </c>
      <c r="AS65" s="2" t="s">
        <v>63</v>
      </c>
      <c r="AU65" s="5" t="str">
        <f>HYPERLINK("https://creighton-primo.hosted.exlibrisgroup.com/primo-explore/search?tab=default_tab&amp;search_scope=EVERYTHING&amp;vid=01CRU&amp;lang=en_US&amp;offset=0&amp;query=any,contains,991000934439702656","Catalog Record")</f>
        <v>Catalog Record</v>
      </c>
      <c r="AV65" s="5" t="str">
        <f>HYPERLINK("http://www.worldcat.org/oclc/22837087","WorldCat Record")</f>
        <v>WorldCat Record</v>
      </c>
      <c r="AW65" s="2" t="s">
        <v>964</v>
      </c>
      <c r="AX65" s="2" t="s">
        <v>965</v>
      </c>
      <c r="AY65" s="2" t="s">
        <v>966</v>
      </c>
      <c r="AZ65" s="2" t="s">
        <v>966</v>
      </c>
      <c r="BA65" s="2" t="s">
        <v>967</v>
      </c>
      <c r="BB65" s="2" t="s">
        <v>79</v>
      </c>
      <c r="BD65" s="2" t="s">
        <v>968</v>
      </c>
      <c r="BE65" s="2" t="s">
        <v>969</v>
      </c>
      <c r="BF65" s="2" t="s">
        <v>970</v>
      </c>
    </row>
    <row r="66" spans="1:58" ht="46.5" customHeight="1">
      <c r="A66" s="1"/>
      <c r="B66" s="1" t="s">
        <v>58</v>
      </c>
      <c r="C66" s="1" t="s">
        <v>59</v>
      </c>
      <c r="D66" s="1" t="s">
        <v>971</v>
      </c>
      <c r="E66" s="1" t="s">
        <v>972</v>
      </c>
      <c r="F66" s="1" t="s">
        <v>973</v>
      </c>
      <c r="H66" s="2" t="s">
        <v>63</v>
      </c>
      <c r="I66" s="2" t="s">
        <v>64</v>
      </c>
      <c r="J66" s="2" t="s">
        <v>63</v>
      </c>
      <c r="K66" s="2" t="s">
        <v>92</v>
      </c>
      <c r="L66" s="2" t="s">
        <v>65</v>
      </c>
      <c r="M66" s="1" t="s">
        <v>974</v>
      </c>
      <c r="N66" s="1" t="s">
        <v>975</v>
      </c>
      <c r="O66" s="2" t="s">
        <v>608</v>
      </c>
      <c r="P66" s="1" t="s">
        <v>976</v>
      </c>
      <c r="Q66" s="2" t="s">
        <v>70</v>
      </c>
      <c r="R66" s="2" t="s">
        <v>133</v>
      </c>
      <c r="S66" s="1" t="s">
        <v>977</v>
      </c>
      <c r="T66" s="2" t="s">
        <v>72</v>
      </c>
      <c r="U66" s="3">
        <v>27</v>
      </c>
      <c r="V66" s="3">
        <v>27</v>
      </c>
      <c r="W66" s="4" t="s">
        <v>978</v>
      </c>
      <c r="X66" s="4" t="s">
        <v>978</v>
      </c>
      <c r="Y66" s="4" t="s">
        <v>979</v>
      </c>
      <c r="Z66" s="4" t="s">
        <v>979</v>
      </c>
      <c r="AA66" s="3">
        <v>55</v>
      </c>
      <c r="AB66" s="3">
        <v>32</v>
      </c>
      <c r="AC66" s="3">
        <v>135</v>
      </c>
      <c r="AD66" s="3">
        <v>1</v>
      </c>
      <c r="AE66" s="3">
        <v>3</v>
      </c>
      <c r="AF66" s="3">
        <v>0</v>
      </c>
      <c r="AG66" s="3">
        <v>6</v>
      </c>
      <c r="AH66" s="3">
        <v>0</v>
      </c>
      <c r="AI66" s="3">
        <v>2</v>
      </c>
      <c r="AJ66" s="3">
        <v>0</v>
      </c>
      <c r="AK66" s="3">
        <v>0</v>
      </c>
      <c r="AL66" s="3">
        <v>0</v>
      </c>
      <c r="AM66" s="3">
        <v>2</v>
      </c>
      <c r="AN66" s="3">
        <v>0</v>
      </c>
      <c r="AO66" s="3">
        <v>2</v>
      </c>
      <c r="AP66" s="3">
        <v>0</v>
      </c>
      <c r="AQ66" s="3">
        <v>0</v>
      </c>
      <c r="AR66" s="2" t="s">
        <v>63</v>
      </c>
      <c r="AS66" s="2" t="s">
        <v>92</v>
      </c>
      <c r="AT66" s="5" t="str">
        <f>HYPERLINK("http://catalog.hathitrust.org/Record/002865173","HathiTrust Record")</f>
        <v>HathiTrust Record</v>
      </c>
      <c r="AU66" s="5" t="str">
        <f>HYPERLINK("https://creighton-primo.hosted.exlibrisgroup.com/primo-explore/search?tab=default_tab&amp;search_scope=EVERYTHING&amp;vid=01CRU&amp;lang=en_US&amp;offset=0&amp;query=any,contains,991001511509702656","Catalog Record")</f>
        <v>Catalog Record</v>
      </c>
      <c r="AV66" s="5" t="str">
        <f>HYPERLINK("http://www.worldcat.org/oclc/27311184","WorldCat Record")</f>
        <v>WorldCat Record</v>
      </c>
      <c r="AW66" s="2" t="s">
        <v>980</v>
      </c>
      <c r="AX66" s="2" t="s">
        <v>981</v>
      </c>
      <c r="AY66" s="2" t="s">
        <v>982</v>
      </c>
      <c r="AZ66" s="2" t="s">
        <v>982</v>
      </c>
      <c r="BA66" s="2" t="s">
        <v>983</v>
      </c>
      <c r="BB66" s="2" t="s">
        <v>79</v>
      </c>
      <c r="BD66" s="2" t="s">
        <v>984</v>
      </c>
      <c r="BE66" s="2" t="s">
        <v>985</v>
      </c>
      <c r="BF66" s="2" t="s">
        <v>986</v>
      </c>
    </row>
    <row r="67" spans="1:58" ht="46.5" customHeight="1">
      <c r="A67" s="1"/>
      <c r="B67" s="1" t="s">
        <v>58</v>
      </c>
      <c r="C67" s="1" t="s">
        <v>59</v>
      </c>
      <c r="D67" s="1" t="s">
        <v>987</v>
      </c>
      <c r="E67" s="1" t="s">
        <v>988</v>
      </c>
      <c r="F67" s="1" t="s">
        <v>989</v>
      </c>
      <c r="H67" s="2" t="s">
        <v>63</v>
      </c>
      <c r="I67" s="2" t="s">
        <v>64</v>
      </c>
      <c r="J67" s="2" t="s">
        <v>63</v>
      </c>
      <c r="K67" s="2" t="s">
        <v>63</v>
      </c>
      <c r="L67" s="2" t="s">
        <v>65</v>
      </c>
      <c r="M67" s="1" t="s">
        <v>990</v>
      </c>
      <c r="N67" s="1" t="s">
        <v>991</v>
      </c>
      <c r="O67" s="2" t="s">
        <v>423</v>
      </c>
      <c r="Q67" s="2" t="s">
        <v>70</v>
      </c>
      <c r="R67" s="2" t="s">
        <v>892</v>
      </c>
      <c r="T67" s="2" t="s">
        <v>72</v>
      </c>
      <c r="U67" s="3">
        <v>12</v>
      </c>
      <c r="V67" s="3">
        <v>12</v>
      </c>
      <c r="W67" s="4" t="s">
        <v>992</v>
      </c>
      <c r="X67" s="4" t="s">
        <v>992</v>
      </c>
      <c r="Y67" s="4" t="s">
        <v>993</v>
      </c>
      <c r="Z67" s="4" t="s">
        <v>993</v>
      </c>
      <c r="AA67" s="3">
        <v>1</v>
      </c>
      <c r="AB67" s="3">
        <v>1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2" t="s">
        <v>63</v>
      </c>
      <c r="AS67" s="2" t="s">
        <v>63</v>
      </c>
      <c r="AU67" s="5" t="str">
        <f>HYPERLINK("https://creighton-primo.hosted.exlibrisgroup.com/primo-explore/search?tab=default_tab&amp;search_scope=EVERYTHING&amp;vid=01CRU&amp;lang=en_US&amp;offset=0&amp;query=any,contains,991001115529702656","Catalog Record")</f>
        <v>Catalog Record</v>
      </c>
      <c r="AV67" s="5" t="str">
        <f>HYPERLINK("http://www.worldcat.org/oclc/19482264","WorldCat Record")</f>
        <v>WorldCat Record</v>
      </c>
      <c r="AW67" s="2" t="s">
        <v>994</v>
      </c>
      <c r="AX67" s="2" t="s">
        <v>995</v>
      </c>
      <c r="AY67" s="2" t="s">
        <v>996</v>
      </c>
      <c r="AZ67" s="2" t="s">
        <v>996</v>
      </c>
      <c r="BA67" s="2" t="s">
        <v>997</v>
      </c>
      <c r="BB67" s="2" t="s">
        <v>79</v>
      </c>
      <c r="BE67" s="2" t="s">
        <v>998</v>
      </c>
      <c r="BF67" s="2" t="s">
        <v>999</v>
      </c>
    </row>
    <row r="68" spans="1:58" ht="46.5" customHeight="1">
      <c r="A68" s="1"/>
      <c r="B68" s="1" t="s">
        <v>58</v>
      </c>
      <c r="C68" s="1" t="s">
        <v>59</v>
      </c>
      <c r="D68" s="1" t="s">
        <v>1000</v>
      </c>
      <c r="E68" s="1" t="s">
        <v>1001</v>
      </c>
      <c r="F68" s="1" t="s">
        <v>1002</v>
      </c>
      <c r="H68" s="2" t="s">
        <v>63</v>
      </c>
      <c r="I68" s="2" t="s">
        <v>64</v>
      </c>
      <c r="J68" s="2" t="s">
        <v>63</v>
      </c>
      <c r="K68" s="2" t="s">
        <v>63</v>
      </c>
      <c r="L68" s="2" t="s">
        <v>65</v>
      </c>
      <c r="M68" s="1" t="s">
        <v>990</v>
      </c>
      <c r="N68" s="1" t="s">
        <v>1003</v>
      </c>
      <c r="O68" s="2" t="s">
        <v>145</v>
      </c>
      <c r="Q68" s="2" t="s">
        <v>70</v>
      </c>
      <c r="R68" s="2" t="s">
        <v>892</v>
      </c>
      <c r="T68" s="2" t="s">
        <v>72</v>
      </c>
      <c r="U68" s="3">
        <v>2</v>
      </c>
      <c r="V68" s="3">
        <v>2</v>
      </c>
      <c r="W68" s="4" t="s">
        <v>1004</v>
      </c>
      <c r="X68" s="4" t="s">
        <v>1004</v>
      </c>
      <c r="Y68" s="4" t="s">
        <v>1005</v>
      </c>
      <c r="Z68" s="4" t="s">
        <v>1005</v>
      </c>
      <c r="AA68" s="3">
        <v>2</v>
      </c>
      <c r="AB68" s="3">
        <v>2</v>
      </c>
      <c r="AC68" s="3">
        <v>2</v>
      </c>
      <c r="AD68" s="3">
        <v>1</v>
      </c>
      <c r="AE68" s="3">
        <v>1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2" t="s">
        <v>63</v>
      </c>
      <c r="AS68" s="2" t="s">
        <v>63</v>
      </c>
      <c r="AU68" s="5" t="str">
        <f>HYPERLINK("https://creighton-primo.hosted.exlibrisgroup.com/primo-explore/search?tab=default_tab&amp;search_scope=EVERYTHING&amp;vid=01CRU&amp;lang=en_US&amp;offset=0&amp;query=any,contains,991000332529702656","Catalog Record")</f>
        <v>Catalog Record</v>
      </c>
      <c r="AV68" s="5" t="str">
        <f>HYPERLINK("http://www.worldcat.org/oclc/35215031","WorldCat Record")</f>
        <v>WorldCat Record</v>
      </c>
      <c r="AW68" s="2" t="s">
        <v>1006</v>
      </c>
      <c r="AX68" s="2" t="s">
        <v>1007</v>
      </c>
      <c r="AY68" s="2" t="s">
        <v>1008</v>
      </c>
      <c r="AZ68" s="2" t="s">
        <v>1008</v>
      </c>
      <c r="BA68" s="2" t="s">
        <v>1009</v>
      </c>
      <c r="BB68" s="2" t="s">
        <v>79</v>
      </c>
      <c r="BE68" s="2" t="s">
        <v>1010</v>
      </c>
      <c r="BF68" s="2" t="s">
        <v>1011</v>
      </c>
    </row>
    <row r="69" spans="1:58" ht="46.5" customHeight="1">
      <c r="A69" s="1"/>
      <c r="B69" s="1" t="s">
        <v>58</v>
      </c>
      <c r="C69" s="1" t="s">
        <v>59</v>
      </c>
      <c r="D69" s="1" t="s">
        <v>1012</v>
      </c>
      <c r="E69" s="1" t="s">
        <v>1013</v>
      </c>
      <c r="F69" s="1" t="s">
        <v>1014</v>
      </c>
      <c r="H69" s="2" t="s">
        <v>63</v>
      </c>
      <c r="I69" s="2" t="s">
        <v>64</v>
      </c>
      <c r="J69" s="2" t="s">
        <v>63</v>
      </c>
      <c r="K69" s="2" t="s">
        <v>63</v>
      </c>
      <c r="L69" s="2" t="s">
        <v>65</v>
      </c>
      <c r="M69" s="1" t="s">
        <v>1015</v>
      </c>
      <c r="N69" s="1" t="s">
        <v>1016</v>
      </c>
      <c r="O69" s="2" t="s">
        <v>423</v>
      </c>
      <c r="P69" s="1" t="s">
        <v>376</v>
      </c>
      <c r="Q69" s="2" t="s">
        <v>70</v>
      </c>
      <c r="R69" s="2" t="s">
        <v>200</v>
      </c>
      <c r="T69" s="2" t="s">
        <v>72</v>
      </c>
      <c r="U69" s="3">
        <v>26</v>
      </c>
      <c r="V69" s="3">
        <v>26</v>
      </c>
      <c r="W69" s="4" t="s">
        <v>1017</v>
      </c>
      <c r="X69" s="4" t="s">
        <v>1017</v>
      </c>
      <c r="Y69" s="4" t="s">
        <v>1018</v>
      </c>
      <c r="Z69" s="4" t="s">
        <v>1018</v>
      </c>
      <c r="AA69" s="3">
        <v>70</v>
      </c>
      <c r="AB69" s="3">
        <v>46</v>
      </c>
      <c r="AC69" s="3">
        <v>48</v>
      </c>
      <c r="AD69" s="3">
        <v>1</v>
      </c>
      <c r="AE69" s="3">
        <v>1</v>
      </c>
      <c r="AF69" s="3">
        <v>3</v>
      </c>
      <c r="AG69" s="3">
        <v>3</v>
      </c>
      <c r="AH69" s="3">
        <v>2</v>
      </c>
      <c r="AI69" s="3">
        <v>2</v>
      </c>
      <c r="AJ69" s="3">
        <v>0</v>
      </c>
      <c r="AK69" s="3">
        <v>0</v>
      </c>
      <c r="AL69" s="3">
        <v>1</v>
      </c>
      <c r="AM69" s="3">
        <v>1</v>
      </c>
      <c r="AN69" s="3">
        <v>0</v>
      </c>
      <c r="AO69" s="3">
        <v>0</v>
      </c>
      <c r="AP69" s="3">
        <v>0</v>
      </c>
      <c r="AQ69" s="3">
        <v>0</v>
      </c>
      <c r="AR69" s="2" t="s">
        <v>63</v>
      </c>
      <c r="AS69" s="2" t="s">
        <v>92</v>
      </c>
      <c r="AT69" s="5" t="str">
        <f>HYPERLINK("http://catalog.hathitrust.org/Record/002451490","HathiTrust Record")</f>
        <v>HathiTrust Record</v>
      </c>
      <c r="AU69" s="5" t="str">
        <f>HYPERLINK("https://creighton-primo.hosted.exlibrisgroup.com/primo-explore/search?tab=default_tab&amp;search_scope=EVERYTHING&amp;vid=01CRU&amp;lang=en_US&amp;offset=0&amp;query=any,contains,991001112799702656","Catalog Record")</f>
        <v>Catalog Record</v>
      </c>
      <c r="AV69" s="5" t="str">
        <f>HYPERLINK("http://www.worldcat.org/oclc/18136897","WorldCat Record")</f>
        <v>WorldCat Record</v>
      </c>
      <c r="AW69" s="2" t="s">
        <v>1019</v>
      </c>
      <c r="AX69" s="2" t="s">
        <v>1020</v>
      </c>
      <c r="AY69" s="2" t="s">
        <v>1021</v>
      </c>
      <c r="AZ69" s="2" t="s">
        <v>1021</v>
      </c>
      <c r="BA69" s="2" t="s">
        <v>1022</v>
      </c>
      <c r="BB69" s="2" t="s">
        <v>79</v>
      </c>
      <c r="BD69" s="2" t="s">
        <v>1023</v>
      </c>
      <c r="BE69" s="2" t="s">
        <v>1024</v>
      </c>
      <c r="BF69" s="2" t="s">
        <v>1025</v>
      </c>
    </row>
    <row r="70" spans="1:58" ht="46.5" customHeight="1">
      <c r="A70" s="1"/>
      <c r="B70" s="1" t="s">
        <v>58</v>
      </c>
      <c r="C70" s="1" t="s">
        <v>59</v>
      </c>
      <c r="D70" s="1" t="s">
        <v>1026</v>
      </c>
      <c r="E70" s="1" t="s">
        <v>1027</v>
      </c>
      <c r="F70" s="1" t="s">
        <v>1028</v>
      </c>
      <c r="H70" s="2" t="s">
        <v>63</v>
      </c>
      <c r="I70" s="2" t="s">
        <v>64</v>
      </c>
      <c r="J70" s="2" t="s">
        <v>63</v>
      </c>
      <c r="K70" s="2" t="s">
        <v>63</v>
      </c>
      <c r="L70" s="2" t="s">
        <v>65</v>
      </c>
      <c r="M70" s="1" t="s">
        <v>1029</v>
      </c>
      <c r="N70" s="1" t="s">
        <v>1030</v>
      </c>
      <c r="O70" s="2" t="s">
        <v>1031</v>
      </c>
      <c r="Q70" s="2" t="s">
        <v>70</v>
      </c>
      <c r="R70" s="2" t="s">
        <v>322</v>
      </c>
      <c r="T70" s="2" t="s">
        <v>72</v>
      </c>
      <c r="U70" s="3">
        <v>4</v>
      </c>
      <c r="V70" s="3">
        <v>4</v>
      </c>
      <c r="W70" s="4" t="s">
        <v>1032</v>
      </c>
      <c r="X70" s="4" t="s">
        <v>1032</v>
      </c>
      <c r="Y70" s="4" t="s">
        <v>74</v>
      </c>
      <c r="Z70" s="4" t="s">
        <v>74</v>
      </c>
      <c r="AA70" s="3">
        <v>41</v>
      </c>
      <c r="AB70" s="3">
        <v>34</v>
      </c>
      <c r="AC70" s="3">
        <v>40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1</v>
      </c>
      <c r="AM70" s="3">
        <v>1</v>
      </c>
      <c r="AN70" s="3">
        <v>0</v>
      </c>
      <c r="AO70" s="3">
        <v>0</v>
      </c>
      <c r="AP70" s="3">
        <v>0</v>
      </c>
      <c r="AQ70" s="3">
        <v>0</v>
      </c>
      <c r="AR70" s="2" t="s">
        <v>63</v>
      </c>
      <c r="AS70" s="2" t="s">
        <v>92</v>
      </c>
      <c r="AT70" s="5" t="str">
        <f>HYPERLINK("http://catalog.hathitrust.org/Record/007050981","HathiTrust Record")</f>
        <v>HathiTrust Record</v>
      </c>
      <c r="AU70" s="5" t="str">
        <f>HYPERLINK("https://creighton-primo.hosted.exlibrisgroup.com/primo-explore/search?tab=default_tab&amp;search_scope=EVERYTHING&amp;vid=01CRU&amp;lang=en_US&amp;offset=0&amp;query=any,contains,991000949779702656","Catalog Record")</f>
        <v>Catalog Record</v>
      </c>
      <c r="AV70" s="5" t="str">
        <f>HYPERLINK("http://www.worldcat.org/oclc/3312385","WorldCat Record")</f>
        <v>WorldCat Record</v>
      </c>
      <c r="AW70" s="2" t="s">
        <v>1033</v>
      </c>
      <c r="AX70" s="2" t="s">
        <v>1034</v>
      </c>
      <c r="AY70" s="2" t="s">
        <v>1035</v>
      </c>
      <c r="AZ70" s="2" t="s">
        <v>1035</v>
      </c>
      <c r="BA70" s="2" t="s">
        <v>1036</v>
      </c>
      <c r="BB70" s="2" t="s">
        <v>79</v>
      </c>
      <c r="BD70" s="2" t="s">
        <v>1037</v>
      </c>
      <c r="BE70" s="2" t="s">
        <v>1038</v>
      </c>
      <c r="BF70" s="2" t="s">
        <v>1039</v>
      </c>
    </row>
    <row r="71" spans="1:58" ht="46.5" customHeight="1">
      <c r="A71" s="1"/>
      <c r="B71" s="1" t="s">
        <v>58</v>
      </c>
      <c r="C71" s="1" t="s">
        <v>59</v>
      </c>
      <c r="D71" s="1" t="s">
        <v>1040</v>
      </c>
      <c r="E71" s="1" t="s">
        <v>1041</v>
      </c>
      <c r="F71" s="1" t="s">
        <v>1042</v>
      </c>
      <c r="H71" s="2" t="s">
        <v>63</v>
      </c>
      <c r="I71" s="2" t="s">
        <v>64</v>
      </c>
      <c r="J71" s="2" t="s">
        <v>63</v>
      </c>
      <c r="K71" s="2" t="s">
        <v>63</v>
      </c>
      <c r="L71" s="2" t="s">
        <v>65</v>
      </c>
      <c r="N71" s="1" t="s">
        <v>1043</v>
      </c>
      <c r="O71" s="2" t="s">
        <v>198</v>
      </c>
      <c r="P71" s="1" t="s">
        <v>1044</v>
      </c>
      <c r="Q71" s="2" t="s">
        <v>70</v>
      </c>
      <c r="R71" s="2" t="s">
        <v>1045</v>
      </c>
      <c r="T71" s="2" t="s">
        <v>72</v>
      </c>
      <c r="U71" s="3">
        <v>47</v>
      </c>
      <c r="V71" s="3">
        <v>47</v>
      </c>
      <c r="W71" s="4" t="s">
        <v>1046</v>
      </c>
      <c r="X71" s="4" t="s">
        <v>1046</v>
      </c>
      <c r="Y71" s="4" t="s">
        <v>1047</v>
      </c>
      <c r="Z71" s="4" t="s">
        <v>1047</v>
      </c>
      <c r="AA71" s="3">
        <v>59</v>
      </c>
      <c r="AB71" s="3">
        <v>43</v>
      </c>
      <c r="AC71" s="3">
        <v>111</v>
      </c>
      <c r="AD71" s="3">
        <v>1</v>
      </c>
      <c r="AE71" s="3">
        <v>1</v>
      </c>
      <c r="AF71" s="3">
        <v>1</v>
      </c>
      <c r="AG71" s="3">
        <v>4</v>
      </c>
      <c r="AH71" s="3">
        <v>0</v>
      </c>
      <c r="AI71" s="3">
        <v>1</v>
      </c>
      <c r="AJ71" s="3">
        <v>1</v>
      </c>
      <c r="AK71" s="3">
        <v>1</v>
      </c>
      <c r="AL71" s="3">
        <v>0</v>
      </c>
      <c r="AM71" s="3">
        <v>3</v>
      </c>
      <c r="AN71" s="3">
        <v>0</v>
      </c>
      <c r="AO71" s="3">
        <v>0</v>
      </c>
      <c r="AP71" s="3">
        <v>0</v>
      </c>
      <c r="AQ71" s="3">
        <v>0</v>
      </c>
      <c r="AR71" s="2" t="s">
        <v>63</v>
      </c>
      <c r="AS71" s="2" t="s">
        <v>63</v>
      </c>
      <c r="AU71" s="5" t="str">
        <f>HYPERLINK("https://creighton-primo.hosted.exlibrisgroup.com/primo-explore/search?tab=default_tab&amp;search_scope=EVERYTHING&amp;vid=01CRU&amp;lang=en_US&amp;offset=0&amp;query=any,contains,991000821159702656","Catalog Record")</f>
        <v>Catalog Record</v>
      </c>
      <c r="AV71" s="5" t="str">
        <f>HYPERLINK("http://www.worldcat.org/oclc/21078298","WorldCat Record")</f>
        <v>WorldCat Record</v>
      </c>
      <c r="AW71" s="2" t="s">
        <v>1048</v>
      </c>
      <c r="AX71" s="2" t="s">
        <v>1049</v>
      </c>
      <c r="AY71" s="2" t="s">
        <v>1050</v>
      </c>
      <c r="AZ71" s="2" t="s">
        <v>1050</v>
      </c>
      <c r="BA71" s="2" t="s">
        <v>1051</v>
      </c>
      <c r="BB71" s="2" t="s">
        <v>79</v>
      </c>
      <c r="BD71" s="2" t="s">
        <v>1052</v>
      </c>
      <c r="BE71" s="2" t="s">
        <v>1053</v>
      </c>
      <c r="BF71" s="2" t="s">
        <v>1054</v>
      </c>
    </row>
    <row r="72" spans="1:58" ht="46.5" customHeight="1">
      <c r="A72" s="1"/>
      <c r="B72" s="1" t="s">
        <v>58</v>
      </c>
      <c r="C72" s="1" t="s">
        <v>59</v>
      </c>
      <c r="D72" s="1" t="s">
        <v>1055</v>
      </c>
      <c r="E72" s="1" t="s">
        <v>1056</v>
      </c>
      <c r="F72" s="1" t="s">
        <v>1057</v>
      </c>
      <c r="H72" s="2" t="s">
        <v>63</v>
      </c>
      <c r="I72" s="2" t="s">
        <v>64</v>
      </c>
      <c r="J72" s="2" t="s">
        <v>63</v>
      </c>
      <c r="K72" s="2" t="s">
        <v>63</v>
      </c>
      <c r="L72" s="2" t="s">
        <v>65</v>
      </c>
      <c r="N72" s="1" t="s">
        <v>1058</v>
      </c>
      <c r="O72" s="2" t="s">
        <v>198</v>
      </c>
      <c r="Q72" s="2" t="s">
        <v>70</v>
      </c>
      <c r="R72" s="2" t="s">
        <v>260</v>
      </c>
      <c r="T72" s="2" t="s">
        <v>72</v>
      </c>
      <c r="U72" s="3">
        <v>29</v>
      </c>
      <c r="V72" s="3">
        <v>29</v>
      </c>
      <c r="W72" s="4" t="s">
        <v>1004</v>
      </c>
      <c r="X72" s="4" t="s">
        <v>1004</v>
      </c>
      <c r="Y72" s="4" t="s">
        <v>1059</v>
      </c>
      <c r="Z72" s="4" t="s">
        <v>1059</v>
      </c>
      <c r="AA72" s="3">
        <v>4</v>
      </c>
      <c r="AB72" s="3">
        <v>4</v>
      </c>
      <c r="AC72" s="3">
        <v>4</v>
      </c>
      <c r="AD72" s="3">
        <v>1</v>
      </c>
      <c r="AE72" s="3">
        <v>1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2" t="s">
        <v>63</v>
      </c>
      <c r="AS72" s="2" t="s">
        <v>63</v>
      </c>
      <c r="AU72" s="5" t="str">
        <f>HYPERLINK("https://creighton-primo.hosted.exlibrisgroup.com/primo-explore/search?tab=default_tab&amp;search_scope=EVERYTHING&amp;vid=01CRU&amp;lang=en_US&amp;offset=0&amp;query=any,contains,991001344879702656","Catalog Record")</f>
        <v>Catalog Record</v>
      </c>
      <c r="AV72" s="5" t="str">
        <f>HYPERLINK("http://www.worldcat.org/oclc/24471202","WorldCat Record")</f>
        <v>WorldCat Record</v>
      </c>
      <c r="AW72" s="2" t="s">
        <v>1060</v>
      </c>
      <c r="AX72" s="2" t="s">
        <v>1061</v>
      </c>
      <c r="AY72" s="2" t="s">
        <v>1062</v>
      </c>
      <c r="AZ72" s="2" t="s">
        <v>1062</v>
      </c>
      <c r="BA72" s="2" t="s">
        <v>1063</v>
      </c>
      <c r="BB72" s="2" t="s">
        <v>79</v>
      </c>
      <c r="BD72" s="2" t="s">
        <v>1064</v>
      </c>
      <c r="BE72" s="2" t="s">
        <v>1065</v>
      </c>
      <c r="BF72" s="2" t="s">
        <v>1066</v>
      </c>
    </row>
    <row r="73" spans="1:58" ht="46.5" customHeight="1">
      <c r="A73" s="1"/>
      <c r="B73" s="1" t="s">
        <v>58</v>
      </c>
      <c r="C73" s="1" t="s">
        <v>59</v>
      </c>
      <c r="D73" s="1" t="s">
        <v>1067</v>
      </c>
      <c r="E73" s="1" t="s">
        <v>1068</v>
      </c>
      <c r="F73" s="1" t="s">
        <v>1069</v>
      </c>
      <c r="H73" s="2" t="s">
        <v>63</v>
      </c>
      <c r="I73" s="2" t="s">
        <v>64</v>
      </c>
      <c r="J73" s="2" t="s">
        <v>63</v>
      </c>
      <c r="K73" s="2" t="s">
        <v>63</v>
      </c>
      <c r="L73" s="2" t="s">
        <v>65</v>
      </c>
      <c r="N73" s="1" t="s">
        <v>1070</v>
      </c>
      <c r="O73" s="2" t="s">
        <v>104</v>
      </c>
      <c r="P73" s="1" t="s">
        <v>259</v>
      </c>
      <c r="Q73" s="2" t="s">
        <v>70</v>
      </c>
      <c r="R73" s="2" t="s">
        <v>1071</v>
      </c>
      <c r="T73" s="2" t="s">
        <v>72</v>
      </c>
      <c r="U73" s="3">
        <v>32</v>
      </c>
      <c r="V73" s="3">
        <v>32</v>
      </c>
      <c r="W73" s="4" t="s">
        <v>90</v>
      </c>
      <c r="X73" s="4" t="s">
        <v>90</v>
      </c>
      <c r="Y73" s="4" t="s">
        <v>262</v>
      </c>
      <c r="Z73" s="4" t="s">
        <v>262</v>
      </c>
      <c r="AA73" s="3">
        <v>41</v>
      </c>
      <c r="AB73" s="3">
        <v>34</v>
      </c>
      <c r="AC73" s="3">
        <v>95</v>
      </c>
      <c r="AD73" s="3">
        <v>1</v>
      </c>
      <c r="AE73" s="3">
        <v>1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2" t="s">
        <v>63</v>
      </c>
      <c r="AS73" s="2" t="s">
        <v>63</v>
      </c>
      <c r="AU73" s="5" t="str">
        <f>HYPERLINK("https://creighton-primo.hosted.exlibrisgroup.com/primo-explore/search?tab=default_tab&amp;search_scope=EVERYTHING&amp;vid=01CRU&amp;lang=en_US&amp;offset=0&amp;query=any,contains,991000747439702656","Catalog Record")</f>
        <v>Catalog Record</v>
      </c>
      <c r="AV73" s="5" t="str">
        <f>HYPERLINK("http://www.worldcat.org/oclc/10949510","WorldCat Record")</f>
        <v>WorldCat Record</v>
      </c>
      <c r="AW73" s="2" t="s">
        <v>1072</v>
      </c>
      <c r="AX73" s="2" t="s">
        <v>1073</v>
      </c>
      <c r="AY73" s="2" t="s">
        <v>1074</v>
      </c>
      <c r="AZ73" s="2" t="s">
        <v>1074</v>
      </c>
      <c r="BA73" s="2" t="s">
        <v>1075</v>
      </c>
      <c r="BB73" s="2" t="s">
        <v>79</v>
      </c>
      <c r="BD73" s="2" t="s">
        <v>1076</v>
      </c>
      <c r="BE73" s="2" t="s">
        <v>1077</v>
      </c>
      <c r="BF73" s="2" t="s">
        <v>1078</v>
      </c>
    </row>
    <row r="74" spans="1:58" ht="46.5" customHeight="1">
      <c r="A74" s="1"/>
      <c r="B74" s="1" t="s">
        <v>58</v>
      </c>
      <c r="C74" s="1" t="s">
        <v>59</v>
      </c>
      <c r="D74" s="1" t="s">
        <v>1079</v>
      </c>
      <c r="E74" s="1" t="s">
        <v>1080</v>
      </c>
      <c r="F74" s="1" t="s">
        <v>1081</v>
      </c>
      <c r="H74" s="2" t="s">
        <v>63</v>
      </c>
      <c r="I74" s="2" t="s">
        <v>64</v>
      </c>
      <c r="J74" s="2" t="s">
        <v>63</v>
      </c>
      <c r="K74" s="2" t="s">
        <v>63</v>
      </c>
      <c r="L74" s="2" t="s">
        <v>65</v>
      </c>
      <c r="N74" s="1" t="s">
        <v>1082</v>
      </c>
      <c r="O74" s="2" t="s">
        <v>292</v>
      </c>
      <c r="Q74" s="2" t="s">
        <v>70</v>
      </c>
      <c r="R74" s="2" t="s">
        <v>89</v>
      </c>
      <c r="S74" s="1" t="s">
        <v>732</v>
      </c>
      <c r="T74" s="2" t="s">
        <v>72</v>
      </c>
      <c r="U74" s="3">
        <v>51</v>
      </c>
      <c r="V74" s="3">
        <v>51</v>
      </c>
      <c r="W74" s="4" t="s">
        <v>1083</v>
      </c>
      <c r="X74" s="4" t="s">
        <v>1083</v>
      </c>
      <c r="Y74" s="4" t="s">
        <v>1084</v>
      </c>
      <c r="Z74" s="4" t="s">
        <v>1084</v>
      </c>
      <c r="AA74" s="3">
        <v>45</v>
      </c>
      <c r="AB74" s="3">
        <v>32</v>
      </c>
      <c r="AC74" s="3">
        <v>35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0</v>
      </c>
      <c r="AK74" s="3">
        <v>0</v>
      </c>
      <c r="AL74" s="3">
        <v>1</v>
      </c>
      <c r="AM74" s="3">
        <v>1</v>
      </c>
      <c r="AN74" s="3">
        <v>0</v>
      </c>
      <c r="AO74" s="3">
        <v>0</v>
      </c>
      <c r="AP74" s="3">
        <v>0</v>
      </c>
      <c r="AQ74" s="3">
        <v>0</v>
      </c>
      <c r="AR74" s="2" t="s">
        <v>63</v>
      </c>
      <c r="AS74" s="2" t="s">
        <v>92</v>
      </c>
      <c r="AT74" s="5" t="str">
        <f>HYPERLINK("http://catalog.hathitrust.org/Record/002053798","HathiTrust Record")</f>
        <v>HathiTrust Record</v>
      </c>
      <c r="AU74" s="5" t="str">
        <f>HYPERLINK("https://creighton-primo.hosted.exlibrisgroup.com/primo-explore/search?tab=default_tab&amp;search_scope=EVERYTHING&amp;vid=01CRU&amp;lang=en_US&amp;offset=0&amp;query=any,contains,991001386719702656","Catalog Record")</f>
        <v>Catalog Record</v>
      </c>
      <c r="AV74" s="5" t="str">
        <f>HYPERLINK("http://www.worldcat.org/oclc/18816916","WorldCat Record")</f>
        <v>WorldCat Record</v>
      </c>
      <c r="AW74" s="2" t="s">
        <v>1085</v>
      </c>
      <c r="AX74" s="2" t="s">
        <v>1086</v>
      </c>
      <c r="AY74" s="2" t="s">
        <v>1087</v>
      </c>
      <c r="AZ74" s="2" t="s">
        <v>1087</v>
      </c>
      <c r="BA74" s="2" t="s">
        <v>1088</v>
      </c>
      <c r="BB74" s="2" t="s">
        <v>79</v>
      </c>
      <c r="BD74" s="2" t="s">
        <v>1089</v>
      </c>
      <c r="BE74" s="2" t="s">
        <v>1090</v>
      </c>
      <c r="BF74" s="2" t="s">
        <v>1091</v>
      </c>
    </row>
    <row r="75" spans="1:58" ht="46.5" customHeight="1">
      <c r="A75" s="1"/>
      <c r="B75" s="1" t="s">
        <v>58</v>
      </c>
      <c r="C75" s="1" t="s">
        <v>59</v>
      </c>
      <c r="D75" s="1" t="s">
        <v>1092</v>
      </c>
      <c r="E75" s="1" t="s">
        <v>1093</v>
      </c>
      <c r="F75" s="1" t="s">
        <v>1094</v>
      </c>
      <c r="H75" s="2" t="s">
        <v>63</v>
      </c>
      <c r="I75" s="2" t="s">
        <v>64</v>
      </c>
      <c r="J75" s="2" t="s">
        <v>63</v>
      </c>
      <c r="K75" s="2" t="s">
        <v>63</v>
      </c>
      <c r="L75" s="2" t="s">
        <v>65</v>
      </c>
      <c r="M75" s="1" t="s">
        <v>1095</v>
      </c>
      <c r="N75" s="1" t="s">
        <v>1096</v>
      </c>
      <c r="O75" s="2" t="s">
        <v>145</v>
      </c>
      <c r="P75" s="1" t="s">
        <v>105</v>
      </c>
      <c r="Q75" s="2" t="s">
        <v>70</v>
      </c>
      <c r="R75" s="2" t="s">
        <v>200</v>
      </c>
      <c r="T75" s="2" t="s">
        <v>72</v>
      </c>
      <c r="U75" s="3">
        <v>17</v>
      </c>
      <c r="V75" s="3">
        <v>17</v>
      </c>
      <c r="W75" s="4" t="s">
        <v>1097</v>
      </c>
      <c r="X75" s="4" t="s">
        <v>1097</v>
      </c>
      <c r="Y75" s="4" t="s">
        <v>146</v>
      </c>
      <c r="Z75" s="4" t="s">
        <v>146</v>
      </c>
      <c r="AA75" s="3">
        <v>64</v>
      </c>
      <c r="AB75" s="3">
        <v>61</v>
      </c>
      <c r="AC75" s="3">
        <v>114</v>
      </c>
      <c r="AD75" s="3">
        <v>1</v>
      </c>
      <c r="AE75" s="3">
        <v>1</v>
      </c>
      <c r="AF75" s="3">
        <v>0</v>
      </c>
      <c r="AG75" s="3">
        <v>2</v>
      </c>
      <c r="AH75" s="3">
        <v>0</v>
      </c>
      <c r="AI75" s="3">
        <v>1</v>
      </c>
      <c r="AJ75" s="3">
        <v>0</v>
      </c>
      <c r="AK75" s="3">
        <v>0</v>
      </c>
      <c r="AL75" s="3">
        <v>0</v>
      </c>
      <c r="AM75" s="3">
        <v>1</v>
      </c>
      <c r="AN75" s="3">
        <v>0</v>
      </c>
      <c r="AO75" s="3">
        <v>0</v>
      </c>
      <c r="AP75" s="3">
        <v>0</v>
      </c>
      <c r="AQ75" s="3">
        <v>0</v>
      </c>
      <c r="AR75" s="2" t="s">
        <v>63</v>
      </c>
      <c r="AS75" s="2" t="s">
        <v>63</v>
      </c>
      <c r="AU75" s="5" t="str">
        <f>HYPERLINK("https://creighton-primo.hosted.exlibrisgroup.com/primo-explore/search?tab=default_tab&amp;search_scope=EVERYTHING&amp;vid=01CRU&amp;lang=en_US&amp;offset=0&amp;query=any,contains,991001400249702656","Catalog Record")</f>
        <v>Catalog Record</v>
      </c>
      <c r="AV75" s="5" t="str">
        <f>HYPERLINK("http://www.worldcat.org/oclc/30974794","WorldCat Record")</f>
        <v>WorldCat Record</v>
      </c>
      <c r="AW75" s="2" t="s">
        <v>1098</v>
      </c>
      <c r="AX75" s="2" t="s">
        <v>1099</v>
      </c>
      <c r="AY75" s="2" t="s">
        <v>1100</v>
      </c>
      <c r="AZ75" s="2" t="s">
        <v>1100</v>
      </c>
      <c r="BA75" s="2" t="s">
        <v>1101</v>
      </c>
      <c r="BB75" s="2" t="s">
        <v>79</v>
      </c>
      <c r="BD75" s="2" t="s">
        <v>1102</v>
      </c>
      <c r="BE75" s="2" t="s">
        <v>1103</v>
      </c>
      <c r="BF75" s="2" t="s">
        <v>1104</v>
      </c>
    </row>
    <row r="76" spans="1:58" ht="46.5" customHeight="1">
      <c r="A76" s="1"/>
      <c r="B76" s="1" t="s">
        <v>58</v>
      </c>
      <c r="C76" s="1" t="s">
        <v>59</v>
      </c>
      <c r="D76" s="1" t="s">
        <v>1105</v>
      </c>
      <c r="E76" s="1" t="s">
        <v>1106</v>
      </c>
      <c r="F76" s="1" t="s">
        <v>1107</v>
      </c>
      <c r="H76" s="2" t="s">
        <v>63</v>
      </c>
      <c r="I76" s="2" t="s">
        <v>64</v>
      </c>
      <c r="J76" s="2" t="s">
        <v>63</v>
      </c>
      <c r="K76" s="2" t="s">
        <v>63</v>
      </c>
      <c r="L76" s="2" t="s">
        <v>65</v>
      </c>
      <c r="M76" s="1" t="s">
        <v>1108</v>
      </c>
      <c r="N76" s="1" t="s">
        <v>1109</v>
      </c>
      <c r="O76" s="2" t="s">
        <v>198</v>
      </c>
      <c r="P76" s="1" t="s">
        <v>230</v>
      </c>
      <c r="Q76" s="2" t="s">
        <v>70</v>
      </c>
      <c r="R76" s="2" t="s">
        <v>200</v>
      </c>
      <c r="T76" s="2" t="s">
        <v>72</v>
      </c>
      <c r="U76" s="3">
        <v>9</v>
      </c>
      <c r="V76" s="3">
        <v>9</v>
      </c>
      <c r="W76" s="4" t="s">
        <v>1032</v>
      </c>
      <c r="X76" s="4" t="s">
        <v>1032</v>
      </c>
      <c r="Y76" s="4" t="s">
        <v>854</v>
      </c>
      <c r="Z76" s="4" t="s">
        <v>854</v>
      </c>
      <c r="AA76" s="3">
        <v>52</v>
      </c>
      <c r="AB76" s="3">
        <v>48</v>
      </c>
      <c r="AC76" s="3">
        <v>151</v>
      </c>
      <c r="AD76" s="3">
        <v>1</v>
      </c>
      <c r="AE76" s="3">
        <v>2</v>
      </c>
      <c r="AF76" s="3">
        <v>2</v>
      </c>
      <c r="AG76" s="3">
        <v>3</v>
      </c>
      <c r="AH76" s="3">
        <v>1</v>
      </c>
      <c r="AI76" s="3">
        <v>2</v>
      </c>
      <c r="AJ76" s="3">
        <v>0</v>
      </c>
      <c r="AK76" s="3">
        <v>0</v>
      </c>
      <c r="AL76" s="3">
        <v>1</v>
      </c>
      <c r="AM76" s="3">
        <v>2</v>
      </c>
      <c r="AN76" s="3">
        <v>0</v>
      </c>
      <c r="AO76" s="3">
        <v>0</v>
      </c>
      <c r="AP76" s="3">
        <v>0</v>
      </c>
      <c r="AQ76" s="3">
        <v>0</v>
      </c>
      <c r="AR76" s="2" t="s">
        <v>63</v>
      </c>
      <c r="AS76" s="2" t="s">
        <v>63</v>
      </c>
      <c r="AU76" s="5" t="str">
        <f>HYPERLINK("https://creighton-primo.hosted.exlibrisgroup.com/primo-explore/search?tab=default_tab&amp;search_scope=EVERYTHING&amp;vid=01CRU&amp;lang=en_US&amp;offset=0&amp;query=any,contains,991000944189702656","Catalog Record")</f>
        <v>Catalog Record</v>
      </c>
      <c r="AV76" s="5" t="str">
        <f>HYPERLINK("http://www.worldcat.org/oclc/22840570","WorldCat Record")</f>
        <v>WorldCat Record</v>
      </c>
      <c r="AW76" s="2" t="s">
        <v>1110</v>
      </c>
      <c r="AX76" s="2" t="s">
        <v>1111</v>
      </c>
      <c r="AY76" s="2" t="s">
        <v>1112</v>
      </c>
      <c r="AZ76" s="2" t="s">
        <v>1112</v>
      </c>
      <c r="BA76" s="2" t="s">
        <v>1113</v>
      </c>
      <c r="BB76" s="2" t="s">
        <v>79</v>
      </c>
      <c r="BD76" s="2" t="s">
        <v>1114</v>
      </c>
      <c r="BE76" s="2" t="s">
        <v>1115</v>
      </c>
      <c r="BF76" s="2" t="s">
        <v>1116</v>
      </c>
    </row>
    <row r="77" spans="1:58" ht="46.5" customHeight="1">
      <c r="A77" s="1"/>
      <c r="B77" s="1" t="s">
        <v>58</v>
      </c>
      <c r="C77" s="1" t="s">
        <v>59</v>
      </c>
      <c r="D77" s="1" t="s">
        <v>1117</v>
      </c>
      <c r="E77" s="1" t="s">
        <v>1118</v>
      </c>
      <c r="F77" s="1" t="s">
        <v>1119</v>
      </c>
      <c r="H77" s="2" t="s">
        <v>63</v>
      </c>
      <c r="I77" s="2" t="s">
        <v>64</v>
      </c>
      <c r="J77" s="2" t="s">
        <v>63</v>
      </c>
      <c r="K77" s="2" t="s">
        <v>63</v>
      </c>
      <c r="L77" s="2" t="s">
        <v>65</v>
      </c>
      <c r="M77" s="1" t="s">
        <v>1120</v>
      </c>
      <c r="N77" s="1" t="s">
        <v>1121</v>
      </c>
      <c r="O77" s="2" t="s">
        <v>407</v>
      </c>
      <c r="P77" s="1" t="s">
        <v>230</v>
      </c>
      <c r="Q77" s="2" t="s">
        <v>70</v>
      </c>
      <c r="R77" s="2" t="s">
        <v>200</v>
      </c>
      <c r="T77" s="2" t="s">
        <v>72</v>
      </c>
      <c r="U77" s="3">
        <v>6</v>
      </c>
      <c r="V77" s="3">
        <v>6</v>
      </c>
      <c r="W77" s="4" t="s">
        <v>1004</v>
      </c>
      <c r="X77" s="4" t="s">
        <v>1004</v>
      </c>
      <c r="Y77" s="4" t="s">
        <v>1122</v>
      </c>
      <c r="Z77" s="4" t="s">
        <v>1122</v>
      </c>
      <c r="AA77" s="3">
        <v>96</v>
      </c>
      <c r="AB77" s="3">
        <v>85</v>
      </c>
      <c r="AC77" s="3">
        <v>299</v>
      </c>
      <c r="AD77" s="3">
        <v>1</v>
      </c>
      <c r="AE77" s="3">
        <v>5</v>
      </c>
      <c r="AF77" s="3">
        <v>2</v>
      </c>
      <c r="AG77" s="3">
        <v>7</v>
      </c>
      <c r="AH77" s="3">
        <v>0</v>
      </c>
      <c r="AI77" s="3">
        <v>1</v>
      </c>
      <c r="AJ77" s="3">
        <v>0</v>
      </c>
      <c r="AK77" s="3">
        <v>1</v>
      </c>
      <c r="AL77" s="3">
        <v>2</v>
      </c>
      <c r="AM77" s="3">
        <v>5</v>
      </c>
      <c r="AN77" s="3">
        <v>0</v>
      </c>
      <c r="AO77" s="3">
        <v>2</v>
      </c>
      <c r="AP77" s="3">
        <v>0</v>
      </c>
      <c r="AQ77" s="3">
        <v>0</v>
      </c>
      <c r="AR77" s="2" t="s">
        <v>63</v>
      </c>
      <c r="AS77" s="2" t="s">
        <v>92</v>
      </c>
      <c r="AT77" s="5" t="str">
        <f>HYPERLINK("http://catalog.hathitrust.org/Record/007066465","HathiTrust Record")</f>
        <v>HathiTrust Record</v>
      </c>
      <c r="AU77" s="5" t="str">
        <f>HYPERLINK("https://creighton-primo.hosted.exlibrisgroup.com/primo-explore/search?tab=default_tab&amp;search_scope=EVERYTHING&amp;vid=01CRU&amp;lang=en_US&amp;offset=0&amp;query=any,contains,991001453979702656","Catalog Record")</f>
        <v>Catalog Record</v>
      </c>
      <c r="AV77" s="5" t="str">
        <f>HYPERLINK("http://www.worldcat.org/oclc/20671643","WorldCat Record")</f>
        <v>WorldCat Record</v>
      </c>
      <c r="AW77" s="2" t="s">
        <v>1123</v>
      </c>
      <c r="AX77" s="2" t="s">
        <v>1124</v>
      </c>
      <c r="AY77" s="2" t="s">
        <v>1125</v>
      </c>
      <c r="AZ77" s="2" t="s">
        <v>1125</v>
      </c>
      <c r="BA77" s="2" t="s">
        <v>1126</v>
      </c>
      <c r="BB77" s="2" t="s">
        <v>79</v>
      </c>
      <c r="BD77" s="2" t="s">
        <v>1127</v>
      </c>
      <c r="BE77" s="2" t="s">
        <v>1128</v>
      </c>
      <c r="BF77" s="2" t="s">
        <v>1129</v>
      </c>
    </row>
    <row r="78" spans="1:58" ht="46.5" customHeight="1">
      <c r="A78" s="1"/>
      <c r="B78" s="1" t="s">
        <v>58</v>
      </c>
      <c r="C78" s="1" t="s">
        <v>59</v>
      </c>
      <c r="D78" s="1" t="s">
        <v>1130</v>
      </c>
      <c r="E78" s="1" t="s">
        <v>1131</v>
      </c>
      <c r="F78" s="1" t="s">
        <v>1132</v>
      </c>
      <c r="H78" s="2" t="s">
        <v>63</v>
      </c>
      <c r="I78" s="2" t="s">
        <v>64</v>
      </c>
      <c r="J78" s="2" t="s">
        <v>63</v>
      </c>
      <c r="K78" s="2" t="s">
        <v>92</v>
      </c>
      <c r="L78" s="2" t="s">
        <v>65</v>
      </c>
      <c r="M78" s="1" t="s">
        <v>1133</v>
      </c>
      <c r="N78" s="1" t="s">
        <v>1134</v>
      </c>
      <c r="O78" s="2" t="s">
        <v>132</v>
      </c>
      <c r="P78" s="1" t="s">
        <v>157</v>
      </c>
      <c r="Q78" s="2" t="s">
        <v>70</v>
      </c>
      <c r="R78" s="2" t="s">
        <v>200</v>
      </c>
      <c r="T78" s="2" t="s">
        <v>72</v>
      </c>
      <c r="U78" s="3">
        <v>3</v>
      </c>
      <c r="V78" s="3">
        <v>3</v>
      </c>
      <c r="W78" s="4" t="s">
        <v>1135</v>
      </c>
      <c r="X78" s="4" t="s">
        <v>1135</v>
      </c>
      <c r="Y78" s="4" t="s">
        <v>1136</v>
      </c>
      <c r="Z78" s="4" t="s">
        <v>1136</v>
      </c>
      <c r="AA78" s="3">
        <v>15</v>
      </c>
      <c r="AB78" s="3">
        <v>14</v>
      </c>
      <c r="AC78" s="3">
        <v>205</v>
      </c>
      <c r="AD78" s="3">
        <v>1</v>
      </c>
      <c r="AE78" s="3">
        <v>1</v>
      </c>
      <c r="AF78" s="3">
        <v>0</v>
      </c>
      <c r="AG78" s="3">
        <v>5</v>
      </c>
      <c r="AH78" s="3">
        <v>0</v>
      </c>
      <c r="AI78" s="3">
        <v>2</v>
      </c>
      <c r="AJ78" s="3">
        <v>0</v>
      </c>
      <c r="AK78" s="3">
        <v>0</v>
      </c>
      <c r="AL78" s="3">
        <v>0</v>
      </c>
      <c r="AM78" s="3">
        <v>3</v>
      </c>
      <c r="AN78" s="3">
        <v>0</v>
      </c>
      <c r="AO78" s="3">
        <v>0</v>
      </c>
      <c r="AP78" s="3">
        <v>0</v>
      </c>
      <c r="AQ78" s="3">
        <v>0</v>
      </c>
      <c r="AR78" s="2" t="s">
        <v>63</v>
      </c>
      <c r="AS78" s="2" t="s">
        <v>63</v>
      </c>
      <c r="AU78" s="5" t="str">
        <f>HYPERLINK("https://creighton-primo.hosted.exlibrisgroup.com/primo-explore/search?tab=default_tab&amp;search_scope=EVERYTHING&amp;vid=01CRU&amp;lang=en_US&amp;offset=0&amp;query=any,contains,991001514239702656","Catalog Record")</f>
        <v>Catalog Record</v>
      </c>
      <c r="AV78" s="5" t="str">
        <f>HYPERLINK("http://www.worldcat.org/oclc/28034700","WorldCat Record")</f>
        <v>WorldCat Record</v>
      </c>
      <c r="AW78" s="2" t="s">
        <v>1137</v>
      </c>
      <c r="AX78" s="2" t="s">
        <v>1138</v>
      </c>
      <c r="AY78" s="2" t="s">
        <v>1139</v>
      </c>
      <c r="AZ78" s="2" t="s">
        <v>1139</v>
      </c>
      <c r="BA78" s="2" t="s">
        <v>1140</v>
      </c>
      <c r="BB78" s="2" t="s">
        <v>79</v>
      </c>
      <c r="BD78" s="2" t="s">
        <v>1141</v>
      </c>
      <c r="BE78" s="2" t="s">
        <v>1142</v>
      </c>
      <c r="BF78" s="2" t="s">
        <v>1143</v>
      </c>
    </row>
    <row r="79" spans="1:58" ht="46.5" customHeight="1">
      <c r="A79" s="1"/>
      <c r="B79" s="1" t="s">
        <v>58</v>
      </c>
      <c r="C79" s="1" t="s">
        <v>59</v>
      </c>
      <c r="D79" s="1" t="s">
        <v>1144</v>
      </c>
      <c r="E79" s="1" t="s">
        <v>1145</v>
      </c>
      <c r="F79" s="1" t="s">
        <v>1146</v>
      </c>
      <c r="H79" s="2" t="s">
        <v>63</v>
      </c>
      <c r="I79" s="2" t="s">
        <v>64</v>
      </c>
      <c r="J79" s="2" t="s">
        <v>63</v>
      </c>
      <c r="K79" s="2" t="s">
        <v>63</v>
      </c>
      <c r="L79" s="2" t="s">
        <v>65</v>
      </c>
      <c r="M79" s="1" t="s">
        <v>1147</v>
      </c>
      <c r="N79" s="1" t="s">
        <v>1148</v>
      </c>
      <c r="O79" s="2" t="s">
        <v>119</v>
      </c>
      <c r="Q79" s="2" t="s">
        <v>70</v>
      </c>
      <c r="R79" s="2" t="s">
        <v>89</v>
      </c>
      <c r="T79" s="2" t="s">
        <v>72</v>
      </c>
      <c r="U79" s="3">
        <v>8</v>
      </c>
      <c r="V79" s="3">
        <v>8</v>
      </c>
      <c r="W79" s="4" t="s">
        <v>1149</v>
      </c>
      <c r="X79" s="4" t="s">
        <v>1149</v>
      </c>
      <c r="Y79" s="4" t="s">
        <v>262</v>
      </c>
      <c r="Z79" s="4" t="s">
        <v>262</v>
      </c>
      <c r="AA79" s="3">
        <v>72</v>
      </c>
      <c r="AB79" s="3">
        <v>57</v>
      </c>
      <c r="AC79" s="3">
        <v>151</v>
      </c>
      <c r="AD79" s="3">
        <v>2</v>
      </c>
      <c r="AE79" s="3">
        <v>2</v>
      </c>
      <c r="AF79" s="3">
        <v>0</v>
      </c>
      <c r="AG79" s="3">
        <v>2</v>
      </c>
      <c r="AH79" s="3">
        <v>0</v>
      </c>
      <c r="AI79" s="3">
        <v>1</v>
      </c>
      <c r="AJ79" s="3">
        <v>0</v>
      </c>
      <c r="AK79" s="3">
        <v>1</v>
      </c>
      <c r="AL79" s="3">
        <v>0</v>
      </c>
      <c r="AM79" s="3">
        <v>1</v>
      </c>
      <c r="AN79" s="3">
        <v>0</v>
      </c>
      <c r="AO79" s="3">
        <v>0</v>
      </c>
      <c r="AP79" s="3">
        <v>0</v>
      </c>
      <c r="AQ79" s="3">
        <v>0</v>
      </c>
      <c r="AR79" s="2" t="s">
        <v>63</v>
      </c>
      <c r="AS79" s="2" t="s">
        <v>63</v>
      </c>
      <c r="AU79" s="5" t="str">
        <f>HYPERLINK("https://creighton-primo.hosted.exlibrisgroup.com/primo-explore/search?tab=default_tab&amp;search_scope=EVERYTHING&amp;vid=01CRU&amp;lang=en_US&amp;offset=0&amp;query=any,contains,991000747489702656","Catalog Record")</f>
        <v>Catalog Record</v>
      </c>
      <c r="AV79" s="5" t="str">
        <f>HYPERLINK("http://www.worldcat.org/oclc/7976904","WorldCat Record")</f>
        <v>WorldCat Record</v>
      </c>
      <c r="AW79" s="2" t="s">
        <v>1150</v>
      </c>
      <c r="AX79" s="2" t="s">
        <v>1151</v>
      </c>
      <c r="AY79" s="2" t="s">
        <v>1152</v>
      </c>
      <c r="AZ79" s="2" t="s">
        <v>1152</v>
      </c>
      <c r="BA79" s="2" t="s">
        <v>1153</v>
      </c>
      <c r="BB79" s="2" t="s">
        <v>79</v>
      </c>
      <c r="BD79" s="2" t="s">
        <v>1154</v>
      </c>
      <c r="BE79" s="2" t="s">
        <v>1155</v>
      </c>
      <c r="BF79" s="2" t="s">
        <v>1156</v>
      </c>
    </row>
    <row r="80" spans="1:58" ht="46.5" customHeight="1">
      <c r="A80" s="1"/>
      <c r="B80" s="1" t="s">
        <v>58</v>
      </c>
      <c r="C80" s="1" t="s">
        <v>59</v>
      </c>
      <c r="D80" s="1" t="s">
        <v>1157</v>
      </c>
      <c r="E80" s="1" t="s">
        <v>1158</v>
      </c>
      <c r="F80" s="1" t="s">
        <v>1159</v>
      </c>
      <c r="H80" s="2" t="s">
        <v>63</v>
      </c>
      <c r="I80" s="2" t="s">
        <v>64</v>
      </c>
      <c r="J80" s="2" t="s">
        <v>63</v>
      </c>
      <c r="K80" s="2" t="s">
        <v>63</v>
      </c>
      <c r="L80" s="2" t="s">
        <v>65</v>
      </c>
      <c r="N80" s="1" t="s">
        <v>1160</v>
      </c>
      <c r="O80" s="2" t="s">
        <v>292</v>
      </c>
      <c r="Q80" s="2" t="s">
        <v>70</v>
      </c>
      <c r="R80" s="2" t="s">
        <v>260</v>
      </c>
      <c r="T80" s="2" t="s">
        <v>72</v>
      </c>
      <c r="U80" s="3">
        <v>18</v>
      </c>
      <c r="V80" s="3">
        <v>18</v>
      </c>
      <c r="W80" s="4" t="s">
        <v>1161</v>
      </c>
      <c r="X80" s="4" t="s">
        <v>1161</v>
      </c>
      <c r="Y80" s="4" t="s">
        <v>1162</v>
      </c>
      <c r="Z80" s="4" t="s">
        <v>1162</v>
      </c>
      <c r="AA80" s="3">
        <v>19</v>
      </c>
      <c r="AB80" s="3">
        <v>18</v>
      </c>
      <c r="AC80" s="3">
        <v>32</v>
      </c>
      <c r="AD80" s="3">
        <v>1</v>
      </c>
      <c r="AE80" s="3">
        <v>1</v>
      </c>
      <c r="AF80" s="3">
        <v>2</v>
      </c>
      <c r="AG80" s="3">
        <v>2</v>
      </c>
      <c r="AH80" s="3">
        <v>1</v>
      </c>
      <c r="AI80" s="3">
        <v>1</v>
      </c>
      <c r="AJ80" s="3">
        <v>1</v>
      </c>
      <c r="AK80" s="3">
        <v>1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2" t="s">
        <v>63</v>
      </c>
      <c r="AS80" s="2" t="s">
        <v>63</v>
      </c>
      <c r="AU80" s="5" t="str">
        <f>HYPERLINK("https://creighton-primo.hosted.exlibrisgroup.com/primo-explore/search?tab=default_tab&amp;search_scope=EVERYTHING&amp;vid=01CRU&amp;lang=en_US&amp;offset=0&amp;query=any,contains,991001389909702656","Catalog Record")</f>
        <v>Catalog Record</v>
      </c>
      <c r="AV80" s="5" t="str">
        <f>HYPERLINK("http://www.worldcat.org/oclc/19020319","WorldCat Record")</f>
        <v>WorldCat Record</v>
      </c>
      <c r="AW80" s="2" t="s">
        <v>1163</v>
      </c>
      <c r="AX80" s="2" t="s">
        <v>1164</v>
      </c>
      <c r="AY80" s="2" t="s">
        <v>1165</v>
      </c>
      <c r="AZ80" s="2" t="s">
        <v>1165</v>
      </c>
      <c r="BA80" s="2" t="s">
        <v>1166</v>
      </c>
      <c r="BB80" s="2" t="s">
        <v>79</v>
      </c>
      <c r="BD80" s="2" t="s">
        <v>1167</v>
      </c>
      <c r="BE80" s="2" t="s">
        <v>1168</v>
      </c>
      <c r="BF80" s="2" t="s">
        <v>1169</v>
      </c>
    </row>
    <row r="81" spans="1:58" ht="46.5" customHeight="1">
      <c r="A81" s="1"/>
      <c r="B81" s="1" t="s">
        <v>58</v>
      </c>
      <c r="C81" s="1" t="s">
        <v>59</v>
      </c>
      <c r="D81" s="1" t="s">
        <v>1170</v>
      </c>
      <c r="E81" s="1" t="s">
        <v>1171</v>
      </c>
      <c r="F81" s="1" t="s">
        <v>1172</v>
      </c>
      <c r="H81" s="2" t="s">
        <v>63</v>
      </c>
      <c r="I81" s="2" t="s">
        <v>64</v>
      </c>
      <c r="J81" s="2" t="s">
        <v>63</v>
      </c>
      <c r="K81" s="2" t="s">
        <v>63</v>
      </c>
      <c r="L81" s="2" t="s">
        <v>65</v>
      </c>
      <c r="M81" s="1" t="s">
        <v>1173</v>
      </c>
      <c r="N81" s="1" t="s">
        <v>1174</v>
      </c>
      <c r="O81" s="2" t="s">
        <v>1175</v>
      </c>
      <c r="Q81" s="2" t="s">
        <v>70</v>
      </c>
      <c r="R81" s="2" t="s">
        <v>200</v>
      </c>
      <c r="T81" s="2" t="s">
        <v>72</v>
      </c>
      <c r="U81" s="3">
        <v>8</v>
      </c>
      <c r="V81" s="3">
        <v>8</v>
      </c>
      <c r="W81" s="4" t="s">
        <v>1176</v>
      </c>
      <c r="X81" s="4" t="s">
        <v>1176</v>
      </c>
      <c r="Y81" s="4" t="s">
        <v>262</v>
      </c>
      <c r="Z81" s="4" t="s">
        <v>262</v>
      </c>
      <c r="AA81" s="3">
        <v>5</v>
      </c>
      <c r="AB81" s="3">
        <v>5</v>
      </c>
      <c r="AC81" s="3">
        <v>15</v>
      </c>
      <c r="AD81" s="3">
        <v>1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2" t="s">
        <v>63</v>
      </c>
      <c r="AS81" s="2" t="s">
        <v>63</v>
      </c>
      <c r="AU81" s="5" t="str">
        <f>HYPERLINK("https://creighton-primo.hosted.exlibrisgroup.com/primo-explore/search?tab=default_tab&amp;search_scope=EVERYTHING&amp;vid=01CRU&amp;lang=en_US&amp;offset=0&amp;query=any,contains,991001548289702656","Catalog Record")</f>
        <v>Catalog Record</v>
      </c>
      <c r="AV81" s="5" t="str">
        <f>HYPERLINK("http://www.worldcat.org/oclc/8081381","WorldCat Record")</f>
        <v>WorldCat Record</v>
      </c>
      <c r="AW81" s="2" t="s">
        <v>1177</v>
      </c>
      <c r="AX81" s="2" t="s">
        <v>1178</v>
      </c>
      <c r="AY81" s="2" t="s">
        <v>1179</v>
      </c>
      <c r="AZ81" s="2" t="s">
        <v>1179</v>
      </c>
      <c r="BA81" s="2" t="s">
        <v>1180</v>
      </c>
      <c r="BB81" s="2" t="s">
        <v>79</v>
      </c>
      <c r="BE81" s="2" t="s">
        <v>1181</v>
      </c>
      <c r="BF81" s="2" t="s">
        <v>1182</v>
      </c>
    </row>
    <row r="82" spans="1:58" ht="46.5" customHeight="1">
      <c r="A82" s="1"/>
      <c r="B82" s="1" t="s">
        <v>58</v>
      </c>
      <c r="C82" s="1" t="s">
        <v>59</v>
      </c>
      <c r="D82" s="1" t="s">
        <v>1183</v>
      </c>
      <c r="E82" s="1" t="s">
        <v>1184</v>
      </c>
      <c r="F82" s="1" t="s">
        <v>1185</v>
      </c>
      <c r="H82" s="2" t="s">
        <v>63</v>
      </c>
      <c r="I82" s="2" t="s">
        <v>64</v>
      </c>
      <c r="J82" s="2" t="s">
        <v>63</v>
      </c>
      <c r="K82" s="2" t="s">
        <v>63</v>
      </c>
      <c r="L82" s="2" t="s">
        <v>65</v>
      </c>
      <c r="N82" s="1" t="s">
        <v>1186</v>
      </c>
      <c r="O82" s="2" t="s">
        <v>229</v>
      </c>
      <c r="P82" s="1" t="s">
        <v>157</v>
      </c>
      <c r="Q82" s="2" t="s">
        <v>70</v>
      </c>
      <c r="R82" s="2" t="s">
        <v>277</v>
      </c>
      <c r="T82" s="2" t="s">
        <v>72</v>
      </c>
      <c r="U82" s="3">
        <v>4</v>
      </c>
      <c r="V82" s="3">
        <v>4</v>
      </c>
      <c r="W82" s="4" t="s">
        <v>1187</v>
      </c>
      <c r="X82" s="4" t="s">
        <v>1187</v>
      </c>
      <c r="Y82" s="4" t="s">
        <v>1188</v>
      </c>
      <c r="Z82" s="4" t="s">
        <v>1188</v>
      </c>
      <c r="AA82" s="3">
        <v>51</v>
      </c>
      <c r="AB82" s="3">
        <v>35</v>
      </c>
      <c r="AC82" s="3">
        <v>38</v>
      </c>
      <c r="AD82" s="3">
        <v>1</v>
      </c>
      <c r="AE82" s="3">
        <v>1</v>
      </c>
      <c r="AF82" s="3">
        <v>2</v>
      </c>
      <c r="AG82" s="3">
        <v>2</v>
      </c>
      <c r="AH82" s="3">
        <v>1</v>
      </c>
      <c r="AI82" s="3">
        <v>1</v>
      </c>
      <c r="AJ82" s="3">
        <v>1</v>
      </c>
      <c r="AK82" s="3">
        <v>1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2" t="s">
        <v>63</v>
      </c>
      <c r="AS82" s="2" t="s">
        <v>92</v>
      </c>
      <c r="AT82" s="5" t="str">
        <f>HYPERLINK("http://catalog.hathitrust.org/Record/003968522","HathiTrust Record")</f>
        <v>HathiTrust Record</v>
      </c>
      <c r="AU82" s="5" t="str">
        <f>HYPERLINK("https://creighton-primo.hosted.exlibrisgroup.com/primo-explore/search?tab=default_tab&amp;search_scope=EVERYTHING&amp;vid=01CRU&amp;lang=en_US&amp;offset=0&amp;query=any,contains,991001294179702656","Catalog Record")</f>
        <v>Catalog Record</v>
      </c>
      <c r="AV82" s="5" t="str">
        <f>HYPERLINK("http://www.worldcat.org/oclc/37640422","WorldCat Record")</f>
        <v>WorldCat Record</v>
      </c>
      <c r="AW82" s="2" t="s">
        <v>1189</v>
      </c>
      <c r="AX82" s="2" t="s">
        <v>1190</v>
      </c>
      <c r="AY82" s="2" t="s">
        <v>1191</v>
      </c>
      <c r="AZ82" s="2" t="s">
        <v>1191</v>
      </c>
      <c r="BA82" s="2" t="s">
        <v>1192</v>
      </c>
      <c r="BB82" s="2" t="s">
        <v>79</v>
      </c>
      <c r="BD82" s="2" t="s">
        <v>1193</v>
      </c>
      <c r="BE82" s="2" t="s">
        <v>1194</v>
      </c>
      <c r="BF82" s="2" t="s">
        <v>1195</v>
      </c>
    </row>
    <row r="83" spans="1:58" ht="46.5" customHeight="1">
      <c r="A83" s="1"/>
      <c r="B83" s="1" t="s">
        <v>58</v>
      </c>
      <c r="C83" s="1" t="s">
        <v>59</v>
      </c>
      <c r="D83" s="1" t="s">
        <v>1196</v>
      </c>
      <c r="E83" s="1" t="s">
        <v>1197</v>
      </c>
      <c r="F83" s="1" t="s">
        <v>1198</v>
      </c>
      <c r="H83" s="2" t="s">
        <v>63</v>
      </c>
      <c r="I83" s="2" t="s">
        <v>64</v>
      </c>
      <c r="J83" s="2" t="s">
        <v>63</v>
      </c>
      <c r="K83" s="2" t="s">
        <v>63</v>
      </c>
      <c r="L83" s="2" t="s">
        <v>65</v>
      </c>
      <c r="M83" s="1" t="s">
        <v>1199</v>
      </c>
      <c r="N83" s="1" t="s">
        <v>1200</v>
      </c>
      <c r="O83" s="2" t="s">
        <v>1201</v>
      </c>
      <c r="Q83" s="2" t="s">
        <v>70</v>
      </c>
      <c r="R83" s="2" t="s">
        <v>691</v>
      </c>
      <c r="T83" s="2" t="s">
        <v>72</v>
      </c>
      <c r="U83" s="3">
        <v>6</v>
      </c>
      <c r="V83" s="3">
        <v>6</v>
      </c>
      <c r="W83" s="4" t="s">
        <v>1202</v>
      </c>
      <c r="X83" s="4" t="s">
        <v>1202</v>
      </c>
      <c r="Y83" s="4" t="s">
        <v>262</v>
      </c>
      <c r="Z83" s="4" t="s">
        <v>262</v>
      </c>
      <c r="AA83" s="3">
        <v>89</v>
      </c>
      <c r="AB83" s="3">
        <v>83</v>
      </c>
      <c r="AC83" s="3">
        <v>201</v>
      </c>
      <c r="AD83" s="3">
        <v>1</v>
      </c>
      <c r="AE83" s="3">
        <v>3</v>
      </c>
      <c r="AF83" s="3">
        <v>2</v>
      </c>
      <c r="AG83" s="3">
        <v>7</v>
      </c>
      <c r="AH83" s="3">
        <v>0</v>
      </c>
      <c r="AI83" s="3">
        <v>2</v>
      </c>
      <c r="AJ83" s="3">
        <v>0</v>
      </c>
      <c r="AK83" s="3">
        <v>1</v>
      </c>
      <c r="AL83" s="3">
        <v>2</v>
      </c>
      <c r="AM83" s="3">
        <v>5</v>
      </c>
      <c r="AN83" s="3">
        <v>0</v>
      </c>
      <c r="AO83" s="3">
        <v>1</v>
      </c>
      <c r="AP83" s="3">
        <v>0</v>
      </c>
      <c r="AQ83" s="3">
        <v>0</v>
      </c>
      <c r="AR83" s="2" t="s">
        <v>63</v>
      </c>
      <c r="AS83" s="2" t="s">
        <v>63</v>
      </c>
      <c r="AU83" s="5" t="str">
        <f>HYPERLINK("https://creighton-primo.hosted.exlibrisgroup.com/primo-explore/search?tab=default_tab&amp;search_scope=EVERYTHING&amp;vid=01CRU&amp;lang=en_US&amp;offset=0&amp;query=any,contains,991001548319702656","Catalog Record")</f>
        <v>Catalog Record</v>
      </c>
      <c r="AV83" s="5" t="str">
        <f>HYPERLINK("http://www.worldcat.org/oclc/4775092","WorldCat Record")</f>
        <v>WorldCat Record</v>
      </c>
      <c r="AW83" s="2" t="s">
        <v>1203</v>
      </c>
      <c r="AX83" s="2" t="s">
        <v>1204</v>
      </c>
      <c r="AY83" s="2" t="s">
        <v>1205</v>
      </c>
      <c r="AZ83" s="2" t="s">
        <v>1205</v>
      </c>
      <c r="BA83" s="2" t="s">
        <v>1206</v>
      </c>
      <c r="BB83" s="2" t="s">
        <v>79</v>
      </c>
      <c r="BD83" s="2" t="s">
        <v>1207</v>
      </c>
      <c r="BE83" s="2" t="s">
        <v>1208</v>
      </c>
      <c r="BF83" s="2" t="s">
        <v>1209</v>
      </c>
    </row>
    <row r="84" spans="1:58" ht="46.5" customHeight="1">
      <c r="A84" s="1"/>
      <c r="B84" s="1" t="s">
        <v>58</v>
      </c>
      <c r="C84" s="1" t="s">
        <v>59</v>
      </c>
      <c r="D84" s="1" t="s">
        <v>1210</v>
      </c>
      <c r="E84" s="1" t="s">
        <v>1211</v>
      </c>
      <c r="F84" s="1" t="s">
        <v>1212</v>
      </c>
      <c r="H84" s="2" t="s">
        <v>63</v>
      </c>
      <c r="I84" s="2" t="s">
        <v>64</v>
      </c>
      <c r="J84" s="2" t="s">
        <v>63</v>
      </c>
      <c r="K84" s="2" t="s">
        <v>63</v>
      </c>
      <c r="L84" s="2" t="s">
        <v>65</v>
      </c>
      <c r="M84" s="1" t="s">
        <v>1213</v>
      </c>
      <c r="N84" s="1" t="s">
        <v>1214</v>
      </c>
      <c r="O84" s="2" t="s">
        <v>1175</v>
      </c>
      <c r="P84" s="1" t="s">
        <v>69</v>
      </c>
      <c r="Q84" s="2" t="s">
        <v>70</v>
      </c>
      <c r="R84" s="2" t="s">
        <v>89</v>
      </c>
      <c r="S84" s="1" t="s">
        <v>1215</v>
      </c>
      <c r="T84" s="2" t="s">
        <v>72</v>
      </c>
      <c r="U84" s="3">
        <v>20</v>
      </c>
      <c r="V84" s="3">
        <v>20</v>
      </c>
      <c r="W84" s="4" t="s">
        <v>1216</v>
      </c>
      <c r="X84" s="4" t="s">
        <v>1216</v>
      </c>
      <c r="Y84" s="4" t="s">
        <v>74</v>
      </c>
      <c r="Z84" s="4" t="s">
        <v>74</v>
      </c>
      <c r="AA84" s="3">
        <v>40</v>
      </c>
      <c r="AB84" s="3">
        <v>19</v>
      </c>
      <c r="AC84" s="3">
        <v>230</v>
      </c>
      <c r="AD84" s="3">
        <v>1</v>
      </c>
      <c r="AE84" s="3">
        <v>2</v>
      </c>
      <c r="AF84" s="3">
        <v>0</v>
      </c>
      <c r="AG84" s="3">
        <v>7</v>
      </c>
      <c r="AH84" s="3">
        <v>0</v>
      </c>
      <c r="AI84" s="3">
        <v>5</v>
      </c>
      <c r="AJ84" s="3">
        <v>0</v>
      </c>
      <c r="AK84" s="3">
        <v>2</v>
      </c>
      <c r="AL84" s="3">
        <v>0</v>
      </c>
      <c r="AM84" s="3">
        <v>1</v>
      </c>
      <c r="AN84" s="3">
        <v>0</v>
      </c>
      <c r="AO84" s="3">
        <v>1</v>
      </c>
      <c r="AP84" s="3">
        <v>0</v>
      </c>
      <c r="AQ84" s="3">
        <v>0</v>
      </c>
      <c r="AR84" s="2" t="s">
        <v>63</v>
      </c>
      <c r="AS84" s="2" t="s">
        <v>63</v>
      </c>
      <c r="AU84" s="5" t="str">
        <f>HYPERLINK("https://creighton-primo.hosted.exlibrisgroup.com/primo-explore/search?tab=default_tab&amp;search_scope=EVERYTHING&amp;vid=01CRU&amp;lang=en_US&amp;offset=0&amp;query=any,contains,991000950279702656","Catalog Record")</f>
        <v>Catalog Record</v>
      </c>
      <c r="AV84" s="5" t="str">
        <f>HYPERLINK("http://www.worldcat.org/oclc/6707181","WorldCat Record")</f>
        <v>WorldCat Record</v>
      </c>
      <c r="AW84" s="2" t="s">
        <v>1217</v>
      </c>
      <c r="AX84" s="2" t="s">
        <v>1218</v>
      </c>
      <c r="AY84" s="2" t="s">
        <v>1219</v>
      </c>
      <c r="AZ84" s="2" t="s">
        <v>1219</v>
      </c>
      <c r="BA84" s="2" t="s">
        <v>1220</v>
      </c>
      <c r="BB84" s="2" t="s">
        <v>79</v>
      </c>
      <c r="BD84" s="2" t="s">
        <v>1221</v>
      </c>
      <c r="BE84" s="2" t="s">
        <v>1222</v>
      </c>
      <c r="BF84" s="2" t="s">
        <v>1223</v>
      </c>
    </row>
    <row r="85" spans="1:58" ht="46.5" customHeight="1">
      <c r="A85" s="1"/>
      <c r="B85" s="1" t="s">
        <v>58</v>
      </c>
      <c r="C85" s="1" t="s">
        <v>59</v>
      </c>
      <c r="D85" s="1" t="s">
        <v>1224</v>
      </c>
      <c r="E85" s="1" t="s">
        <v>1225</v>
      </c>
      <c r="F85" s="1" t="s">
        <v>1226</v>
      </c>
      <c r="H85" s="2" t="s">
        <v>63</v>
      </c>
      <c r="I85" s="2" t="s">
        <v>64</v>
      </c>
      <c r="J85" s="2" t="s">
        <v>63</v>
      </c>
      <c r="K85" s="2" t="s">
        <v>92</v>
      </c>
      <c r="L85" s="2" t="s">
        <v>65</v>
      </c>
      <c r="M85" s="1" t="s">
        <v>920</v>
      </c>
      <c r="N85" s="1" t="s">
        <v>1227</v>
      </c>
      <c r="O85" s="2" t="s">
        <v>440</v>
      </c>
      <c r="P85" s="1" t="s">
        <v>1228</v>
      </c>
      <c r="Q85" s="2" t="s">
        <v>70</v>
      </c>
      <c r="R85" s="2" t="s">
        <v>200</v>
      </c>
      <c r="T85" s="2" t="s">
        <v>72</v>
      </c>
      <c r="U85" s="3">
        <v>14</v>
      </c>
      <c r="V85" s="3">
        <v>14</v>
      </c>
      <c r="W85" s="4" t="s">
        <v>1229</v>
      </c>
      <c r="X85" s="4" t="s">
        <v>1229</v>
      </c>
      <c r="Y85" s="4" t="s">
        <v>1230</v>
      </c>
      <c r="Z85" s="4" t="s">
        <v>1230</v>
      </c>
      <c r="AA85" s="3">
        <v>229</v>
      </c>
      <c r="AB85" s="3">
        <v>191</v>
      </c>
      <c r="AC85" s="3">
        <v>614</v>
      </c>
      <c r="AD85" s="3">
        <v>3</v>
      </c>
      <c r="AE85" s="3">
        <v>3</v>
      </c>
      <c r="AF85" s="3">
        <v>6</v>
      </c>
      <c r="AG85" s="3">
        <v>15</v>
      </c>
      <c r="AH85" s="3">
        <v>1</v>
      </c>
      <c r="AI85" s="3">
        <v>7</v>
      </c>
      <c r="AJ85" s="3">
        <v>0</v>
      </c>
      <c r="AK85" s="3">
        <v>2</v>
      </c>
      <c r="AL85" s="3">
        <v>3</v>
      </c>
      <c r="AM85" s="3">
        <v>6</v>
      </c>
      <c r="AN85" s="3">
        <v>2</v>
      </c>
      <c r="AO85" s="3">
        <v>2</v>
      </c>
      <c r="AP85" s="3">
        <v>0</v>
      </c>
      <c r="AQ85" s="3">
        <v>0</v>
      </c>
      <c r="AR85" s="2" t="s">
        <v>63</v>
      </c>
      <c r="AS85" s="2" t="s">
        <v>92</v>
      </c>
      <c r="AT85" s="5" t="str">
        <f>HYPERLINK("http://catalog.hathitrust.org/Record/004350764","HathiTrust Record")</f>
        <v>HathiTrust Record</v>
      </c>
      <c r="AU85" s="5" t="str">
        <f>HYPERLINK("https://creighton-primo.hosted.exlibrisgroup.com/primo-explore/search?tab=default_tab&amp;search_scope=EVERYTHING&amp;vid=01CRU&amp;lang=en_US&amp;offset=0&amp;query=any,contains,991000404099702656","Catalog Record")</f>
        <v>Catalog Record</v>
      </c>
      <c r="AV85" s="5" t="str">
        <f>HYPERLINK("http://www.worldcat.org/oclc/54365391","WorldCat Record")</f>
        <v>WorldCat Record</v>
      </c>
      <c r="AW85" s="2" t="s">
        <v>1231</v>
      </c>
      <c r="AX85" s="2" t="s">
        <v>1232</v>
      </c>
      <c r="AY85" s="2" t="s">
        <v>1233</v>
      </c>
      <c r="AZ85" s="2" t="s">
        <v>1233</v>
      </c>
      <c r="BA85" s="2" t="s">
        <v>1234</v>
      </c>
      <c r="BB85" s="2" t="s">
        <v>79</v>
      </c>
      <c r="BD85" s="2" t="s">
        <v>1235</v>
      </c>
      <c r="BE85" s="2" t="s">
        <v>1236</v>
      </c>
      <c r="BF85" s="2" t="s">
        <v>1237</v>
      </c>
    </row>
    <row r="86" spans="1:58" ht="46.5" customHeight="1">
      <c r="A86" s="1"/>
      <c r="B86" s="1" t="s">
        <v>58</v>
      </c>
      <c r="C86" s="1" t="s">
        <v>59</v>
      </c>
      <c r="D86" s="1" t="s">
        <v>1238</v>
      </c>
      <c r="E86" s="1" t="s">
        <v>1239</v>
      </c>
      <c r="F86" s="1" t="s">
        <v>1226</v>
      </c>
      <c r="H86" s="2" t="s">
        <v>63</v>
      </c>
      <c r="I86" s="2" t="s">
        <v>64</v>
      </c>
      <c r="J86" s="2" t="s">
        <v>63</v>
      </c>
      <c r="K86" s="2" t="s">
        <v>92</v>
      </c>
      <c r="L86" s="2" t="s">
        <v>65</v>
      </c>
      <c r="M86" s="1" t="s">
        <v>920</v>
      </c>
      <c r="N86" s="1" t="s">
        <v>1240</v>
      </c>
      <c r="O86" s="2" t="s">
        <v>1241</v>
      </c>
      <c r="P86" s="1" t="s">
        <v>469</v>
      </c>
      <c r="Q86" s="2" t="s">
        <v>70</v>
      </c>
      <c r="R86" s="2" t="s">
        <v>200</v>
      </c>
      <c r="T86" s="2" t="s">
        <v>72</v>
      </c>
      <c r="U86" s="3">
        <v>1</v>
      </c>
      <c r="V86" s="3">
        <v>1</v>
      </c>
      <c r="W86" s="4" t="s">
        <v>1242</v>
      </c>
      <c r="X86" s="4" t="s">
        <v>1242</v>
      </c>
      <c r="Y86" s="4" t="s">
        <v>1243</v>
      </c>
      <c r="Z86" s="4" t="s">
        <v>1243</v>
      </c>
      <c r="AA86" s="3">
        <v>229</v>
      </c>
      <c r="AB86" s="3">
        <v>192</v>
      </c>
      <c r="AC86" s="3">
        <v>614</v>
      </c>
      <c r="AD86" s="3">
        <v>1</v>
      </c>
      <c r="AE86" s="3">
        <v>3</v>
      </c>
      <c r="AF86" s="3">
        <v>5</v>
      </c>
      <c r="AG86" s="3">
        <v>15</v>
      </c>
      <c r="AH86" s="3">
        <v>2</v>
      </c>
      <c r="AI86" s="3">
        <v>7</v>
      </c>
      <c r="AJ86" s="3">
        <v>1</v>
      </c>
      <c r="AK86" s="3">
        <v>2</v>
      </c>
      <c r="AL86" s="3">
        <v>3</v>
      </c>
      <c r="AM86" s="3">
        <v>6</v>
      </c>
      <c r="AN86" s="3">
        <v>0</v>
      </c>
      <c r="AO86" s="3">
        <v>2</v>
      </c>
      <c r="AP86" s="3">
        <v>0</v>
      </c>
      <c r="AQ86" s="3">
        <v>0</v>
      </c>
      <c r="AR86" s="2" t="s">
        <v>63</v>
      </c>
      <c r="AS86" s="2" t="s">
        <v>63</v>
      </c>
      <c r="AU86" s="5" t="str">
        <f>HYPERLINK("https://creighton-primo.hosted.exlibrisgroup.com/primo-explore/search?tab=default_tab&amp;search_scope=EVERYTHING&amp;vid=01CRU&amp;lang=en_US&amp;offset=0&amp;query=any,contains,991000910699702656","Catalog Record")</f>
        <v>Catalog Record</v>
      </c>
      <c r="AV86" s="5" t="str">
        <f>HYPERLINK("http://www.worldcat.org/oclc/154760414","WorldCat Record")</f>
        <v>WorldCat Record</v>
      </c>
      <c r="AW86" s="2" t="s">
        <v>1231</v>
      </c>
      <c r="AX86" s="2" t="s">
        <v>1244</v>
      </c>
      <c r="AY86" s="2" t="s">
        <v>1245</v>
      </c>
      <c r="AZ86" s="2" t="s">
        <v>1245</v>
      </c>
      <c r="BA86" s="2" t="s">
        <v>1246</v>
      </c>
      <c r="BB86" s="2" t="s">
        <v>79</v>
      </c>
      <c r="BD86" s="2" t="s">
        <v>1247</v>
      </c>
      <c r="BE86" s="2" t="s">
        <v>1248</v>
      </c>
      <c r="BF86" s="2" t="s">
        <v>1249</v>
      </c>
    </row>
    <row r="87" spans="1:58" ht="46.5" customHeight="1">
      <c r="A87" s="1"/>
      <c r="B87" s="1" t="s">
        <v>58</v>
      </c>
      <c r="C87" s="1" t="s">
        <v>59</v>
      </c>
      <c r="D87" s="1" t="s">
        <v>1250</v>
      </c>
      <c r="E87" s="1" t="s">
        <v>1251</v>
      </c>
      <c r="F87" s="1" t="s">
        <v>1252</v>
      </c>
      <c r="H87" s="2" t="s">
        <v>63</v>
      </c>
      <c r="I87" s="2" t="s">
        <v>64</v>
      </c>
      <c r="J87" s="2" t="s">
        <v>63</v>
      </c>
      <c r="K87" s="2" t="s">
        <v>63</v>
      </c>
      <c r="L87" s="2" t="s">
        <v>65</v>
      </c>
      <c r="N87" s="1" t="s">
        <v>1253</v>
      </c>
      <c r="O87" s="2" t="s">
        <v>1254</v>
      </c>
      <c r="P87" s="1" t="s">
        <v>230</v>
      </c>
      <c r="Q87" s="2" t="s">
        <v>70</v>
      </c>
      <c r="R87" s="2" t="s">
        <v>377</v>
      </c>
      <c r="T87" s="2" t="s">
        <v>72</v>
      </c>
      <c r="U87" s="3">
        <v>11</v>
      </c>
      <c r="V87" s="3">
        <v>11</v>
      </c>
      <c r="W87" s="4" t="s">
        <v>1255</v>
      </c>
      <c r="X87" s="4" t="s">
        <v>1255</v>
      </c>
      <c r="Y87" s="4" t="s">
        <v>1256</v>
      </c>
      <c r="Z87" s="4" t="s">
        <v>1256</v>
      </c>
      <c r="AA87" s="3">
        <v>88</v>
      </c>
      <c r="AB87" s="3">
        <v>48</v>
      </c>
      <c r="AC87" s="3">
        <v>48</v>
      </c>
      <c r="AD87" s="3">
        <v>1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2" t="s">
        <v>63</v>
      </c>
      <c r="AS87" s="2" t="s">
        <v>63</v>
      </c>
      <c r="AU87" s="5" t="str">
        <f>HYPERLINK("https://creighton-primo.hosted.exlibrisgroup.com/primo-explore/search?tab=default_tab&amp;search_scope=EVERYTHING&amp;vid=01CRU&amp;lang=en_US&amp;offset=0&amp;query=any,contains,991000365209702656","Catalog Record")</f>
        <v>Catalog Record</v>
      </c>
      <c r="AV87" s="5" t="str">
        <f>HYPERLINK("http://www.worldcat.org/oclc/46496670","WorldCat Record")</f>
        <v>WorldCat Record</v>
      </c>
      <c r="AW87" s="2" t="s">
        <v>1257</v>
      </c>
      <c r="AX87" s="2" t="s">
        <v>1258</v>
      </c>
      <c r="AY87" s="2" t="s">
        <v>1259</v>
      </c>
      <c r="AZ87" s="2" t="s">
        <v>1259</v>
      </c>
      <c r="BA87" s="2" t="s">
        <v>1260</v>
      </c>
      <c r="BB87" s="2" t="s">
        <v>79</v>
      </c>
      <c r="BD87" s="2" t="s">
        <v>1261</v>
      </c>
      <c r="BE87" s="2" t="s">
        <v>1262</v>
      </c>
      <c r="BF87" s="2" t="s">
        <v>1263</v>
      </c>
    </row>
    <row r="88" spans="1:58" ht="46.5" customHeight="1">
      <c r="A88" s="1"/>
      <c r="B88" s="1" t="s">
        <v>58</v>
      </c>
      <c r="C88" s="1" t="s">
        <v>59</v>
      </c>
      <c r="D88" s="1" t="s">
        <v>1264</v>
      </c>
      <c r="E88" s="1" t="s">
        <v>1265</v>
      </c>
      <c r="F88" s="1" t="s">
        <v>1266</v>
      </c>
      <c r="H88" s="2" t="s">
        <v>63</v>
      </c>
      <c r="I88" s="2" t="s">
        <v>64</v>
      </c>
      <c r="J88" s="2" t="s">
        <v>63</v>
      </c>
      <c r="K88" s="2" t="s">
        <v>63</v>
      </c>
      <c r="L88" s="2" t="s">
        <v>64</v>
      </c>
      <c r="M88" s="1" t="s">
        <v>974</v>
      </c>
      <c r="N88" s="1" t="s">
        <v>1267</v>
      </c>
      <c r="O88" s="2" t="s">
        <v>1268</v>
      </c>
      <c r="P88" s="1" t="s">
        <v>772</v>
      </c>
      <c r="Q88" s="2" t="s">
        <v>70</v>
      </c>
      <c r="R88" s="2" t="s">
        <v>277</v>
      </c>
      <c r="S88" s="1" t="s">
        <v>1269</v>
      </c>
      <c r="T88" s="2" t="s">
        <v>72</v>
      </c>
      <c r="U88" s="3">
        <v>2</v>
      </c>
      <c r="V88" s="3">
        <v>2</v>
      </c>
      <c r="W88" s="4" t="s">
        <v>1270</v>
      </c>
      <c r="X88" s="4" t="s">
        <v>1270</v>
      </c>
      <c r="Y88" s="4" t="s">
        <v>1271</v>
      </c>
      <c r="Z88" s="4" t="s">
        <v>1271</v>
      </c>
      <c r="AA88" s="3">
        <v>89</v>
      </c>
      <c r="AB88" s="3">
        <v>55</v>
      </c>
      <c r="AC88" s="3">
        <v>118</v>
      </c>
      <c r="AD88" s="3">
        <v>1</v>
      </c>
      <c r="AE88" s="3">
        <v>2</v>
      </c>
      <c r="AF88" s="3">
        <v>2</v>
      </c>
      <c r="AG88" s="3">
        <v>4</v>
      </c>
      <c r="AH88" s="3">
        <v>2</v>
      </c>
      <c r="AI88" s="3">
        <v>2</v>
      </c>
      <c r="AJ88" s="3">
        <v>0</v>
      </c>
      <c r="AK88" s="3">
        <v>1</v>
      </c>
      <c r="AL88" s="3">
        <v>1</v>
      </c>
      <c r="AM88" s="3">
        <v>1</v>
      </c>
      <c r="AN88" s="3">
        <v>0</v>
      </c>
      <c r="AO88" s="3">
        <v>1</v>
      </c>
      <c r="AP88" s="3">
        <v>0</v>
      </c>
      <c r="AQ88" s="3">
        <v>0</v>
      </c>
      <c r="AR88" s="2" t="s">
        <v>63</v>
      </c>
      <c r="AS88" s="2" t="s">
        <v>63</v>
      </c>
      <c r="AU88" s="5" t="str">
        <f>HYPERLINK("https://creighton-primo.hosted.exlibrisgroup.com/primo-explore/search?tab=default_tab&amp;search_scope=EVERYTHING&amp;vid=01CRU&amp;lang=en_US&amp;offset=0&amp;query=any,contains,991000907159702656","Catalog Record")</f>
        <v>Catalog Record</v>
      </c>
      <c r="AV88" s="5" t="str">
        <f>HYPERLINK("http://www.worldcat.org/oclc/73994383","WorldCat Record")</f>
        <v>WorldCat Record</v>
      </c>
      <c r="AW88" s="2" t="s">
        <v>1272</v>
      </c>
      <c r="AX88" s="2" t="s">
        <v>1273</v>
      </c>
      <c r="AY88" s="2" t="s">
        <v>1274</v>
      </c>
      <c r="AZ88" s="2" t="s">
        <v>1274</v>
      </c>
      <c r="BA88" s="2" t="s">
        <v>1275</v>
      </c>
      <c r="BB88" s="2" t="s">
        <v>79</v>
      </c>
      <c r="BD88" s="2" t="s">
        <v>1276</v>
      </c>
      <c r="BE88" s="2" t="s">
        <v>1277</v>
      </c>
      <c r="BF88" s="2" t="s">
        <v>1278</v>
      </c>
    </row>
    <row r="89" spans="1:58" ht="46.5" customHeight="1">
      <c r="A89" s="1"/>
      <c r="B89" s="1" t="s">
        <v>58</v>
      </c>
      <c r="C89" s="1" t="s">
        <v>59</v>
      </c>
      <c r="D89" s="1" t="s">
        <v>1279</v>
      </c>
      <c r="E89" s="1" t="s">
        <v>1280</v>
      </c>
      <c r="F89" s="1" t="s">
        <v>1281</v>
      </c>
      <c r="H89" s="2" t="s">
        <v>63</v>
      </c>
      <c r="I89" s="2" t="s">
        <v>64</v>
      </c>
      <c r="J89" s="2" t="s">
        <v>63</v>
      </c>
      <c r="K89" s="2" t="s">
        <v>63</v>
      </c>
      <c r="L89" s="2" t="s">
        <v>65</v>
      </c>
      <c r="N89" s="1" t="s">
        <v>1282</v>
      </c>
      <c r="O89" s="2" t="s">
        <v>454</v>
      </c>
      <c r="Q89" s="2" t="s">
        <v>70</v>
      </c>
      <c r="R89" s="2" t="s">
        <v>277</v>
      </c>
      <c r="T89" s="2" t="s">
        <v>72</v>
      </c>
      <c r="U89" s="3">
        <v>2</v>
      </c>
      <c r="V89" s="3">
        <v>2</v>
      </c>
      <c r="W89" s="4" t="s">
        <v>1283</v>
      </c>
      <c r="X89" s="4" t="s">
        <v>1283</v>
      </c>
      <c r="Y89" s="4" t="s">
        <v>1284</v>
      </c>
      <c r="Z89" s="4" t="s">
        <v>1284</v>
      </c>
      <c r="AA89" s="3">
        <v>99</v>
      </c>
      <c r="AB89" s="3">
        <v>90</v>
      </c>
      <c r="AC89" s="3">
        <v>584</v>
      </c>
      <c r="AD89" s="3">
        <v>1</v>
      </c>
      <c r="AE89" s="3">
        <v>21</v>
      </c>
      <c r="AF89" s="3">
        <v>1</v>
      </c>
      <c r="AG89" s="3">
        <v>14</v>
      </c>
      <c r="AH89" s="3">
        <v>1</v>
      </c>
      <c r="AI89" s="3">
        <v>4</v>
      </c>
      <c r="AJ89" s="3">
        <v>0</v>
      </c>
      <c r="AK89" s="3">
        <v>2</v>
      </c>
      <c r="AL89" s="3">
        <v>0</v>
      </c>
      <c r="AM89" s="3">
        <v>0</v>
      </c>
      <c r="AN89" s="3">
        <v>0</v>
      </c>
      <c r="AO89" s="3">
        <v>9</v>
      </c>
      <c r="AP89" s="3">
        <v>0</v>
      </c>
      <c r="AQ89" s="3">
        <v>0</v>
      </c>
      <c r="AR89" s="2" t="s">
        <v>63</v>
      </c>
      <c r="AS89" s="2" t="s">
        <v>63</v>
      </c>
      <c r="AU89" s="5" t="str">
        <f>HYPERLINK("https://creighton-primo.hosted.exlibrisgroup.com/primo-explore/search?tab=default_tab&amp;search_scope=EVERYTHING&amp;vid=01CRU&amp;lang=en_US&amp;offset=0&amp;query=any,contains,991001554389702656","Catalog Record")</f>
        <v>Catalog Record</v>
      </c>
      <c r="AV89" s="5" t="str">
        <f>HYPERLINK("http://www.worldcat.org/oclc/226279657","WorldCat Record")</f>
        <v>WorldCat Record</v>
      </c>
      <c r="AW89" s="2" t="s">
        <v>1285</v>
      </c>
      <c r="AX89" s="2" t="s">
        <v>1286</v>
      </c>
      <c r="AY89" s="2" t="s">
        <v>1287</v>
      </c>
      <c r="AZ89" s="2" t="s">
        <v>1287</v>
      </c>
      <c r="BA89" s="2" t="s">
        <v>1288</v>
      </c>
      <c r="BB89" s="2" t="s">
        <v>79</v>
      </c>
      <c r="BD89" s="2" t="s">
        <v>1289</v>
      </c>
      <c r="BE89" s="2" t="s">
        <v>1290</v>
      </c>
      <c r="BF89" s="2" t="s">
        <v>1291</v>
      </c>
    </row>
    <row r="90" spans="1:58" ht="46.5" customHeight="1">
      <c r="A90" s="1"/>
      <c r="B90" s="1" t="s">
        <v>58</v>
      </c>
      <c r="C90" s="1" t="s">
        <v>59</v>
      </c>
      <c r="D90" s="1" t="s">
        <v>1292</v>
      </c>
      <c r="E90" s="1" t="s">
        <v>1293</v>
      </c>
      <c r="F90" s="1" t="s">
        <v>1294</v>
      </c>
      <c r="H90" s="2" t="s">
        <v>63</v>
      </c>
      <c r="I90" s="2" t="s">
        <v>64</v>
      </c>
      <c r="J90" s="2" t="s">
        <v>63</v>
      </c>
      <c r="K90" s="2" t="s">
        <v>63</v>
      </c>
      <c r="L90" s="2" t="s">
        <v>65</v>
      </c>
      <c r="N90" s="1" t="s">
        <v>1295</v>
      </c>
      <c r="O90" s="2" t="s">
        <v>1296</v>
      </c>
      <c r="P90" s="1" t="s">
        <v>961</v>
      </c>
      <c r="Q90" s="2" t="s">
        <v>70</v>
      </c>
      <c r="R90" s="2" t="s">
        <v>277</v>
      </c>
      <c r="T90" s="2" t="s">
        <v>72</v>
      </c>
      <c r="U90" s="3">
        <v>1</v>
      </c>
      <c r="V90" s="3">
        <v>1</v>
      </c>
      <c r="W90" s="4" t="s">
        <v>1297</v>
      </c>
      <c r="X90" s="4" t="s">
        <v>1297</v>
      </c>
      <c r="Y90" s="4" t="s">
        <v>1298</v>
      </c>
      <c r="Z90" s="4" t="s">
        <v>1298</v>
      </c>
      <c r="AA90" s="3">
        <v>83</v>
      </c>
      <c r="AB90" s="3">
        <v>52</v>
      </c>
      <c r="AC90" s="3">
        <v>1124</v>
      </c>
      <c r="AD90" s="3">
        <v>1</v>
      </c>
      <c r="AE90" s="3">
        <v>27</v>
      </c>
      <c r="AF90" s="3">
        <v>2</v>
      </c>
      <c r="AG90" s="3">
        <v>33</v>
      </c>
      <c r="AH90" s="3">
        <v>0</v>
      </c>
      <c r="AI90" s="3">
        <v>9</v>
      </c>
      <c r="AJ90" s="3">
        <v>2</v>
      </c>
      <c r="AK90" s="3">
        <v>8</v>
      </c>
      <c r="AL90" s="3">
        <v>1</v>
      </c>
      <c r="AM90" s="3">
        <v>11</v>
      </c>
      <c r="AN90" s="3">
        <v>0</v>
      </c>
      <c r="AO90" s="3">
        <v>12</v>
      </c>
      <c r="AP90" s="3">
        <v>0</v>
      </c>
      <c r="AQ90" s="3">
        <v>0</v>
      </c>
      <c r="AR90" s="2" t="s">
        <v>63</v>
      </c>
      <c r="AS90" s="2" t="s">
        <v>63</v>
      </c>
      <c r="AU90" s="5" t="str">
        <f>HYPERLINK("https://creighton-primo.hosted.exlibrisgroup.com/primo-explore/search?tab=default_tab&amp;search_scope=EVERYTHING&amp;vid=01CRU&amp;lang=en_US&amp;offset=0&amp;query=any,contains,991000330449702656","Catalog Record")</f>
        <v>Catalog Record</v>
      </c>
      <c r="AV90" s="5" t="str">
        <f>HYPERLINK("http://www.worldcat.org/oclc/46970649","WorldCat Record")</f>
        <v>WorldCat Record</v>
      </c>
      <c r="AW90" s="2" t="s">
        <v>1299</v>
      </c>
      <c r="AX90" s="2" t="s">
        <v>1300</v>
      </c>
      <c r="AY90" s="2" t="s">
        <v>1301</v>
      </c>
      <c r="AZ90" s="2" t="s">
        <v>1301</v>
      </c>
      <c r="BA90" s="2" t="s">
        <v>1302</v>
      </c>
      <c r="BB90" s="2" t="s">
        <v>79</v>
      </c>
      <c r="BD90" s="2" t="s">
        <v>1303</v>
      </c>
      <c r="BE90" s="2" t="s">
        <v>1304</v>
      </c>
      <c r="BF90" s="2" t="s">
        <v>1305</v>
      </c>
    </row>
    <row r="91" spans="1:58" ht="46.5" customHeight="1">
      <c r="A91" s="1"/>
      <c r="B91" s="1" t="s">
        <v>58</v>
      </c>
      <c r="C91" s="1" t="s">
        <v>59</v>
      </c>
      <c r="D91" s="1" t="s">
        <v>1306</v>
      </c>
      <c r="E91" s="1" t="s">
        <v>1307</v>
      </c>
      <c r="F91" s="1" t="s">
        <v>1308</v>
      </c>
      <c r="H91" s="2" t="s">
        <v>63</v>
      </c>
      <c r="I91" s="2" t="s">
        <v>64</v>
      </c>
      <c r="J91" s="2" t="s">
        <v>63</v>
      </c>
      <c r="K91" s="2" t="s">
        <v>63</v>
      </c>
      <c r="L91" s="2" t="s">
        <v>65</v>
      </c>
      <c r="N91" s="1" t="s">
        <v>1309</v>
      </c>
      <c r="O91" s="2" t="s">
        <v>1254</v>
      </c>
      <c r="Q91" s="2" t="s">
        <v>70</v>
      </c>
      <c r="R91" s="2" t="s">
        <v>1310</v>
      </c>
      <c r="T91" s="2" t="s">
        <v>72</v>
      </c>
      <c r="U91" s="3">
        <v>23</v>
      </c>
      <c r="V91" s="3">
        <v>23</v>
      </c>
      <c r="W91" s="4" t="s">
        <v>1311</v>
      </c>
      <c r="X91" s="4" t="s">
        <v>1311</v>
      </c>
      <c r="Y91" s="4" t="s">
        <v>1312</v>
      </c>
      <c r="Z91" s="4" t="s">
        <v>1312</v>
      </c>
      <c r="AA91" s="3">
        <v>27</v>
      </c>
      <c r="AB91" s="3">
        <v>23</v>
      </c>
      <c r="AC91" s="3">
        <v>25</v>
      </c>
      <c r="AD91" s="3">
        <v>2</v>
      </c>
      <c r="AE91" s="3">
        <v>2</v>
      </c>
      <c r="AF91" s="3">
        <v>1</v>
      </c>
      <c r="AG91" s="3">
        <v>1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1</v>
      </c>
      <c r="AO91" s="3">
        <v>1</v>
      </c>
      <c r="AP91" s="3">
        <v>0</v>
      </c>
      <c r="AQ91" s="3">
        <v>0</v>
      </c>
      <c r="AR91" s="2" t="s">
        <v>63</v>
      </c>
      <c r="AS91" s="2" t="s">
        <v>92</v>
      </c>
      <c r="AT91" s="5" t="str">
        <f>HYPERLINK("http://catalog.hathitrust.org/Record/004238173","HathiTrust Record")</f>
        <v>HathiTrust Record</v>
      </c>
      <c r="AU91" s="5" t="str">
        <f>HYPERLINK("https://creighton-primo.hosted.exlibrisgroup.com/primo-explore/search?tab=default_tab&amp;search_scope=EVERYTHING&amp;vid=01CRU&amp;lang=en_US&amp;offset=0&amp;query=any,contains,991000293099702656","Catalog Record")</f>
        <v>Catalog Record</v>
      </c>
      <c r="AV91" s="5" t="str">
        <f>HYPERLINK("http://www.worldcat.org/oclc/48125059","WorldCat Record")</f>
        <v>WorldCat Record</v>
      </c>
      <c r="AW91" s="2" t="s">
        <v>1313</v>
      </c>
      <c r="AX91" s="2" t="s">
        <v>1314</v>
      </c>
      <c r="AY91" s="2" t="s">
        <v>1315</v>
      </c>
      <c r="AZ91" s="2" t="s">
        <v>1315</v>
      </c>
      <c r="BA91" s="2" t="s">
        <v>1316</v>
      </c>
      <c r="BB91" s="2" t="s">
        <v>79</v>
      </c>
      <c r="BD91" s="2" t="s">
        <v>1317</v>
      </c>
      <c r="BE91" s="2" t="s">
        <v>1318</v>
      </c>
      <c r="BF91" s="2" t="s">
        <v>1319</v>
      </c>
    </row>
    <row r="92" spans="1:58" ht="46.5" customHeight="1">
      <c r="A92" s="1"/>
      <c r="B92" s="1" t="s">
        <v>58</v>
      </c>
      <c r="C92" s="1" t="s">
        <v>59</v>
      </c>
      <c r="D92" s="1" t="s">
        <v>1320</v>
      </c>
      <c r="E92" s="1" t="s">
        <v>1321</v>
      </c>
      <c r="F92" s="1" t="s">
        <v>1322</v>
      </c>
      <c r="H92" s="2" t="s">
        <v>63</v>
      </c>
      <c r="I92" s="2" t="s">
        <v>64</v>
      </c>
      <c r="J92" s="2" t="s">
        <v>63</v>
      </c>
      <c r="K92" s="2" t="s">
        <v>63</v>
      </c>
      <c r="L92" s="2" t="s">
        <v>65</v>
      </c>
      <c r="M92" s="1" t="s">
        <v>1323</v>
      </c>
      <c r="N92" s="1" t="s">
        <v>1324</v>
      </c>
      <c r="O92" s="2" t="s">
        <v>814</v>
      </c>
      <c r="P92" s="1" t="s">
        <v>259</v>
      </c>
      <c r="Q92" s="2" t="s">
        <v>70</v>
      </c>
      <c r="R92" s="2" t="s">
        <v>277</v>
      </c>
      <c r="T92" s="2" t="s">
        <v>72</v>
      </c>
      <c r="U92" s="3">
        <v>6</v>
      </c>
      <c r="V92" s="3">
        <v>6</v>
      </c>
      <c r="W92" s="4" t="s">
        <v>1325</v>
      </c>
      <c r="X92" s="4" t="s">
        <v>1325</v>
      </c>
      <c r="Y92" s="4" t="s">
        <v>1326</v>
      </c>
      <c r="Z92" s="4" t="s">
        <v>1326</v>
      </c>
      <c r="AA92" s="3">
        <v>92</v>
      </c>
      <c r="AB92" s="3">
        <v>83</v>
      </c>
      <c r="AC92" s="3">
        <v>297</v>
      </c>
      <c r="AD92" s="3">
        <v>1</v>
      </c>
      <c r="AE92" s="3">
        <v>1</v>
      </c>
      <c r="AF92" s="3">
        <v>0</v>
      </c>
      <c r="AG92" s="3">
        <v>1</v>
      </c>
      <c r="AH92" s="3">
        <v>0</v>
      </c>
      <c r="AI92" s="3">
        <v>1</v>
      </c>
      <c r="AJ92" s="3">
        <v>0</v>
      </c>
      <c r="AK92" s="3">
        <v>0</v>
      </c>
      <c r="AL92" s="3">
        <v>0</v>
      </c>
      <c r="AM92" s="3">
        <v>1</v>
      </c>
      <c r="AN92" s="3">
        <v>0</v>
      </c>
      <c r="AO92" s="3">
        <v>0</v>
      </c>
      <c r="AP92" s="3">
        <v>0</v>
      </c>
      <c r="AQ92" s="3">
        <v>0</v>
      </c>
      <c r="AR92" s="2" t="s">
        <v>63</v>
      </c>
      <c r="AS92" s="2" t="s">
        <v>63</v>
      </c>
      <c r="AU92" s="5" t="str">
        <f>HYPERLINK("https://creighton-primo.hosted.exlibrisgroup.com/primo-explore/search?tab=default_tab&amp;search_scope=EVERYTHING&amp;vid=01CRU&amp;lang=en_US&amp;offset=0&amp;query=any,contains,991001549129702656","Catalog Record")</f>
        <v>Catalog Record</v>
      </c>
      <c r="AV92" s="5" t="str">
        <f>HYPERLINK("http://www.worldcat.org/oclc/39202451","WorldCat Record")</f>
        <v>WorldCat Record</v>
      </c>
      <c r="AW92" s="2" t="s">
        <v>1327</v>
      </c>
      <c r="AX92" s="2" t="s">
        <v>1328</v>
      </c>
      <c r="AY92" s="2" t="s">
        <v>1329</v>
      </c>
      <c r="AZ92" s="2" t="s">
        <v>1329</v>
      </c>
      <c r="BA92" s="2" t="s">
        <v>1330</v>
      </c>
      <c r="BB92" s="2" t="s">
        <v>79</v>
      </c>
      <c r="BD92" s="2" t="s">
        <v>1331</v>
      </c>
      <c r="BE92" s="2" t="s">
        <v>1332</v>
      </c>
      <c r="BF92" s="2" t="s">
        <v>1333</v>
      </c>
    </row>
    <row r="93" spans="1:58" ht="46.5" customHeight="1">
      <c r="A93" s="1"/>
      <c r="B93" s="1" t="s">
        <v>58</v>
      </c>
      <c r="C93" s="1" t="s">
        <v>59</v>
      </c>
      <c r="D93" s="1" t="s">
        <v>1334</v>
      </c>
      <c r="E93" s="1" t="s">
        <v>1335</v>
      </c>
      <c r="F93" s="1" t="s">
        <v>1336</v>
      </c>
      <c r="H93" s="2" t="s">
        <v>63</v>
      </c>
      <c r="I93" s="2" t="s">
        <v>64</v>
      </c>
      <c r="J93" s="2" t="s">
        <v>63</v>
      </c>
      <c r="K93" s="2" t="s">
        <v>63</v>
      </c>
      <c r="L93" s="2" t="s">
        <v>65</v>
      </c>
      <c r="M93" s="1" t="s">
        <v>1337</v>
      </c>
      <c r="N93" s="1" t="s">
        <v>1338</v>
      </c>
      <c r="O93" s="2" t="s">
        <v>132</v>
      </c>
      <c r="Q93" s="2" t="s">
        <v>70</v>
      </c>
      <c r="R93" s="2" t="s">
        <v>1339</v>
      </c>
      <c r="T93" s="2" t="s">
        <v>72</v>
      </c>
      <c r="U93" s="3">
        <v>2</v>
      </c>
      <c r="V93" s="3">
        <v>2</v>
      </c>
      <c r="W93" s="4" t="s">
        <v>1136</v>
      </c>
      <c r="X93" s="4" t="s">
        <v>1136</v>
      </c>
      <c r="Y93" s="4" t="s">
        <v>979</v>
      </c>
      <c r="Z93" s="4" t="s">
        <v>979</v>
      </c>
      <c r="AA93" s="3">
        <v>50</v>
      </c>
      <c r="AB93" s="3">
        <v>31</v>
      </c>
      <c r="AC93" s="3">
        <v>31</v>
      </c>
      <c r="AD93" s="3">
        <v>1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2" t="s">
        <v>63</v>
      </c>
      <c r="AS93" s="2" t="s">
        <v>63</v>
      </c>
      <c r="AU93" s="5" t="str">
        <f>HYPERLINK("https://creighton-primo.hosted.exlibrisgroup.com/primo-explore/search?tab=default_tab&amp;search_scope=EVERYTHING&amp;vid=01CRU&amp;lang=en_US&amp;offset=0&amp;query=any,contains,991001511439702656","Catalog Record")</f>
        <v>Catalog Record</v>
      </c>
      <c r="AV93" s="5" t="str">
        <f>HYPERLINK("http://www.worldcat.org/oclc/26638181","WorldCat Record")</f>
        <v>WorldCat Record</v>
      </c>
      <c r="AW93" s="2" t="s">
        <v>1340</v>
      </c>
      <c r="AX93" s="2" t="s">
        <v>1341</v>
      </c>
      <c r="AY93" s="2" t="s">
        <v>1342</v>
      </c>
      <c r="AZ93" s="2" t="s">
        <v>1342</v>
      </c>
      <c r="BA93" s="2" t="s">
        <v>1343</v>
      </c>
      <c r="BB93" s="2" t="s">
        <v>79</v>
      </c>
      <c r="BD93" s="2" t="s">
        <v>1344</v>
      </c>
      <c r="BE93" s="2" t="s">
        <v>1345</v>
      </c>
      <c r="BF93" s="2" t="s">
        <v>1346</v>
      </c>
    </row>
    <row r="94" spans="1:58" ht="46.5" customHeight="1">
      <c r="A94" s="1"/>
      <c r="B94" s="1" t="s">
        <v>58</v>
      </c>
      <c r="C94" s="1" t="s">
        <v>59</v>
      </c>
      <c r="D94" s="1" t="s">
        <v>1347</v>
      </c>
      <c r="E94" s="1" t="s">
        <v>1348</v>
      </c>
      <c r="F94" s="1" t="s">
        <v>1349</v>
      </c>
      <c r="H94" s="2" t="s">
        <v>63</v>
      </c>
      <c r="I94" s="2" t="s">
        <v>64</v>
      </c>
      <c r="J94" s="2" t="s">
        <v>63</v>
      </c>
      <c r="K94" s="2" t="s">
        <v>63</v>
      </c>
      <c r="L94" s="2" t="s">
        <v>65</v>
      </c>
      <c r="N94" s="1" t="s">
        <v>1350</v>
      </c>
      <c r="O94" s="2" t="s">
        <v>594</v>
      </c>
      <c r="Q94" s="2" t="s">
        <v>70</v>
      </c>
      <c r="R94" s="2" t="s">
        <v>322</v>
      </c>
      <c r="S94" s="1" t="s">
        <v>1351</v>
      </c>
      <c r="T94" s="2" t="s">
        <v>72</v>
      </c>
      <c r="U94" s="3">
        <v>4</v>
      </c>
      <c r="V94" s="3">
        <v>4</v>
      </c>
      <c r="W94" s="4" t="s">
        <v>1352</v>
      </c>
      <c r="X94" s="4" t="s">
        <v>1352</v>
      </c>
      <c r="Y94" s="4" t="s">
        <v>74</v>
      </c>
      <c r="Z94" s="4" t="s">
        <v>74</v>
      </c>
      <c r="AA94" s="3">
        <v>12</v>
      </c>
      <c r="AB94" s="3">
        <v>7</v>
      </c>
      <c r="AC94" s="3">
        <v>9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</v>
      </c>
      <c r="AQ94" s="3">
        <v>1</v>
      </c>
      <c r="AR94" s="2" t="s">
        <v>63</v>
      </c>
      <c r="AS94" s="2" t="s">
        <v>63</v>
      </c>
      <c r="AU94" s="5" t="str">
        <f>HYPERLINK("https://creighton-primo.hosted.exlibrisgroup.com/primo-explore/search?tab=default_tab&amp;search_scope=EVERYTHING&amp;vid=01CRU&amp;lang=en_US&amp;offset=0&amp;query=any,contains,991000950599702656","Catalog Record")</f>
        <v>Catalog Record</v>
      </c>
      <c r="AV94" s="5" t="str">
        <f>HYPERLINK("http://www.worldcat.org/oclc/5000869","WorldCat Record")</f>
        <v>WorldCat Record</v>
      </c>
      <c r="AW94" s="2" t="s">
        <v>1353</v>
      </c>
      <c r="AX94" s="2" t="s">
        <v>1354</v>
      </c>
      <c r="AY94" s="2" t="s">
        <v>1355</v>
      </c>
      <c r="AZ94" s="2" t="s">
        <v>1355</v>
      </c>
      <c r="BA94" s="2" t="s">
        <v>1356</v>
      </c>
      <c r="BB94" s="2" t="s">
        <v>79</v>
      </c>
      <c r="BE94" s="2" t="s">
        <v>1357</v>
      </c>
      <c r="BF94" s="2" t="s">
        <v>1358</v>
      </c>
    </row>
    <row r="95" spans="1:58" ht="46.5" customHeight="1">
      <c r="A95" s="1"/>
      <c r="B95" s="1" t="s">
        <v>58</v>
      </c>
      <c r="C95" s="1" t="s">
        <v>59</v>
      </c>
      <c r="D95" s="1" t="s">
        <v>1359</v>
      </c>
      <c r="E95" s="1" t="s">
        <v>1360</v>
      </c>
      <c r="F95" s="1" t="s">
        <v>1361</v>
      </c>
      <c r="H95" s="2" t="s">
        <v>63</v>
      </c>
      <c r="I95" s="2" t="s">
        <v>64</v>
      </c>
      <c r="J95" s="2" t="s">
        <v>63</v>
      </c>
      <c r="K95" s="2" t="s">
        <v>92</v>
      </c>
      <c r="L95" s="2" t="s">
        <v>65</v>
      </c>
      <c r="M95" s="1" t="s">
        <v>1362</v>
      </c>
      <c r="N95" s="1" t="s">
        <v>1363</v>
      </c>
      <c r="O95" s="2" t="s">
        <v>1296</v>
      </c>
      <c r="Q95" s="2" t="s">
        <v>70</v>
      </c>
      <c r="R95" s="2" t="s">
        <v>1364</v>
      </c>
      <c r="T95" s="2" t="s">
        <v>72</v>
      </c>
      <c r="U95" s="3">
        <v>22</v>
      </c>
      <c r="V95" s="3">
        <v>22</v>
      </c>
      <c r="W95" s="4" t="s">
        <v>962</v>
      </c>
      <c r="X95" s="4" t="s">
        <v>962</v>
      </c>
      <c r="Y95" s="4" t="s">
        <v>1365</v>
      </c>
      <c r="Z95" s="4" t="s">
        <v>1365</v>
      </c>
      <c r="AA95" s="3">
        <v>79</v>
      </c>
      <c r="AB95" s="3">
        <v>51</v>
      </c>
      <c r="AC95" s="3">
        <v>150</v>
      </c>
      <c r="AD95" s="3">
        <v>1</v>
      </c>
      <c r="AE95" s="3">
        <v>1</v>
      </c>
      <c r="AF95" s="3">
        <v>2</v>
      </c>
      <c r="AG95" s="3">
        <v>7</v>
      </c>
      <c r="AH95" s="3">
        <v>0</v>
      </c>
      <c r="AI95" s="3">
        <v>4</v>
      </c>
      <c r="AJ95" s="3">
        <v>2</v>
      </c>
      <c r="AK95" s="3">
        <v>2</v>
      </c>
      <c r="AL95" s="3">
        <v>0</v>
      </c>
      <c r="AM95" s="3">
        <v>2</v>
      </c>
      <c r="AN95" s="3">
        <v>0</v>
      </c>
      <c r="AO95" s="3">
        <v>0</v>
      </c>
      <c r="AP95" s="3">
        <v>0</v>
      </c>
      <c r="AQ95" s="3">
        <v>0</v>
      </c>
      <c r="AR95" s="2" t="s">
        <v>63</v>
      </c>
      <c r="AS95" s="2" t="s">
        <v>92</v>
      </c>
      <c r="AT95" s="5" t="str">
        <f>HYPERLINK("http://catalog.hathitrust.org/Record/004316695","HathiTrust Record")</f>
        <v>HathiTrust Record</v>
      </c>
      <c r="AU95" s="5" t="str">
        <f>HYPERLINK("https://creighton-primo.hosted.exlibrisgroup.com/primo-explore/search?tab=default_tab&amp;search_scope=EVERYTHING&amp;vid=01CRU&amp;lang=en_US&amp;offset=0&amp;query=any,contains,991000347439702656","Catalog Record")</f>
        <v>Catalog Record</v>
      </c>
      <c r="AV95" s="5" t="str">
        <f>HYPERLINK("http://www.worldcat.org/oclc/50639318","WorldCat Record")</f>
        <v>WorldCat Record</v>
      </c>
      <c r="AW95" s="2" t="s">
        <v>1366</v>
      </c>
      <c r="AX95" s="2" t="s">
        <v>1367</v>
      </c>
      <c r="AY95" s="2" t="s">
        <v>1368</v>
      </c>
      <c r="AZ95" s="2" t="s">
        <v>1368</v>
      </c>
      <c r="BA95" s="2" t="s">
        <v>1369</v>
      </c>
      <c r="BB95" s="2" t="s">
        <v>79</v>
      </c>
      <c r="BD95" s="2" t="s">
        <v>1370</v>
      </c>
      <c r="BE95" s="2" t="s">
        <v>1371</v>
      </c>
      <c r="BF95" s="2" t="s">
        <v>1372</v>
      </c>
    </row>
    <row r="96" spans="1:58" ht="46.5" customHeight="1">
      <c r="A96" s="1"/>
      <c r="B96" s="1" t="s">
        <v>58</v>
      </c>
      <c r="C96" s="1" t="s">
        <v>59</v>
      </c>
      <c r="D96" s="1" t="s">
        <v>1373</v>
      </c>
      <c r="E96" s="1" t="s">
        <v>1374</v>
      </c>
      <c r="F96" s="1" t="s">
        <v>1361</v>
      </c>
      <c r="H96" s="2" t="s">
        <v>63</v>
      </c>
      <c r="I96" s="2" t="s">
        <v>64</v>
      </c>
      <c r="J96" s="2" t="s">
        <v>63</v>
      </c>
      <c r="K96" s="2" t="s">
        <v>92</v>
      </c>
      <c r="L96" s="2" t="s">
        <v>65</v>
      </c>
      <c r="M96" s="1" t="s">
        <v>1362</v>
      </c>
      <c r="N96" s="1" t="s">
        <v>1375</v>
      </c>
      <c r="O96" s="2" t="s">
        <v>362</v>
      </c>
      <c r="P96" s="1" t="s">
        <v>157</v>
      </c>
      <c r="Q96" s="2" t="s">
        <v>70</v>
      </c>
      <c r="R96" s="2" t="s">
        <v>1364</v>
      </c>
      <c r="T96" s="2" t="s">
        <v>72</v>
      </c>
      <c r="U96" s="3">
        <v>37</v>
      </c>
      <c r="V96" s="3">
        <v>37</v>
      </c>
      <c r="W96" s="4" t="s">
        <v>1376</v>
      </c>
      <c r="X96" s="4" t="s">
        <v>1376</v>
      </c>
      <c r="Y96" s="4" t="s">
        <v>1377</v>
      </c>
      <c r="Z96" s="4" t="s">
        <v>1377</v>
      </c>
      <c r="AA96" s="3">
        <v>94</v>
      </c>
      <c r="AB96" s="3">
        <v>57</v>
      </c>
      <c r="AC96" s="3">
        <v>150</v>
      </c>
      <c r="AD96" s="3">
        <v>1</v>
      </c>
      <c r="AE96" s="3">
        <v>1</v>
      </c>
      <c r="AF96" s="3">
        <v>0</v>
      </c>
      <c r="AG96" s="3">
        <v>7</v>
      </c>
      <c r="AH96" s="3">
        <v>0</v>
      </c>
      <c r="AI96" s="3">
        <v>4</v>
      </c>
      <c r="AJ96" s="3">
        <v>0</v>
      </c>
      <c r="AK96" s="3">
        <v>2</v>
      </c>
      <c r="AL96" s="3">
        <v>0</v>
      </c>
      <c r="AM96" s="3">
        <v>2</v>
      </c>
      <c r="AN96" s="3">
        <v>0</v>
      </c>
      <c r="AO96" s="3">
        <v>0</v>
      </c>
      <c r="AP96" s="3">
        <v>0</v>
      </c>
      <c r="AQ96" s="3">
        <v>0</v>
      </c>
      <c r="AR96" s="2" t="s">
        <v>63</v>
      </c>
      <c r="AS96" s="2" t="s">
        <v>92</v>
      </c>
      <c r="AT96" s="5" t="str">
        <f>HYPERLINK("http://catalog.hathitrust.org/Record/005088001","HathiTrust Record")</f>
        <v>HathiTrust Record</v>
      </c>
      <c r="AU96" s="5" t="str">
        <f>HYPERLINK("https://creighton-primo.hosted.exlibrisgroup.com/primo-explore/search?tab=default_tab&amp;search_scope=EVERYTHING&amp;vid=01CRU&amp;lang=en_US&amp;offset=0&amp;query=any,contains,991000529869702656","Catalog Record")</f>
        <v>Catalog Record</v>
      </c>
      <c r="AV96" s="5" t="str">
        <f>HYPERLINK("http://www.worldcat.org/oclc/57514962","WorldCat Record")</f>
        <v>WorldCat Record</v>
      </c>
      <c r="AW96" s="2" t="s">
        <v>1366</v>
      </c>
      <c r="AX96" s="2" t="s">
        <v>1378</v>
      </c>
      <c r="AY96" s="2" t="s">
        <v>1379</v>
      </c>
      <c r="AZ96" s="2" t="s">
        <v>1379</v>
      </c>
      <c r="BA96" s="2" t="s">
        <v>1380</v>
      </c>
      <c r="BB96" s="2" t="s">
        <v>79</v>
      </c>
      <c r="BD96" s="2" t="s">
        <v>1381</v>
      </c>
      <c r="BE96" s="2" t="s">
        <v>1382</v>
      </c>
      <c r="BF96" s="2" t="s">
        <v>1383</v>
      </c>
    </row>
    <row r="97" spans="1:58" ht="46.5" customHeight="1">
      <c r="A97" s="1"/>
      <c r="B97" s="1" t="s">
        <v>58</v>
      </c>
      <c r="C97" s="1" t="s">
        <v>59</v>
      </c>
      <c r="D97" s="1" t="s">
        <v>1384</v>
      </c>
      <c r="E97" s="1" t="s">
        <v>1385</v>
      </c>
      <c r="F97" s="1" t="s">
        <v>1386</v>
      </c>
      <c r="H97" s="2" t="s">
        <v>63</v>
      </c>
      <c r="I97" s="2" t="s">
        <v>64</v>
      </c>
      <c r="J97" s="2" t="s">
        <v>63</v>
      </c>
      <c r="K97" s="2" t="s">
        <v>92</v>
      </c>
      <c r="L97" s="2" t="s">
        <v>65</v>
      </c>
      <c r="M97" s="1" t="s">
        <v>1387</v>
      </c>
      <c r="N97" s="1" t="s">
        <v>1388</v>
      </c>
      <c r="O97" s="2" t="s">
        <v>554</v>
      </c>
      <c r="Q97" s="2" t="s">
        <v>70</v>
      </c>
      <c r="R97" s="2" t="s">
        <v>1389</v>
      </c>
      <c r="T97" s="2" t="s">
        <v>72</v>
      </c>
      <c r="U97" s="3">
        <v>19</v>
      </c>
      <c r="V97" s="3">
        <v>19</v>
      </c>
      <c r="W97" s="4" t="s">
        <v>1390</v>
      </c>
      <c r="X97" s="4" t="s">
        <v>1390</v>
      </c>
      <c r="Y97" s="4" t="s">
        <v>1391</v>
      </c>
      <c r="Z97" s="4" t="s">
        <v>1391</v>
      </c>
      <c r="AA97" s="3">
        <v>51</v>
      </c>
      <c r="AB97" s="3">
        <v>38</v>
      </c>
      <c r="AC97" s="3">
        <v>88</v>
      </c>
      <c r="AD97" s="3">
        <v>1</v>
      </c>
      <c r="AE97" s="3">
        <v>1</v>
      </c>
      <c r="AF97" s="3">
        <v>2</v>
      </c>
      <c r="AG97" s="3">
        <v>5</v>
      </c>
      <c r="AH97" s="3">
        <v>1</v>
      </c>
      <c r="AI97" s="3">
        <v>4</v>
      </c>
      <c r="AJ97" s="3">
        <v>1</v>
      </c>
      <c r="AK97" s="3">
        <v>2</v>
      </c>
      <c r="AL97" s="3">
        <v>0</v>
      </c>
      <c r="AM97" s="3">
        <v>1</v>
      </c>
      <c r="AN97" s="3">
        <v>0</v>
      </c>
      <c r="AO97" s="3">
        <v>0</v>
      </c>
      <c r="AP97" s="3">
        <v>0</v>
      </c>
      <c r="AQ97" s="3">
        <v>0</v>
      </c>
      <c r="AR97" s="2" t="s">
        <v>63</v>
      </c>
      <c r="AS97" s="2" t="s">
        <v>92</v>
      </c>
      <c r="AT97" s="5" t="str">
        <f>HYPERLINK("http://catalog.hathitrust.org/Record/002985532","HathiTrust Record")</f>
        <v>HathiTrust Record</v>
      </c>
      <c r="AU97" s="5" t="str">
        <f>HYPERLINK("https://creighton-primo.hosted.exlibrisgroup.com/primo-explore/search?tab=default_tab&amp;search_scope=EVERYTHING&amp;vid=01CRU&amp;lang=en_US&amp;offset=0&amp;query=any,contains,991001403449702656","Catalog Record")</f>
        <v>Catalog Record</v>
      </c>
      <c r="AV97" s="5" t="str">
        <f>HYPERLINK("http://www.worldcat.org/oclc/31272352","WorldCat Record")</f>
        <v>WorldCat Record</v>
      </c>
      <c r="AW97" s="2" t="s">
        <v>1392</v>
      </c>
      <c r="AX97" s="2" t="s">
        <v>1393</v>
      </c>
      <c r="AY97" s="2" t="s">
        <v>1394</v>
      </c>
      <c r="AZ97" s="2" t="s">
        <v>1394</v>
      </c>
      <c r="BA97" s="2" t="s">
        <v>1395</v>
      </c>
      <c r="BB97" s="2" t="s">
        <v>79</v>
      </c>
      <c r="BD97" s="2" t="s">
        <v>1396</v>
      </c>
      <c r="BE97" s="2" t="s">
        <v>1397</v>
      </c>
      <c r="BF97" s="2" t="s">
        <v>1398</v>
      </c>
    </row>
    <row r="98" spans="1:58" ht="46.5" customHeight="1">
      <c r="A98" s="1"/>
      <c r="B98" s="1" t="s">
        <v>58</v>
      </c>
      <c r="C98" s="1" t="s">
        <v>59</v>
      </c>
      <c r="D98" s="1" t="s">
        <v>1399</v>
      </c>
      <c r="E98" s="1" t="s">
        <v>1400</v>
      </c>
      <c r="F98" s="1" t="s">
        <v>1401</v>
      </c>
      <c r="H98" s="2" t="s">
        <v>63</v>
      </c>
      <c r="I98" s="2" t="s">
        <v>64</v>
      </c>
      <c r="J98" s="2" t="s">
        <v>63</v>
      </c>
      <c r="K98" s="2" t="s">
        <v>63</v>
      </c>
      <c r="L98" s="2" t="s">
        <v>65</v>
      </c>
      <c r="M98" s="1" t="s">
        <v>1402</v>
      </c>
      <c r="N98" s="1" t="s">
        <v>1403</v>
      </c>
      <c r="O98" s="2" t="s">
        <v>1404</v>
      </c>
      <c r="Q98" s="2" t="s">
        <v>70</v>
      </c>
      <c r="R98" s="2" t="s">
        <v>691</v>
      </c>
      <c r="T98" s="2" t="s">
        <v>72</v>
      </c>
      <c r="U98" s="3">
        <v>2</v>
      </c>
      <c r="V98" s="3">
        <v>2</v>
      </c>
      <c r="W98" s="4" t="s">
        <v>705</v>
      </c>
      <c r="X98" s="4" t="s">
        <v>705</v>
      </c>
      <c r="Y98" s="4" t="s">
        <v>1405</v>
      </c>
      <c r="Z98" s="4" t="s">
        <v>1405</v>
      </c>
      <c r="AA98" s="3">
        <v>58</v>
      </c>
      <c r="AB98" s="3">
        <v>46</v>
      </c>
      <c r="AC98" s="3">
        <v>50</v>
      </c>
      <c r="AD98" s="3">
        <v>1</v>
      </c>
      <c r="AE98" s="3">
        <v>1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2" t="s">
        <v>63</v>
      </c>
      <c r="AS98" s="2" t="s">
        <v>63</v>
      </c>
      <c r="AT98" s="5" t="str">
        <f>HYPERLINK("http://catalog.hathitrust.org/Record/002075340","HathiTrust Record")</f>
        <v>HathiTrust Record</v>
      </c>
      <c r="AU98" s="5" t="str">
        <f>HYPERLINK("https://creighton-primo.hosted.exlibrisgroup.com/primo-explore/search?tab=default_tab&amp;search_scope=EVERYTHING&amp;vid=01CRU&amp;lang=en_US&amp;offset=0&amp;query=any,contains,991000950639702656","Catalog Record")</f>
        <v>Catalog Record</v>
      </c>
      <c r="AV98" s="5" t="str">
        <f>HYPERLINK("http://www.worldcat.org/oclc/14618687","WorldCat Record")</f>
        <v>WorldCat Record</v>
      </c>
      <c r="AW98" s="2" t="s">
        <v>1406</v>
      </c>
      <c r="AX98" s="2" t="s">
        <v>1407</v>
      </c>
      <c r="AY98" s="2" t="s">
        <v>1408</v>
      </c>
      <c r="AZ98" s="2" t="s">
        <v>1408</v>
      </c>
      <c r="BA98" s="2" t="s">
        <v>1409</v>
      </c>
      <c r="BB98" s="2" t="s">
        <v>79</v>
      </c>
      <c r="BE98" s="2" t="s">
        <v>1410</v>
      </c>
      <c r="BF98" s="2" t="s">
        <v>1411</v>
      </c>
    </row>
    <row r="99" spans="1:58" ht="46.5" customHeight="1">
      <c r="A99" s="1"/>
      <c r="B99" s="1" t="s">
        <v>58</v>
      </c>
      <c r="C99" s="1" t="s">
        <v>59</v>
      </c>
      <c r="D99" s="1" t="s">
        <v>1412</v>
      </c>
      <c r="E99" s="1" t="s">
        <v>1413</v>
      </c>
      <c r="F99" s="1" t="s">
        <v>1414</v>
      </c>
      <c r="H99" s="2" t="s">
        <v>63</v>
      </c>
      <c r="I99" s="2" t="s">
        <v>64</v>
      </c>
      <c r="J99" s="2" t="s">
        <v>63</v>
      </c>
      <c r="K99" s="2" t="s">
        <v>63</v>
      </c>
      <c r="L99" s="2" t="s">
        <v>65</v>
      </c>
      <c r="N99" s="1" t="s">
        <v>1415</v>
      </c>
      <c r="O99" s="2" t="s">
        <v>104</v>
      </c>
      <c r="Q99" s="2" t="s">
        <v>70</v>
      </c>
      <c r="R99" s="2" t="s">
        <v>1389</v>
      </c>
      <c r="S99" s="1" t="s">
        <v>1416</v>
      </c>
      <c r="T99" s="2" t="s">
        <v>72</v>
      </c>
      <c r="U99" s="3">
        <v>40</v>
      </c>
      <c r="V99" s="3">
        <v>40</v>
      </c>
      <c r="W99" s="4" t="s">
        <v>1417</v>
      </c>
      <c r="X99" s="4" t="s">
        <v>1417</v>
      </c>
      <c r="Y99" s="4" t="s">
        <v>262</v>
      </c>
      <c r="Z99" s="4" t="s">
        <v>262</v>
      </c>
      <c r="AA99" s="3">
        <v>65</v>
      </c>
      <c r="AB99" s="3">
        <v>55</v>
      </c>
      <c r="AC99" s="3">
        <v>66</v>
      </c>
      <c r="AD99" s="3">
        <v>0</v>
      </c>
      <c r="AE99" s="3">
        <v>1</v>
      </c>
      <c r="AF99" s="3">
        <v>3</v>
      </c>
      <c r="AG99" s="3">
        <v>5</v>
      </c>
      <c r="AH99" s="3">
        <v>1</v>
      </c>
      <c r="AI99" s="3">
        <v>1</v>
      </c>
      <c r="AJ99" s="3">
        <v>1</v>
      </c>
      <c r="AK99" s="3">
        <v>2</v>
      </c>
      <c r="AL99" s="3">
        <v>0</v>
      </c>
      <c r="AM99" s="3">
        <v>0</v>
      </c>
      <c r="AN99" s="3">
        <v>0</v>
      </c>
      <c r="AO99" s="3">
        <v>1</v>
      </c>
      <c r="AP99" s="3">
        <v>1</v>
      </c>
      <c r="AQ99" s="3">
        <v>1</v>
      </c>
      <c r="AR99" s="2" t="s">
        <v>92</v>
      </c>
      <c r="AS99" s="2" t="s">
        <v>92</v>
      </c>
      <c r="AT99" s="5" t="str">
        <f>HYPERLINK("http://catalog.hathitrust.org/Record/000615517","HathiTrust Record")</f>
        <v>HathiTrust Record</v>
      </c>
      <c r="AU99" s="5" t="str">
        <f>HYPERLINK("https://creighton-primo.hosted.exlibrisgroup.com/primo-explore/search?tab=default_tab&amp;search_scope=EVERYTHING&amp;vid=01CRU&amp;lang=en_US&amp;offset=0&amp;query=any,contains,991000222339702656","Catalog Record")</f>
        <v>Catalog Record</v>
      </c>
      <c r="AV99" s="5" t="str">
        <f>HYPERLINK("http://www.worldcat.org/oclc/21483167","WorldCat Record")</f>
        <v>WorldCat Record</v>
      </c>
      <c r="AW99" s="2" t="s">
        <v>1418</v>
      </c>
      <c r="AX99" s="2" t="s">
        <v>1419</v>
      </c>
      <c r="AY99" s="2" t="s">
        <v>1420</v>
      </c>
      <c r="AZ99" s="2" t="s">
        <v>1420</v>
      </c>
      <c r="BA99" s="2" t="s">
        <v>1421</v>
      </c>
      <c r="BB99" s="2" t="s">
        <v>79</v>
      </c>
      <c r="BD99" s="2" t="s">
        <v>1422</v>
      </c>
      <c r="BE99" s="2" t="s">
        <v>1423</v>
      </c>
      <c r="BF99" s="2" t="s">
        <v>1424</v>
      </c>
    </row>
    <row r="100" spans="1:58" ht="46.5" customHeight="1">
      <c r="A100" s="1"/>
      <c r="B100" s="1" t="s">
        <v>58</v>
      </c>
      <c r="C100" s="1" t="s">
        <v>59</v>
      </c>
      <c r="D100" s="1" t="s">
        <v>1425</v>
      </c>
      <c r="E100" s="1" t="s">
        <v>1426</v>
      </c>
      <c r="F100" s="1" t="s">
        <v>1427</v>
      </c>
      <c r="H100" s="2" t="s">
        <v>63</v>
      </c>
      <c r="I100" s="2" t="s">
        <v>64</v>
      </c>
      <c r="J100" s="2" t="s">
        <v>63</v>
      </c>
      <c r="K100" s="2" t="s">
        <v>63</v>
      </c>
      <c r="L100" s="2" t="s">
        <v>64</v>
      </c>
      <c r="M100" s="1" t="s">
        <v>1428</v>
      </c>
      <c r="N100" s="1" t="s">
        <v>1429</v>
      </c>
      <c r="O100" s="2" t="s">
        <v>484</v>
      </c>
      <c r="P100" s="1" t="s">
        <v>157</v>
      </c>
      <c r="Q100" s="2" t="s">
        <v>70</v>
      </c>
      <c r="R100" s="2" t="s">
        <v>277</v>
      </c>
      <c r="T100" s="2" t="s">
        <v>72</v>
      </c>
      <c r="U100" s="3">
        <v>1</v>
      </c>
      <c r="V100" s="3">
        <v>1</v>
      </c>
      <c r="W100" s="4" t="s">
        <v>1430</v>
      </c>
      <c r="X100" s="4" t="s">
        <v>1430</v>
      </c>
      <c r="Y100" s="4" t="s">
        <v>1431</v>
      </c>
      <c r="Z100" s="4" t="s">
        <v>1431</v>
      </c>
      <c r="AA100" s="3">
        <v>128</v>
      </c>
      <c r="AB100" s="3">
        <v>78</v>
      </c>
      <c r="AC100" s="3">
        <v>178</v>
      </c>
      <c r="AD100" s="3">
        <v>1</v>
      </c>
      <c r="AE100" s="3">
        <v>2</v>
      </c>
      <c r="AF100" s="3">
        <v>2</v>
      </c>
      <c r="AG100" s="3">
        <v>9</v>
      </c>
      <c r="AH100" s="3">
        <v>1</v>
      </c>
      <c r="AI100" s="3">
        <v>6</v>
      </c>
      <c r="AJ100" s="3">
        <v>1</v>
      </c>
      <c r="AK100" s="3">
        <v>2</v>
      </c>
      <c r="AL100" s="3">
        <v>0</v>
      </c>
      <c r="AM100" s="3">
        <v>2</v>
      </c>
      <c r="AN100" s="3">
        <v>0</v>
      </c>
      <c r="AO100" s="3">
        <v>1</v>
      </c>
      <c r="AP100" s="3">
        <v>0</v>
      </c>
      <c r="AQ100" s="3">
        <v>0</v>
      </c>
      <c r="AR100" s="2" t="s">
        <v>63</v>
      </c>
      <c r="AS100" s="2" t="s">
        <v>92</v>
      </c>
      <c r="AT100" s="5" t="str">
        <f>HYPERLINK("http://catalog.hathitrust.org/Record/004735061","HathiTrust Record")</f>
        <v>HathiTrust Record</v>
      </c>
      <c r="AU100" s="5" t="str">
        <f>HYPERLINK("https://creighton-primo.hosted.exlibrisgroup.com/primo-explore/search?tab=default_tab&amp;search_scope=EVERYTHING&amp;vid=01CRU&amp;lang=en_US&amp;offset=0&amp;query=any,contains,991000411289702656","Catalog Record")</f>
        <v>Catalog Record</v>
      </c>
      <c r="AV100" s="5" t="str">
        <f>HYPERLINK("http://www.worldcat.org/oclc/53286287","WorldCat Record")</f>
        <v>WorldCat Record</v>
      </c>
      <c r="AW100" s="2" t="s">
        <v>1432</v>
      </c>
      <c r="AX100" s="2" t="s">
        <v>1433</v>
      </c>
      <c r="AY100" s="2" t="s">
        <v>1434</v>
      </c>
      <c r="AZ100" s="2" t="s">
        <v>1434</v>
      </c>
      <c r="BA100" s="2" t="s">
        <v>1435</v>
      </c>
      <c r="BB100" s="2" t="s">
        <v>79</v>
      </c>
      <c r="BD100" s="2" t="s">
        <v>1436</v>
      </c>
      <c r="BE100" s="2" t="s">
        <v>1437</v>
      </c>
      <c r="BF100" s="2" t="s">
        <v>1438</v>
      </c>
    </row>
    <row r="101" spans="1:58" ht="46.5" customHeight="1">
      <c r="A101" s="1"/>
      <c r="B101" s="1" t="s">
        <v>58</v>
      </c>
      <c r="C101" s="1" t="s">
        <v>59</v>
      </c>
      <c r="D101" s="1" t="s">
        <v>1439</v>
      </c>
      <c r="E101" s="1" t="s">
        <v>1440</v>
      </c>
      <c r="F101" s="1" t="s">
        <v>1441</v>
      </c>
      <c r="H101" s="2" t="s">
        <v>63</v>
      </c>
      <c r="I101" s="2" t="s">
        <v>64</v>
      </c>
      <c r="J101" s="2" t="s">
        <v>63</v>
      </c>
      <c r="K101" s="2" t="s">
        <v>92</v>
      </c>
      <c r="L101" s="2" t="s">
        <v>65</v>
      </c>
      <c r="N101" s="1" t="s">
        <v>1442</v>
      </c>
      <c r="O101" s="2" t="s">
        <v>423</v>
      </c>
      <c r="P101" s="1" t="s">
        <v>157</v>
      </c>
      <c r="Q101" s="2" t="s">
        <v>70</v>
      </c>
      <c r="R101" s="2" t="s">
        <v>89</v>
      </c>
      <c r="T101" s="2" t="s">
        <v>72</v>
      </c>
      <c r="U101" s="3">
        <v>22</v>
      </c>
      <c r="V101" s="3">
        <v>22</v>
      </c>
      <c r="W101" s="4" t="s">
        <v>1417</v>
      </c>
      <c r="X101" s="4" t="s">
        <v>1417</v>
      </c>
      <c r="Y101" s="4" t="s">
        <v>1443</v>
      </c>
      <c r="Z101" s="4" t="s">
        <v>1443</v>
      </c>
      <c r="AA101" s="3">
        <v>62</v>
      </c>
      <c r="AB101" s="3">
        <v>39</v>
      </c>
      <c r="AC101" s="3">
        <v>221</v>
      </c>
      <c r="AD101" s="3">
        <v>1</v>
      </c>
      <c r="AE101" s="3">
        <v>2</v>
      </c>
      <c r="AF101" s="3">
        <v>1</v>
      </c>
      <c r="AG101" s="3">
        <v>9</v>
      </c>
      <c r="AH101" s="3">
        <v>1</v>
      </c>
      <c r="AI101" s="3">
        <v>6</v>
      </c>
      <c r="AJ101" s="3">
        <v>0</v>
      </c>
      <c r="AK101" s="3">
        <v>3</v>
      </c>
      <c r="AL101" s="3">
        <v>0</v>
      </c>
      <c r="AM101" s="3">
        <v>1</v>
      </c>
      <c r="AN101" s="3">
        <v>0</v>
      </c>
      <c r="AO101" s="3">
        <v>1</v>
      </c>
      <c r="AP101" s="3">
        <v>0</v>
      </c>
      <c r="AQ101" s="3">
        <v>0</v>
      </c>
      <c r="AR101" s="2" t="s">
        <v>63</v>
      </c>
      <c r="AS101" s="2" t="s">
        <v>92</v>
      </c>
      <c r="AT101" s="5" t="str">
        <f>HYPERLINK("http://catalog.hathitrust.org/Record/001817904","HathiTrust Record")</f>
        <v>HathiTrust Record</v>
      </c>
      <c r="AU101" s="5" t="str">
        <f>HYPERLINK("https://creighton-primo.hosted.exlibrisgroup.com/primo-explore/search?tab=default_tab&amp;search_scope=EVERYTHING&amp;vid=01CRU&amp;lang=en_US&amp;offset=0&amp;query=any,contains,991001312779702656","Catalog Record")</f>
        <v>Catalog Record</v>
      </c>
      <c r="AV101" s="5" t="str">
        <f>HYPERLINK("http://www.worldcat.org/oclc/19723746","WorldCat Record")</f>
        <v>WorldCat Record</v>
      </c>
      <c r="AW101" s="2" t="s">
        <v>1444</v>
      </c>
      <c r="AX101" s="2" t="s">
        <v>1445</v>
      </c>
      <c r="AY101" s="2" t="s">
        <v>1446</v>
      </c>
      <c r="AZ101" s="2" t="s">
        <v>1446</v>
      </c>
      <c r="BA101" s="2" t="s">
        <v>1447</v>
      </c>
      <c r="BB101" s="2" t="s">
        <v>79</v>
      </c>
      <c r="BD101" s="2" t="s">
        <v>1448</v>
      </c>
      <c r="BE101" s="2" t="s">
        <v>1449</v>
      </c>
      <c r="BF101" s="2" t="s">
        <v>1450</v>
      </c>
    </row>
    <row r="102" spans="1:58" ht="46.5" customHeight="1">
      <c r="A102" s="1"/>
      <c r="B102" s="1" t="s">
        <v>58</v>
      </c>
      <c r="C102" s="1" t="s">
        <v>59</v>
      </c>
      <c r="D102" s="1" t="s">
        <v>1451</v>
      </c>
      <c r="E102" s="1" t="s">
        <v>1452</v>
      </c>
      <c r="F102" s="1" t="s">
        <v>1441</v>
      </c>
      <c r="H102" s="2" t="s">
        <v>63</v>
      </c>
      <c r="I102" s="2" t="s">
        <v>64</v>
      </c>
      <c r="J102" s="2" t="s">
        <v>63</v>
      </c>
      <c r="K102" s="2" t="s">
        <v>92</v>
      </c>
      <c r="L102" s="2" t="s">
        <v>65</v>
      </c>
      <c r="N102" s="1" t="s">
        <v>1453</v>
      </c>
      <c r="O102" s="2" t="s">
        <v>554</v>
      </c>
      <c r="P102" s="1" t="s">
        <v>259</v>
      </c>
      <c r="Q102" s="2" t="s">
        <v>70</v>
      </c>
      <c r="R102" s="2" t="s">
        <v>260</v>
      </c>
      <c r="T102" s="2" t="s">
        <v>72</v>
      </c>
      <c r="U102" s="3">
        <v>49</v>
      </c>
      <c r="V102" s="3">
        <v>49</v>
      </c>
      <c r="W102" s="4" t="s">
        <v>1454</v>
      </c>
      <c r="X102" s="4" t="s">
        <v>1454</v>
      </c>
      <c r="Y102" s="4" t="s">
        <v>557</v>
      </c>
      <c r="Z102" s="4" t="s">
        <v>557</v>
      </c>
      <c r="AA102" s="3">
        <v>66</v>
      </c>
      <c r="AB102" s="3">
        <v>44</v>
      </c>
      <c r="AC102" s="3">
        <v>221</v>
      </c>
      <c r="AD102" s="3">
        <v>1</v>
      </c>
      <c r="AE102" s="3">
        <v>2</v>
      </c>
      <c r="AF102" s="3">
        <v>2</v>
      </c>
      <c r="AG102" s="3">
        <v>9</v>
      </c>
      <c r="AH102" s="3">
        <v>1</v>
      </c>
      <c r="AI102" s="3">
        <v>6</v>
      </c>
      <c r="AJ102" s="3">
        <v>1</v>
      </c>
      <c r="AK102" s="3">
        <v>3</v>
      </c>
      <c r="AL102" s="3">
        <v>0</v>
      </c>
      <c r="AM102" s="3">
        <v>1</v>
      </c>
      <c r="AN102" s="3">
        <v>0</v>
      </c>
      <c r="AO102" s="3">
        <v>1</v>
      </c>
      <c r="AP102" s="3">
        <v>0</v>
      </c>
      <c r="AQ102" s="3">
        <v>0</v>
      </c>
      <c r="AR102" s="2" t="s">
        <v>63</v>
      </c>
      <c r="AS102" s="2" t="s">
        <v>92</v>
      </c>
      <c r="AT102" s="5" t="str">
        <f>HYPERLINK("http://catalog.hathitrust.org/Record/002753628","HathiTrust Record")</f>
        <v>HathiTrust Record</v>
      </c>
      <c r="AU102" s="5" t="str">
        <f>HYPERLINK("https://creighton-primo.hosted.exlibrisgroup.com/primo-explore/search?tab=default_tab&amp;search_scope=EVERYTHING&amp;vid=01CRU&amp;lang=en_US&amp;offset=0&amp;query=any,contains,991000501689702656","Catalog Record")</f>
        <v>Catalog Record</v>
      </c>
      <c r="AV102" s="5" t="str">
        <f>HYPERLINK("http://www.worldcat.org/oclc/28673250","WorldCat Record")</f>
        <v>WorldCat Record</v>
      </c>
      <c r="AW102" s="2" t="s">
        <v>1444</v>
      </c>
      <c r="AX102" s="2" t="s">
        <v>1455</v>
      </c>
      <c r="AY102" s="2" t="s">
        <v>1456</v>
      </c>
      <c r="AZ102" s="2" t="s">
        <v>1456</v>
      </c>
      <c r="BA102" s="2" t="s">
        <v>1457</v>
      </c>
      <c r="BB102" s="2" t="s">
        <v>79</v>
      </c>
      <c r="BD102" s="2" t="s">
        <v>1458</v>
      </c>
      <c r="BE102" s="2" t="s">
        <v>1459</v>
      </c>
      <c r="BF102" s="2" t="s">
        <v>1460</v>
      </c>
    </row>
    <row r="103" spans="1:58" ht="46.5" customHeight="1">
      <c r="A103" s="1"/>
      <c r="B103" s="1" t="s">
        <v>58</v>
      </c>
      <c r="C103" s="1" t="s">
        <v>59</v>
      </c>
      <c r="D103" s="1" t="s">
        <v>1461</v>
      </c>
      <c r="E103" s="1" t="s">
        <v>1462</v>
      </c>
      <c r="F103" s="1" t="s">
        <v>1463</v>
      </c>
      <c r="H103" s="2" t="s">
        <v>63</v>
      </c>
      <c r="I103" s="2" t="s">
        <v>64</v>
      </c>
      <c r="J103" s="2" t="s">
        <v>63</v>
      </c>
      <c r="K103" s="2" t="s">
        <v>63</v>
      </c>
      <c r="L103" s="2" t="s">
        <v>65</v>
      </c>
      <c r="M103" s="1" t="s">
        <v>1464</v>
      </c>
      <c r="N103" s="1" t="s">
        <v>1465</v>
      </c>
      <c r="O103" s="2" t="s">
        <v>1404</v>
      </c>
      <c r="Q103" s="2" t="s">
        <v>70</v>
      </c>
      <c r="R103" s="2" t="s">
        <v>260</v>
      </c>
      <c r="T103" s="2" t="s">
        <v>72</v>
      </c>
      <c r="U103" s="3">
        <v>5</v>
      </c>
      <c r="V103" s="3">
        <v>5</v>
      </c>
      <c r="W103" s="4" t="s">
        <v>705</v>
      </c>
      <c r="X103" s="4" t="s">
        <v>705</v>
      </c>
      <c r="Y103" s="4" t="s">
        <v>1405</v>
      </c>
      <c r="Z103" s="4" t="s">
        <v>1405</v>
      </c>
      <c r="AA103" s="3">
        <v>57</v>
      </c>
      <c r="AB103" s="3">
        <v>48</v>
      </c>
      <c r="AC103" s="3">
        <v>53</v>
      </c>
      <c r="AD103" s="3">
        <v>1</v>
      </c>
      <c r="AE103" s="3">
        <v>1</v>
      </c>
      <c r="AF103" s="3">
        <v>1</v>
      </c>
      <c r="AG103" s="3">
        <v>1</v>
      </c>
      <c r="AH103" s="3">
        <v>1</v>
      </c>
      <c r="AI103" s="3">
        <v>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2" t="s">
        <v>63</v>
      </c>
      <c r="AS103" s="2" t="s">
        <v>63</v>
      </c>
      <c r="AT103" s="5" t="str">
        <f>HYPERLINK("http://catalog.hathitrust.org/Record/001579365","HathiTrust Record")</f>
        <v>HathiTrust Record</v>
      </c>
      <c r="AU103" s="5" t="str">
        <f>HYPERLINK("https://creighton-primo.hosted.exlibrisgroup.com/primo-explore/search?tab=default_tab&amp;search_scope=EVERYTHING&amp;vid=01CRU&amp;lang=en_US&amp;offset=0&amp;query=any,contains,991000950869702656","Catalog Record")</f>
        <v>Catalog Record</v>
      </c>
      <c r="AV103" s="5" t="str">
        <f>HYPERLINK("http://www.worldcat.org/oclc/1457951","WorldCat Record")</f>
        <v>WorldCat Record</v>
      </c>
      <c r="AW103" s="2" t="s">
        <v>1466</v>
      </c>
      <c r="AX103" s="2" t="s">
        <v>1467</v>
      </c>
      <c r="AY103" s="2" t="s">
        <v>1468</v>
      </c>
      <c r="AZ103" s="2" t="s">
        <v>1468</v>
      </c>
      <c r="BA103" s="2" t="s">
        <v>1469</v>
      </c>
      <c r="BB103" s="2" t="s">
        <v>79</v>
      </c>
      <c r="BE103" s="2" t="s">
        <v>1470</v>
      </c>
      <c r="BF103" s="2" t="s">
        <v>1471</v>
      </c>
    </row>
    <row r="104" spans="1:58" ht="46.5" customHeight="1">
      <c r="A104" s="1"/>
      <c r="B104" s="1" t="s">
        <v>58</v>
      </c>
      <c r="C104" s="1" t="s">
        <v>59</v>
      </c>
      <c r="D104" s="1" t="s">
        <v>1472</v>
      </c>
      <c r="E104" s="1" t="s">
        <v>1473</v>
      </c>
      <c r="F104" s="1" t="s">
        <v>1474</v>
      </c>
      <c r="H104" s="2" t="s">
        <v>63</v>
      </c>
      <c r="I104" s="2" t="s">
        <v>64</v>
      </c>
      <c r="J104" s="2" t="s">
        <v>63</v>
      </c>
      <c r="K104" s="2" t="s">
        <v>63</v>
      </c>
      <c r="L104" s="2" t="s">
        <v>65</v>
      </c>
      <c r="N104" s="1" t="s">
        <v>1475</v>
      </c>
      <c r="O104" s="2" t="s">
        <v>275</v>
      </c>
      <c r="Q104" s="2" t="s">
        <v>70</v>
      </c>
      <c r="R104" s="2" t="s">
        <v>277</v>
      </c>
      <c r="T104" s="2" t="s">
        <v>72</v>
      </c>
      <c r="U104" s="3">
        <v>16</v>
      </c>
      <c r="V104" s="3">
        <v>16</v>
      </c>
      <c r="W104" s="4" t="s">
        <v>1476</v>
      </c>
      <c r="X104" s="4" t="s">
        <v>1476</v>
      </c>
      <c r="Y104" s="4" t="s">
        <v>1477</v>
      </c>
      <c r="Z104" s="4" t="s">
        <v>1477</v>
      </c>
      <c r="AA104" s="3">
        <v>68</v>
      </c>
      <c r="AB104" s="3">
        <v>53</v>
      </c>
      <c r="AC104" s="3">
        <v>61</v>
      </c>
      <c r="AD104" s="3">
        <v>1</v>
      </c>
      <c r="AE104" s="3">
        <v>1</v>
      </c>
      <c r="AF104" s="3">
        <v>5</v>
      </c>
      <c r="AG104" s="3">
        <v>5</v>
      </c>
      <c r="AH104" s="3">
        <v>2</v>
      </c>
      <c r="AI104" s="3">
        <v>2</v>
      </c>
      <c r="AJ104" s="3">
        <v>3</v>
      </c>
      <c r="AK104" s="3">
        <v>3</v>
      </c>
      <c r="AL104" s="3">
        <v>2</v>
      </c>
      <c r="AM104" s="3">
        <v>2</v>
      </c>
      <c r="AN104" s="3">
        <v>0</v>
      </c>
      <c r="AO104" s="3">
        <v>0</v>
      </c>
      <c r="AP104" s="3">
        <v>0</v>
      </c>
      <c r="AQ104" s="3">
        <v>0</v>
      </c>
      <c r="AR104" s="2" t="s">
        <v>63</v>
      </c>
      <c r="AS104" s="2" t="s">
        <v>92</v>
      </c>
      <c r="AT104" s="5" t="str">
        <f>HYPERLINK("http://catalog.hathitrust.org/Record/003120530","HathiTrust Record")</f>
        <v>HathiTrust Record</v>
      </c>
      <c r="AU104" s="5" t="str">
        <f>HYPERLINK("https://creighton-primo.hosted.exlibrisgroup.com/primo-explore/search?tab=default_tab&amp;search_scope=EVERYTHING&amp;vid=01CRU&amp;lang=en_US&amp;offset=0&amp;query=any,contains,991000503819702656","Catalog Record")</f>
        <v>Catalog Record</v>
      </c>
      <c r="AV104" s="5" t="str">
        <f>HYPERLINK("http://www.worldcat.org/oclc/34576828","WorldCat Record")</f>
        <v>WorldCat Record</v>
      </c>
      <c r="AW104" s="2" t="s">
        <v>1478</v>
      </c>
      <c r="AX104" s="2" t="s">
        <v>1479</v>
      </c>
      <c r="AY104" s="2" t="s">
        <v>1480</v>
      </c>
      <c r="AZ104" s="2" t="s">
        <v>1480</v>
      </c>
      <c r="BA104" s="2" t="s">
        <v>1481</v>
      </c>
      <c r="BB104" s="2" t="s">
        <v>79</v>
      </c>
      <c r="BD104" s="2" t="s">
        <v>1482</v>
      </c>
      <c r="BE104" s="2" t="s">
        <v>1483</v>
      </c>
      <c r="BF104" s="2" t="s">
        <v>1484</v>
      </c>
    </row>
    <row r="105" spans="1:58" ht="46.5" customHeight="1">
      <c r="A105" s="1"/>
      <c r="B105" s="1" t="s">
        <v>58</v>
      </c>
      <c r="C105" s="1" t="s">
        <v>59</v>
      </c>
      <c r="D105" s="1" t="s">
        <v>1485</v>
      </c>
      <c r="E105" s="1" t="s">
        <v>1486</v>
      </c>
      <c r="F105" s="1" t="s">
        <v>1487</v>
      </c>
      <c r="H105" s="2" t="s">
        <v>63</v>
      </c>
      <c r="I105" s="2" t="s">
        <v>64</v>
      </c>
      <c r="J105" s="2" t="s">
        <v>63</v>
      </c>
      <c r="K105" s="2" t="s">
        <v>63</v>
      </c>
      <c r="L105" s="2" t="s">
        <v>65</v>
      </c>
      <c r="N105" s="1" t="s">
        <v>1488</v>
      </c>
      <c r="O105" s="2" t="s">
        <v>348</v>
      </c>
      <c r="P105" s="1" t="s">
        <v>376</v>
      </c>
      <c r="Q105" s="2" t="s">
        <v>70</v>
      </c>
      <c r="R105" s="2" t="s">
        <v>704</v>
      </c>
      <c r="T105" s="2" t="s">
        <v>72</v>
      </c>
      <c r="U105" s="3">
        <v>1</v>
      </c>
      <c r="V105" s="3">
        <v>1</v>
      </c>
      <c r="W105" s="4" t="s">
        <v>705</v>
      </c>
      <c r="X105" s="4" t="s">
        <v>705</v>
      </c>
      <c r="Y105" s="4" t="s">
        <v>1489</v>
      </c>
      <c r="Z105" s="4" t="s">
        <v>1489</v>
      </c>
      <c r="AA105" s="3">
        <v>24</v>
      </c>
      <c r="AB105" s="3">
        <v>21</v>
      </c>
      <c r="AC105" s="3">
        <v>21</v>
      </c>
      <c r="AD105" s="3">
        <v>1</v>
      </c>
      <c r="AE105" s="3">
        <v>1</v>
      </c>
      <c r="AF105" s="3">
        <v>1</v>
      </c>
      <c r="AG105" s="3">
        <v>1</v>
      </c>
      <c r="AH105" s="3">
        <v>1</v>
      </c>
      <c r="AI105" s="3">
        <v>1</v>
      </c>
      <c r="AJ105" s="3">
        <v>1</v>
      </c>
      <c r="AK105" s="3">
        <v>1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2" t="s">
        <v>63</v>
      </c>
      <c r="AS105" s="2" t="s">
        <v>63</v>
      </c>
      <c r="AU105" s="5" t="str">
        <f>HYPERLINK("https://creighton-primo.hosted.exlibrisgroup.com/primo-explore/search?tab=default_tab&amp;search_scope=EVERYTHING&amp;vid=01CRU&amp;lang=en_US&amp;offset=0&amp;query=any,contains,991000317879702656","Catalog Record")</f>
        <v>Catalog Record</v>
      </c>
      <c r="AV105" s="5" t="str">
        <f>HYPERLINK("http://www.worldcat.org/oclc/40535052","WorldCat Record")</f>
        <v>WorldCat Record</v>
      </c>
      <c r="AW105" s="2" t="s">
        <v>1490</v>
      </c>
      <c r="AX105" s="2" t="s">
        <v>1491</v>
      </c>
      <c r="AY105" s="2" t="s">
        <v>1492</v>
      </c>
      <c r="AZ105" s="2" t="s">
        <v>1492</v>
      </c>
      <c r="BA105" s="2" t="s">
        <v>1493</v>
      </c>
      <c r="BB105" s="2" t="s">
        <v>79</v>
      </c>
      <c r="BE105" s="2" t="s">
        <v>1494</v>
      </c>
      <c r="BF105" s="2" t="s">
        <v>1495</v>
      </c>
    </row>
    <row r="106" spans="1:58" ht="46.5" customHeight="1">
      <c r="A106" s="1"/>
      <c r="B106" s="1" t="s">
        <v>58</v>
      </c>
      <c r="C106" s="1" t="s">
        <v>59</v>
      </c>
      <c r="D106" s="1" t="s">
        <v>1496</v>
      </c>
      <c r="E106" s="1" t="s">
        <v>1497</v>
      </c>
      <c r="F106" s="1" t="s">
        <v>1498</v>
      </c>
      <c r="H106" s="2" t="s">
        <v>63</v>
      </c>
      <c r="I106" s="2" t="s">
        <v>64</v>
      </c>
      <c r="J106" s="2" t="s">
        <v>63</v>
      </c>
      <c r="K106" s="2" t="s">
        <v>63</v>
      </c>
      <c r="L106" s="2" t="s">
        <v>65</v>
      </c>
      <c r="M106" s="1" t="s">
        <v>1499</v>
      </c>
      <c r="N106" s="1" t="s">
        <v>1500</v>
      </c>
      <c r="O106" s="2" t="s">
        <v>1501</v>
      </c>
      <c r="Q106" s="2" t="s">
        <v>70</v>
      </c>
      <c r="R106" s="2" t="s">
        <v>691</v>
      </c>
      <c r="T106" s="2" t="s">
        <v>72</v>
      </c>
      <c r="U106" s="3">
        <v>3</v>
      </c>
      <c r="V106" s="3">
        <v>3</v>
      </c>
      <c r="W106" s="4" t="s">
        <v>1502</v>
      </c>
      <c r="X106" s="4" t="s">
        <v>1502</v>
      </c>
      <c r="Y106" s="4" t="s">
        <v>472</v>
      </c>
      <c r="Z106" s="4" t="s">
        <v>472</v>
      </c>
      <c r="AA106" s="3">
        <v>32</v>
      </c>
      <c r="AB106" s="3">
        <v>25</v>
      </c>
      <c r="AC106" s="3">
        <v>25</v>
      </c>
      <c r="AD106" s="3">
        <v>1</v>
      </c>
      <c r="AE106" s="3">
        <v>1</v>
      </c>
      <c r="AF106" s="3">
        <v>2</v>
      </c>
      <c r="AG106" s="3">
        <v>2</v>
      </c>
      <c r="AH106" s="3">
        <v>1</v>
      </c>
      <c r="AI106" s="3">
        <v>1</v>
      </c>
      <c r="AJ106" s="3">
        <v>1</v>
      </c>
      <c r="AK106" s="3">
        <v>1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2" t="s">
        <v>63</v>
      </c>
      <c r="AS106" s="2" t="s">
        <v>63</v>
      </c>
      <c r="AU106" s="5" t="str">
        <f>HYPERLINK("https://creighton-primo.hosted.exlibrisgroup.com/primo-explore/search?tab=default_tab&amp;search_scope=EVERYTHING&amp;vid=01CRU&amp;lang=en_US&amp;offset=0&amp;query=any,contains,991000490729702656","Catalog Record")</f>
        <v>Catalog Record</v>
      </c>
      <c r="AV106" s="5" t="str">
        <f>HYPERLINK("http://www.worldcat.org/oclc/690803","WorldCat Record")</f>
        <v>WorldCat Record</v>
      </c>
      <c r="AW106" s="2" t="s">
        <v>1503</v>
      </c>
      <c r="AX106" s="2" t="s">
        <v>1504</v>
      </c>
      <c r="AY106" s="2" t="s">
        <v>1505</v>
      </c>
      <c r="AZ106" s="2" t="s">
        <v>1505</v>
      </c>
      <c r="BA106" s="2" t="s">
        <v>1506</v>
      </c>
      <c r="BB106" s="2" t="s">
        <v>79</v>
      </c>
      <c r="BE106" s="2" t="s">
        <v>1507</v>
      </c>
      <c r="BF106" s="2" t="s">
        <v>1508</v>
      </c>
    </row>
    <row r="107" spans="1:58" ht="46.5" customHeight="1">
      <c r="A107" s="1"/>
      <c r="B107" s="1" t="s">
        <v>58</v>
      </c>
      <c r="C107" s="1" t="s">
        <v>59</v>
      </c>
      <c r="D107" s="1" t="s">
        <v>1509</v>
      </c>
      <c r="E107" s="1" t="s">
        <v>1510</v>
      </c>
      <c r="F107" s="1" t="s">
        <v>1511</v>
      </c>
      <c r="H107" s="2" t="s">
        <v>63</v>
      </c>
      <c r="I107" s="2" t="s">
        <v>64</v>
      </c>
      <c r="J107" s="2" t="s">
        <v>63</v>
      </c>
      <c r="K107" s="2" t="s">
        <v>63</v>
      </c>
      <c r="L107" s="2" t="s">
        <v>65</v>
      </c>
      <c r="M107" s="1" t="s">
        <v>1512</v>
      </c>
      <c r="N107" s="1" t="s">
        <v>1513</v>
      </c>
      <c r="O107" s="2" t="s">
        <v>1514</v>
      </c>
      <c r="Q107" s="2" t="s">
        <v>70</v>
      </c>
      <c r="R107" s="2" t="s">
        <v>691</v>
      </c>
      <c r="T107" s="2" t="s">
        <v>72</v>
      </c>
      <c r="U107" s="3">
        <v>3</v>
      </c>
      <c r="V107" s="3">
        <v>3</v>
      </c>
      <c r="W107" s="4" t="s">
        <v>1502</v>
      </c>
      <c r="X107" s="4" t="s">
        <v>1502</v>
      </c>
      <c r="Y107" s="4" t="s">
        <v>1405</v>
      </c>
      <c r="Z107" s="4" t="s">
        <v>1405</v>
      </c>
      <c r="AA107" s="3">
        <v>35</v>
      </c>
      <c r="AB107" s="3">
        <v>27</v>
      </c>
      <c r="AC107" s="3">
        <v>32</v>
      </c>
      <c r="AD107" s="3">
        <v>1</v>
      </c>
      <c r="AE107" s="3">
        <v>1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2" t="s">
        <v>63</v>
      </c>
      <c r="AS107" s="2" t="s">
        <v>63</v>
      </c>
      <c r="AU107" s="5" t="str">
        <f>HYPERLINK("https://creighton-primo.hosted.exlibrisgroup.com/primo-explore/search?tab=default_tab&amp;search_scope=EVERYTHING&amp;vid=01CRU&amp;lang=en_US&amp;offset=0&amp;query=any,contains,991000490759702656","Catalog Record")</f>
        <v>Catalog Record</v>
      </c>
      <c r="AV107" s="5" t="str">
        <f>HYPERLINK("http://www.worldcat.org/oclc/2338793","WorldCat Record")</f>
        <v>WorldCat Record</v>
      </c>
      <c r="AW107" s="2" t="s">
        <v>1515</v>
      </c>
      <c r="AX107" s="2" t="s">
        <v>1516</v>
      </c>
      <c r="AY107" s="2" t="s">
        <v>1517</v>
      </c>
      <c r="AZ107" s="2" t="s">
        <v>1517</v>
      </c>
      <c r="BA107" s="2" t="s">
        <v>1518</v>
      </c>
      <c r="BB107" s="2" t="s">
        <v>79</v>
      </c>
      <c r="BE107" s="2" t="s">
        <v>1519</v>
      </c>
      <c r="BF107" s="2" t="s">
        <v>1520</v>
      </c>
    </row>
    <row r="108" spans="1:58" ht="46.5" customHeight="1">
      <c r="A108" s="1"/>
      <c r="B108" s="1" t="s">
        <v>58</v>
      </c>
      <c r="C108" s="1" t="s">
        <v>59</v>
      </c>
      <c r="D108" s="1" t="s">
        <v>1521</v>
      </c>
      <c r="E108" s="1" t="s">
        <v>1522</v>
      </c>
      <c r="F108" s="1" t="s">
        <v>1523</v>
      </c>
      <c r="H108" s="2" t="s">
        <v>63</v>
      </c>
      <c r="I108" s="2" t="s">
        <v>64</v>
      </c>
      <c r="J108" s="2" t="s">
        <v>63</v>
      </c>
      <c r="K108" s="2" t="s">
        <v>63</v>
      </c>
      <c r="L108" s="2" t="s">
        <v>65</v>
      </c>
      <c r="M108" s="1" t="s">
        <v>1524</v>
      </c>
      <c r="N108" s="1" t="s">
        <v>1525</v>
      </c>
      <c r="O108" s="2" t="s">
        <v>87</v>
      </c>
      <c r="P108" s="1" t="s">
        <v>157</v>
      </c>
      <c r="Q108" s="2" t="s">
        <v>70</v>
      </c>
      <c r="R108" s="2" t="s">
        <v>89</v>
      </c>
      <c r="T108" s="2" t="s">
        <v>72</v>
      </c>
      <c r="U108" s="3">
        <v>2</v>
      </c>
      <c r="V108" s="3">
        <v>2</v>
      </c>
      <c r="W108" s="4" t="s">
        <v>1526</v>
      </c>
      <c r="X108" s="4" t="s">
        <v>1526</v>
      </c>
      <c r="Y108" s="4" t="s">
        <v>1527</v>
      </c>
      <c r="Z108" s="4" t="s">
        <v>1527</v>
      </c>
      <c r="AA108" s="3">
        <v>103</v>
      </c>
      <c r="AB108" s="3">
        <v>79</v>
      </c>
      <c r="AC108" s="3">
        <v>166</v>
      </c>
      <c r="AD108" s="3">
        <v>1</v>
      </c>
      <c r="AE108" s="3">
        <v>1</v>
      </c>
      <c r="AF108" s="3">
        <v>2</v>
      </c>
      <c r="AG108" s="3">
        <v>6</v>
      </c>
      <c r="AH108" s="3">
        <v>0</v>
      </c>
      <c r="AI108" s="3">
        <v>3</v>
      </c>
      <c r="AJ108" s="3">
        <v>1</v>
      </c>
      <c r="AK108" s="3">
        <v>1</v>
      </c>
      <c r="AL108" s="3">
        <v>1</v>
      </c>
      <c r="AM108" s="3">
        <v>4</v>
      </c>
      <c r="AN108" s="3">
        <v>0</v>
      </c>
      <c r="AO108" s="3">
        <v>0</v>
      </c>
      <c r="AP108" s="3">
        <v>0</v>
      </c>
      <c r="AQ108" s="3">
        <v>0</v>
      </c>
      <c r="AR108" s="2" t="s">
        <v>63</v>
      </c>
      <c r="AS108" s="2" t="s">
        <v>92</v>
      </c>
      <c r="AT108" s="5" t="str">
        <f>HYPERLINK("http://catalog.hathitrust.org/Record/000832515","HathiTrust Record")</f>
        <v>HathiTrust Record</v>
      </c>
      <c r="AU108" s="5" t="str">
        <f>HYPERLINK("https://creighton-primo.hosted.exlibrisgroup.com/primo-explore/search?tab=default_tab&amp;search_scope=EVERYTHING&amp;vid=01CRU&amp;lang=en_US&amp;offset=0&amp;query=any,contains,991001534999702656","Catalog Record")</f>
        <v>Catalog Record</v>
      </c>
      <c r="AV108" s="5" t="str">
        <f>HYPERLINK("http://www.worldcat.org/oclc/15084540","WorldCat Record")</f>
        <v>WorldCat Record</v>
      </c>
      <c r="AW108" s="2" t="s">
        <v>1528</v>
      </c>
      <c r="AX108" s="2" t="s">
        <v>1529</v>
      </c>
      <c r="AY108" s="2" t="s">
        <v>1530</v>
      </c>
      <c r="AZ108" s="2" t="s">
        <v>1530</v>
      </c>
      <c r="BA108" s="2" t="s">
        <v>1531</v>
      </c>
      <c r="BB108" s="2" t="s">
        <v>79</v>
      </c>
      <c r="BD108" s="2" t="s">
        <v>1532</v>
      </c>
      <c r="BE108" s="2" t="s">
        <v>1533</v>
      </c>
      <c r="BF108" s="2" t="s">
        <v>1534</v>
      </c>
    </row>
    <row r="109" spans="1:58" ht="46.5" customHeight="1">
      <c r="A109" s="1"/>
      <c r="B109" s="1" t="s">
        <v>58</v>
      </c>
      <c r="C109" s="1" t="s">
        <v>59</v>
      </c>
      <c r="D109" s="1" t="s">
        <v>1535</v>
      </c>
      <c r="E109" s="1" t="s">
        <v>1536</v>
      </c>
      <c r="F109" s="1" t="s">
        <v>1537</v>
      </c>
      <c r="G109" s="2" t="s">
        <v>1538</v>
      </c>
      <c r="H109" s="2" t="s">
        <v>92</v>
      </c>
      <c r="I109" s="2" t="s">
        <v>64</v>
      </c>
      <c r="J109" s="2" t="s">
        <v>63</v>
      </c>
      <c r="K109" s="2" t="s">
        <v>63</v>
      </c>
      <c r="L109" s="2" t="s">
        <v>65</v>
      </c>
      <c r="M109" s="1" t="s">
        <v>1539</v>
      </c>
      <c r="N109" s="1" t="s">
        <v>1540</v>
      </c>
      <c r="O109" s="2" t="s">
        <v>407</v>
      </c>
      <c r="Q109" s="2" t="s">
        <v>70</v>
      </c>
      <c r="R109" s="2" t="s">
        <v>1541</v>
      </c>
      <c r="T109" s="2" t="s">
        <v>72</v>
      </c>
      <c r="U109" s="3">
        <v>8</v>
      </c>
      <c r="V109" s="3">
        <v>14</v>
      </c>
      <c r="W109" s="4" t="s">
        <v>1542</v>
      </c>
      <c r="X109" s="4" t="s">
        <v>1543</v>
      </c>
      <c r="Y109" s="4" t="s">
        <v>1544</v>
      </c>
      <c r="Z109" s="4" t="s">
        <v>1544</v>
      </c>
      <c r="AA109" s="3">
        <v>136</v>
      </c>
      <c r="AB109" s="3">
        <v>110</v>
      </c>
      <c r="AC109" s="3">
        <v>110</v>
      </c>
      <c r="AD109" s="3">
        <v>2</v>
      </c>
      <c r="AE109" s="3">
        <v>2</v>
      </c>
      <c r="AF109" s="3">
        <v>4</v>
      </c>
      <c r="AG109" s="3">
        <v>4</v>
      </c>
      <c r="AH109" s="3">
        <v>3</v>
      </c>
      <c r="AI109" s="3">
        <v>3</v>
      </c>
      <c r="AJ109" s="3">
        <v>1</v>
      </c>
      <c r="AK109" s="3">
        <v>1</v>
      </c>
      <c r="AL109" s="3">
        <v>0</v>
      </c>
      <c r="AM109" s="3">
        <v>0</v>
      </c>
      <c r="AN109" s="3">
        <v>1</v>
      </c>
      <c r="AO109" s="3">
        <v>1</v>
      </c>
      <c r="AP109" s="3">
        <v>0</v>
      </c>
      <c r="AQ109" s="3">
        <v>0</v>
      </c>
      <c r="AR109" s="2" t="s">
        <v>63</v>
      </c>
      <c r="AS109" s="2" t="s">
        <v>63</v>
      </c>
      <c r="AU109" s="5" t="str">
        <f>HYPERLINK("https://creighton-primo.hosted.exlibrisgroup.com/primo-explore/search?tab=default_tab&amp;search_scope=EVERYTHING&amp;vid=01CRU&amp;lang=en_US&amp;offset=0&amp;query=any,contains,991000824479702656","Catalog Record")</f>
        <v>Catalog Record</v>
      </c>
      <c r="AV109" s="5" t="str">
        <f>HYPERLINK("http://www.worldcat.org/oclc/20800068","WorldCat Record")</f>
        <v>WorldCat Record</v>
      </c>
      <c r="AW109" s="2" t="s">
        <v>1545</v>
      </c>
      <c r="AX109" s="2" t="s">
        <v>1546</v>
      </c>
      <c r="AY109" s="2" t="s">
        <v>1547</v>
      </c>
      <c r="AZ109" s="2" t="s">
        <v>1547</v>
      </c>
      <c r="BA109" s="2" t="s">
        <v>1548</v>
      </c>
      <c r="BB109" s="2" t="s">
        <v>79</v>
      </c>
      <c r="BD109" s="2" t="s">
        <v>1549</v>
      </c>
      <c r="BE109" s="2" t="s">
        <v>1550</v>
      </c>
      <c r="BF109" s="2" t="s">
        <v>1551</v>
      </c>
    </row>
    <row r="110" spans="1:58" ht="46.5" customHeight="1">
      <c r="A110" s="1"/>
      <c r="B110" s="1" t="s">
        <v>58</v>
      </c>
      <c r="C110" s="1" t="s">
        <v>59</v>
      </c>
      <c r="D110" s="1" t="s">
        <v>1535</v>
      </c>
      <c r="E110" s="1" t="s">
        <v>1536</v>
      </c>
      <c r="F110" s="1" t="s">
        <v>1537</v>
      </c>
      <c r="G110" s="2" t="s">
        <v>1552</v>
      </c>
      <c r="H110" s="2" t="s">
        <v>92</v>
      </c>
      <c r="I110" s="2" t="s">
        <v>64</v>
      </c>
      <c r="J110" s="2" t="s">
        <v>63</v>
      </c>
      <c r="K110" s="2" t="s">
        <v>63</v>
      </c>
      <c r="L110" s="2" t="s">
        <v>65</v>
      </c>
      <c r="M110" s="1" t="s">
        <v>1539</v>
      </c>
      <c r="N110" s="1" t="s">
        <v>1540</v>
      </c>
      <c r="O110" s="2" t="s">
        <v>407</v>
      </c>
      <c r="Q110" s="2" t="s">
        <v>70</v>
      </c>
      <c r="R110" s="2" t="s">
        <v>1541</v>
      </c>
      <c r="T110" s="2" t="s">
        <v>72</v>
      </c>
      <c r="U110" s="3">
        <v>6</v>
      </c>
      <c r="V110" s="3">
        <v>14</v>
      </c>
      <c r="W110" s="4" t="s">
        <v>1543</v>
      </c>
      <c r="X110" s="4" t="s">
        <v>1543</v>
      </c>
      <c r="Y110" s="4" t="s">
        <v>1544</v>
      </c>
      <c r="Z110" s="4" t="s">
        <v>1544</v>
      </c>
      <c r="AA110" s="3">
        <v>136</v>
      </c>
      <c r="AB110" s="3">
        <v>110</v>
      </c>
      <c r="AC110" s="3">
        <v>110</v>
      </c>
      <c r="AD110" s="3">
        <v>2</v>
      </c>
      <c r="AE110" s="3">
        <v>2</v>
      </c>
      <c r="AF110" s="3">
        <v>4</v>
      </c>
      <c r="AG110" s="3">
        <v>4</v>
      </c>
      <c r="AH110" s="3">
        <v>3</v>
      </c>
      <c r="AI110" s="3">
        <v>3</v>
      </c>
      <c r="AJ110" s="3">
        <v>1</v>
      </c>
      <c r="AK110" s="3">
        <v>1</v>
      </c>
      <c r="AL110" s="3">
        <v>0</v>
      </c>
      <c r="AM110" s="3">
        <v>0</v>
      </c>
      <c r="AN110" s="3">
        <v>1</v>
      </c>
      <c r="AO110" s="3">
        <v>1</v>
      </c>
      <c r="AP110" s="3">
        <v>0</v>
      </c>
      <c r="AQ110" s="3">
        <v>0</v>
      </c>
      <c r="AR110" s="2" t="s">
        <v>63</v>
      </c>
      <c r="AS110" s="2" t="s">
        <v>63</v>
      </c>
      <c r="AU110" s="5" t="str">
        <f>HYPERLINK("https://creighton-primo.hosted.exlibrisgroup.com/primo-explore/search?tab=default_tab&amp;search_scope=EVERYTHING&amp;vid=01CRU&amp;lang=en_US&amp;offset=0&amp;query=any,contains,991000824479702656","Catalog Record")</f>
        <v>Catalog Record</v>
      </c>
      <c r="AV110" s="5" t="str">
        <f>HYPERLINK("http://www.worldcat.org/oclc/20800068","WorldCat Record")</f>
        <v>WorldCat Record</v>
      </c>
      <c r="AW110" s="2" t="s">
        <v>1545</v>
      </c>
      <c r="AX110" s="2" t="s">
        <v>1546</v>
      </c>
      <c r="AY110" s="2" t="s">
        <v>1547</v>
      </c>
      <c r="AZ110" s="2" t="s">
        <v>1547</v>
      </c>
      <c r="BA110" s="2" t="s">
        <v>1548</v>
      </c>
      <c r="BB110" s="2" t="s">
        <v>79</v>
      </c>
      <c r="BD110" s="2" t="s">
        <v>1549</v>
      </c>
      <c r="BE110" s="2" t="s">
        <v>1553</v>
      </c>
      <c r="BF110" s="2" t="s">
        <v>1554</v>
      </c>
    </row>
    <row r="111" spans="1:58" ht="46.5" customHeight="1">
      <c r="A111" s="1"/>
      <c r="B111" s="1" t="s">
        <v>58</v>
      </c>
      <c r="C111" s="1" t="s">
        <v>59</v>
      </c>
      <c r="D111" s="1" t="s">
        <v>1555</v>
      </c>
      <c r="E111" s="1" t="s">
        <v>1556</v>
      </c>
      <c r="F111" s="1" t="s">
        <v>1557</v>
      </c>
      <c r="H111" s="2" t="s">
        <v>63</v>
      </c>
      <c r="I111" s="2" t="s">
        <v>64</v>
      </c>
      <c r="J111" s="2" t="s">
        <v>63</v>
      </c>
      <c r="K111" s="2" t="s">
        <v>63</v>
      </c>
      <c r="L111" s="2" t="s">
        <v>65</v>
      </c>
      <c r="M111" s="1" t="s">
        <v>1558</v>
      </c>
      <c r="N111" s="1" t="s">
        <v>1559</v>
      </c>
      <c r="O111" s="2" t="s">
        <v>407</v>
      </c>
      <c r="Q111" s="2" t="s">
        <v>70</v>
      </c>
      <c r="R111" s="2" t="s">
        <v>89</v>
      </c>
      <c r="T111" s="2" t="s">
        <v>72</v>
      </c>
      <c r="U111" s="3">
        <v>1</v>
      </c>
      <c r="V111" s="3">
        <v>1</v>
      </c>
      <c r="W111" s="4" t="s">
        <v>1560</v>
      </c>
      <c r="X111" s="4" t="s">
        <v>1560</v>
      </c>
      <c r="Y111" s="4" t="s">
        <v>1560</v>
      </c>
      <c r="Z111" s="4" t="s">
        <v>1560</v>
      </c>
      <c r="AA111" s="3">
        <v>77</v>
      </c>
      <c r="AB111" s="3">
        <v>47</v>
      </c>
      <c r="AC111" s="3">
        <v>49</v>
      </c>
      <c r="AD111" s="3">
        <v>1</v>
      </c>
      <c r="AE111" s="3">
        <v>1</v>
      </c>
      <c r="AF111" s="3">
        <v>1</v>
      </c>
      <c r="AG111" s="3">
        <v>1</v>
      </c>
      <c r="AH111" s="3">
        <v>0</v>
      </c>
      <c r="AI111" s="3">
        <v>0</v>
      </c>
      <c r="AJ111" s="3">
        <v>1</v>
      </c>
      <c r="AK111" s="3">
        <v>1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2" t="s">
        <v>63</v>
      </c>
      <c r="AS111" s="2" t="s">
        <v>92</v>
      </c>
      <c r="AT111" s="5" t="str">
        <f>HYPERLINK("http://catalog.hathitrust.org/Record/002510520","HathiTrust Record")</f>
        <v>HathiTrust Record</v>
      </c>
      <c r="AU111" s="5" t="str">
        <f>HYPERLINK("https://creighton-primo.hosted.exlibrisgroup.com/primo-explore/search?tab=default_tab&amp;search_scope=EVERYTHING&amp;vid=01CRU&amp;lang=en_US&amp;offset=0&amp;query=any,contains,991001300729702656","Catalog Record")</f>
        <v>Catalog Record</v>
      </c>
      <c r="AV111" s="5" t="str">
        <f>HYPERLINK("http://www.worldcat.org/oclc/20799575","WorldCat Record")</f>
        <v>WorldCat Record</v>
      </c>
      <c r="AW111" s="2" t="s">
        <v>1561</v>
      </c>
      <c r="AX111" s="2" t="s">
        <v>1562</v>
      </c>
      <c r="AY111" s="2" t="s">
        <v>1563</v>
      </c>
      <c r="AZ111" s="2" t="s">
        <v>1563</v>
      </c>
      <c r="BA111" s="2" t="s">
        <v>1564</v>
      </c>
      <c r="BB111" s="2" t="s">
        <v>79</v>
      </c>
      <c r="BD111" s="2" t="s">
        <v>1565</v>
      </c>
      <c r="BE111" s="2" t="s">
        <v>1566</v>
      </c>
      <c r="BF111" s="2" t="s">
        <v>1567</v>
      </c>
    </row>
    <row r="112" spans="1:58" ht="46.5" customHeight="1">
      <c r="A112" s="1"/>
      <c r="B112" s="1" t="s">
        <v>58</v>
      </c>
      <c r="C112" s="1" t="s">
        <v>59</v>
      </c>
      <c r="D112" s="1" t="s">
        <v>1568</v>
      </c>
      <c r="E112" s="1" t="s">
        <v>1569</v>
      </c>
      <c r="F112" s="1" t="s">
        <v>1570</v>
      </c>
      <c r="H112" s="2" t="s">
        <v>63</v>
      </c>
      <c r="I112" s="2" t="s">
        <v>64</v>
      </c>
      <c r="J112" s="2" t="s">
        <v>63</v>
      </c>
      <c r="K112" s="2" t="s">
        <v>63</v>
      </c>
      <c r="L112" s="2" t="s">
        <v>65</v>
      </c>
      <c r="M112" s="1" t="s">
        <v>1571</v>
      </c>
      <c r="N112" s="1" t="s">
        <v>1572</v>
      </c>
      <c r="O112" s="2" t="s">
        <v>1573</v>
      </c>
      <c r="Q112" s="2" t="s">
        <v>70</v>
      </c>
      <c r="R112" s="2" t="s">
        <v>1389</v>
      </c>
      <c r="T112" s="2" t="s">
        <v>72</v>
      </c>
      <c r="U112" s="3">
        <v>1</v>
      </c>
      <c r="V112" s="3">
        <v>1</v>
      </c>
      <c r="W112" s="4" t="s">
        <v>1574</v>
      </c>
      <c r="X112" s="4" t="s">
        <v>1574</v>
      </c>
      <c r="Y112" s="4" t="s">
        <v>1574</v>
      </c>
      <c r="Z112" s="4" t="s">
        <v>1574</v>
      </c>
      <c r="AA112" s="3">
        <v>57</v>
      </c>
      <c r="AB112" s="3">
        <v>48</v>
      </c>
      <c r="AC112" s="3">
        <v>55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3">
        <v>1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2" t="s">
        <v>92</v>
      </c>
      <c r="AS112" s="2" t="s">
        <v>63</v>
      </c>
      <c r="AT112" s="5" t="str">
        <f>HYPERLINK("http://catalog.hathitrust.org/Record/001993004","HathiTrust Record")</f>
        <v>HathiTrust Record</v>
      </c>
      <c r="AU112" s="5" t="str">
        <f>HYPERLINK("https://creighton-primo.hosted.exlibrisgroup.com/primo-explore/search?tab=default_tab&amp;search_scope=EVERYTHING&amp;vid=01CRU&amp;lang=en_US&amp;offset=0&amp;query=any,contains,991001153609702656","Catalog Record")</f>
        <v>Catalog Record</v>
      </c>
      <c r="AV112" s="5" t="str">
        <f>HYPERLINK("http://www.worldcat.org/oclc/3864589","WorldCat Record")</f>
        <v>WorldCat Record</v>
      </c>
      <c r="AW112" s="2" t="s">
        <v>1575</v>
      </c>
      <c r="AX112" s="2" t="s">
        <v>1576</v>
      </c>
      <c r="AY112" s="2" t="s">
        <v>1577</v>
      </c>
      <c r="AZ112" s="2" t="s">
        <v>1577</v>
      </c>
      <c r="BA112" s="2" t="s">
        <v>1578</v>
      </c>
      <c r="BB112" s="2" t="s">
        <v>79</v>
      </c>
      <c r="BE112" s="2" t="s">
        <v>1579</v>
      </c>
      <c r="BF112" s="2" t="s">
        <v>1580</v>
      </c>
    </row>
    <row r="113" spans="1:58" ht="46.5" customHeight="1">
      <c r="A113" s="1"/>
      <c r="B113" s="1" t="s">
        <v>58</v>
      </c>
      <c r="C113" s="1" t="s">
        <v>59</v>
      </c>
      <c r="D113" s="1" t="s">
        <v>1581</v>
      </c>
      <c r="E113" s="1" t="s">
        <v>1582</v>
      </c>
      <c r="F113" s="1" t="s">
        <v>1583</v>
      </c>
      <c r="H113" s="2" t="s">
        <v>63</v>
      </c>
      <c r="I113" s="2" t="s">
        <v>64</v>
      </c>
      <c r="J113" s="2" t="s">
        <v>63</v>
      </c>
      <c r="K113" s="2" t="s">
        <v>63</v>
      </c>
      <c r="L113" s="2" t="s">
        <v>65</v>
      </c>
      <c r="N113" s="1" t="s">
        <v>1584</v>
      </c>
      <c r="O113" s="2" t="s">
        <v>1585</v>
      </c>
      <c r="Q113" s="2" t="s">
        <v>70</v>
      </c>
      <c r="R113" s="2" t="s">
        <v>691</v>
      </c>
      <c r="S113" s="1" t="s">
        <v>1586</v>
      </c>
      <c r="T113" s="2" t="s">
        <v>72</v>
      </c>
      <c r="U113" s="3">
        <v>4</v>
      </c>
      <c r="V113" s="3">
        <v>4</v>
      </c>
      <c r="W113" s="4" t="s">
        <v>1587</v>
      </c>
      <c r="X113" s="4" t="s">
        <v>1587</v>
      </c>
      <c r="Y113" s="4" t="s">
        <v>1588</v>
      </c>
      <c r="Z113" s="4" t="s">
        <v>1588</v>
      </c>
      <c r="AA113" s="3">
        <v>187</v>
      </c>
      <c r="AB113" s="3">
        <v>178</v>
      </c>
      <c r="AC113" s="3">
        <v>222</v>
      </c>
      <c r="AD113" s="3">
        <v>2</v>
      </c>
      <c r="AE113" s="3">
        <v>3</v>
      </c>
      <c r="AF113" s="3">
        <v>9</v>
      </c>
      <c r="AG113" s="3">
        <v>16</v>
      </c>
      <c r="AH113" s="3">
        <v>2</v>
      </c>
      <c r="AI113" s="3">
        <v>3</v>
      </c>
      <c r="AJ113" s="3">
        <v>1</v>
      </c>
      <c r="AK113" s="3">
        <v>3</v>
      </c>
      <c r="AL113" s="3">
        <v>3</v>
      </c>
      <c r="AM113" s="3">
        <v>4</v>
      </c>
      <c r="AN113" s="3">
        <v>0</v>
      </c>
      <c r="AO113" s="3">
        <v>0</v>
      </c>
      <c r="AP113" s="3">
        <v>4</v>
      </c>
      <c r="AQ113" s="3">
        <v>8</v>
      </c>
      <c r="AR113" s="2" t="s">
        <v>92</v>
      </c>
      <c r="AS113" s="2" t="s">
        <v>63</v>
      </c>
      <c r="AT113" s="5" t="str">
        <f>HYPERLINK("http://catalog.hathitrust.org/Record/006182635","HathiTrust Record")</f>
        <v>HathiTrust Record</v>
      </c>
      <c r="AU113" s="5" t="str">
        <f>HYPERLINK("https://creighton-primo.hosted.exlibrisgroup.com/primo-explore/search?tab=default_tab&amp;search_scope=EVERYTHING&amp;vid=01CRU&amp;lang=en_US&amp;offset=0&amp;query=any,contains,991000812219702656","Catalog Record")</f>
        <v>Catalog Record</v>
      </c>
      <c r="AV113" s="5" t="str">
        <f>HYPERLINK("http://www.worldcat.org/oclc/1010431","WorldCat Record")</f>
        <v>WorldCat Record</v>
      </c>
      <c r="AW113" s="2" t="s">
        <v>1589</v>
      </c>
      <c r="AX113" s="2" t="s">
        <v>1590</v>
      </c>
      <c r="AY113" s="2" t="s">
        <v>1591</v>
      </c>
      <c r="AZ113" s="2" t="s">
        <v>1591</v>
      </c>
      <c r="BA113" s="2" t="s">
        <v>1592</v>
      </c>
      <c r="BB113" s="2" t="s">
        <v>79</v>
      </c>
      <c r="BE113" s="2" t="s">
        <v>1593</v>
      </c>
      <c r="BF113" s="2" t="s">
        <v>1594</v>
      </c>
    </row>
    <row r="114" spans="1:58" ht="46.5" customHeight="1">
      <c r="A114" s="1"/>
      <c r="B114" s="1" t="s">
        <v>58</v>
      </c>
      <c r="C114" s="1" t="s">
        <v>59</v>
      </c>
      <c r="D114" s="1" t="s">
        <v>1595</v>
      </c>
      <c r="E114" s="1" t="s">
        <v>1596</v>
      </c>
      <c r="F114" s="1" t="s">
        <v>1597</v>
      </c>
      <c r="H114" s="2" t="s">
        <v>63</v>
      </c>
      <c r="I114" s="2" t="s">
        <v>64</v>
      </c>
      <c r="J114" s="2" t="s">
        <v>63</v>
      </c>
      <c r="K114" s="2" t="s">
        <v>63</v>
      </c>
      <c r="L114" s="2" t="s">
        <v>65</v>
      </c>
      <c r="M114" s="1" t="s">
        <v>1598</v>
      </c>
      <c r="N114" s="1" t="s">
        <v>1599</v>
      </c>
      <c r="O114" s="2" t="s">
        <v>1600</v>
      </c>
      <c r="Q114" s="2" t="s">
        <v>70</v>
      </c>
      <c r="R114" s="2" t="s">
        <v>260</v>
      </c>
      <c r="T114" s="2" t="s">
        <v>72</v>
      </c>
      <c r="U114" s="3">
        <v>8</v>
      </c>
      <c r="V114" s="3">
        <v>8</v>
      </c>
      <c r="W114" s="4" t="s">
        <v>1601</v>
      </c>
      <c r="X114" s="4" t="s">
        <v>1601</v>
      </c>
      <c r="Y114" s="4" t="s">
        <v>1602</v>
      </c>
      <c r="Z114" s="4" t="s">
        <v>1602</v>
      </c>
      <c r="AA114" s="3">
        <v>115</v>
      </c>
      <c r="AB114" s="3">
        <v>90</v>
      </c>
      <c r="AC114" s="3">
        <v>93</v>
      </c>
      <c r="AD114" s="3">
        <v>2</v>
      </c>
      <c r="AE114" s="3">
        <v>2</v>
      </c>
      <c r="AF114" s="3">
        <v>6</v>
      </c>
      <c r="AG114" s="3">
        <v>6</v>
      </c>
      <c r="AH114" s="3">
        <v>2</v>
      </c>
      <c r="AI114" s="3">
        <v>2</v>
      </c>
      <c r="AJ114" s="3">
        <v>1</v>
      </c>
      <c r="AK114" s="3">
        <v>1</v>
      </c>
      <c r="AL114" s="3">
        <v>0</v>
      </c>
      <c r="AM114" s="3">
        <v>0</v>
      </c>
      <c r="AN114" s="3">
        <v>0</v>
      </c>
      <c r="AO114" s="3">
        <v>0</v>
      </c>
      <c r="AP114" s="3">
        <v>3</v>
      </c>
      <c r="AQ114" s="3">
        <v>3</v>
      </c>
      <c r="AR114" s="2" t="s">
        <v>63</v>
      </c>
      <c r="AS114" s="2" t="s">
        <v>92</v>
      </c>
      <c r="AT114" s="5" t="str">
        <f>HYPERLINK("http://catalog.hathitrust.org/Record/001573499","HathiTrust Record")</f>
        <v>HathiTrust Record</v>
      </c>
      <c r="AU114" s="5" t="str">
        <f>HYPERLINK("https://creighton-primo.hosted.exlibrisgroup.com/primo-explore/search?tab=default_tab&amp;search_scope=EVERYTHING&amp;vid=01CRU&amp;lang=en_US&amp;offset=0&amp;query=any,contains,991000951609702656","Catalog Record")</f>
        <v>Catalog Record</v>
      </c>
      <c r="AV114" s="5" t="str">
        <f>HYPERLINK("http://www.worldcat.org/oclc/203089","WorldCat Record")</f>
        <v>WorldCat Record</v>
      </c>
      <c r="AW114" s="2" t="s">
        <v>1603</v>
      </c>
      <c r="AX114" s="2" t="s">
        <v>1604</v>
      </c>
      <c r="AY114" s="2" t="s">
        <v>1605</v>
      </c>
      <c r="AZ114" s="2" t="s">
        <v>1605</v>
      </c>
      <c r="BA114" s="2" t="s">
        <v>1606</v>
      </c>
      <c r="BB114" s="2" t="s">
        <v>79</v>
      </c>
      <c r="BE114" s="2" t="s">
        <v>1607</v>
      </c>
      <c r="BF114" s="2" t="s">
        <v>1608</v>
      </c>
    </row>
    <row r="115" spans="1:58" ht="46.5" customHeight="1">
      <c r="A115" s="1"/>
      <c r="B115" s="1" t="s">
        <v>58</v>
      </c>
      <c r="C115" s="1" t="s">
        <v>59</v>
      </c>
      <c r="D115" s="1" t="s">
        <v>1609</v>
      </c>
      <c r="E115" s="1" t="s">
        <v>1610</v>
      </c>
      <c r="F115" s="1" t="s">
        <v>1611</v>
      </c>
      <c r="H115" s="2" t="s">
        <v>63</v>
      </c>
      <c r="I115" s="2" t="s">
        <v>64</v>
      </c>
      <c r="J115" s="2" t="s">
        <v>63</v>
      </c>
      <c r="K115" s="2" t="s">
        <v>63</v>
      </c>
      <c r="L115" s="2" t="s">
        <v>65</v>
      </c>
      <c r="N115" s="1" t="s">
        <v>1612</v>
      </c>
      <c r="O115" s="2" t="s">
        <v>132</v>
      </c>
      <c r="Q115" s="2" t="s">
        <v>70</v>
      </c>
      <c r="R115" s="2" t="s">
        <v>704</v>
      </c>
      <c r="T115" s="2" t="s">
        <v>72</v>
      </c>
      <c r="U115" s="3">
        <v>17</v>
      </c>
      <c r="V115" s="3">
        <v>17</v>
      </c>
      <c r="W115" s="4" t="s">
        <v>1613</v>
      </c>
      <c r="X115" s="4" t="s">
        <v>1613</v>
      </c>
      <c r="Y115" s="4" t="s">
        <v>1614</v>
      </c>
      <c r="Z115" s="4" t="s">
        <v>1614</v>
      </c>
      <c r="AA115" s="3">
        <v>9</v>
      </c>
      <c r="AB115" s="3">
        <v>9</v>
      </c>
      <c r="AC115" s="3">
        <v>9</v>
      </c>
      <c r="AD115" s="3">
        <v>1</v>
      </c>
      <c r="AE115" s="3">
        <v>1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2" t="s">
        <v>63</v>
      </c>
      <c r="AS115" s="2" t="s">
        <v>63</v>
      </c>
      <c r="AU115" s="5" t="str">
        <f>HYPERLINK("https://creighton-primo.hosted.exlibrisgroup.com/primo-explore/search?tab=default_tab&amp;search_scope=EVERYTHING&amp;vid=01CRU&amp;lang=en_US&amp;offset=0&amp;query=any,contains,991001298659702656","Catalog Record")</f>
        <v>Catalog Record</v>
      </c>
      <c r="AV115" s="5" t="str">
        <f>HYPERLINK("http://www.worldcat.org/oclc/26268992","WorldCat Record")</f>
        <v>WorldCat Record</v>
      </c>
      <c r="AW115" s="2" t="s">
        <v>1615</v>
      </c>
      <c r="AX115" s="2" t="s">
        <v>1616</v>
      </c>
      <c r="AY115" s="2" t="s">
        <v>1617</v>
      </c>
      <c r="AZ115" s="2" t="s">
        <v>1617</v>
      </c>
      <c r="BA115" s="2" t="s">
        <v>1618</v>
      </c>
      <c r="BB115" s="2" t="s">
        <v>79</v>
      </c>
      <c r="BE115" s="2" t="s">
        <v>1619</v>
      </c>
      <c r="BF115" s="2" t="s">
        <v>1620</v>
      </c>
    </row>
    <row r="116" spans="1:58" ht="46.5" customHeight="1">
      <c r="A116" s="1"/>
      <c r="B116" s="1" t="s">
        <v>58</v>
      </c>
      <c r="C116" s="1" t="s">
        <v>59</v>
      </c>
      <c r="D116" s="1" t="s">
        <v>1621</v>
      </c>
      <c r="E116" s="1" t="s">
        <v>1622</v>
      </c>
      <c r="F116" s="1" t="s">
        <v>1623</v>
      </c>
      <c r="H116" s="2" t="s">
        <v>63</v>
      </c>
      <c r="I116" s="2" t="s">
        <v>64</v>
      </c>
      <c r="J116" s="2" t="s">
        <v>92</v>
      </c>
      <c r="K116" s="2" t="s">
        <v>92</v>
      </c>
      <c r="L116" s="2" t="s">
        <v>65</v>
      </c>
      <c r="M116" s="1" t="s">
        <v>1624</v>
      </c>
      <c r="N116" s="1" t="s">
        <v>1625</v>
      </c>
      <c r="O116" s="2" t="s">
        <v>229</v>
      </c>
      <c r="P116" s="1" t="s">
        <v>157</v>
      </c>
      <c r="Q116" s="2" t="s">
        <v>70</v>
      </c>
      <c r="R116" s="2" t="s">
        <v>470</v>
      </c>
      <c r="T116" s="2" t="s">
        <v>72</v>
      </c>
      <c r="U116" s="3">
        <v>12</v>
      </c>
      <c r="V116" s="3">
        <v>24</v>
      </c>
      <c r="W116" s="4" t="s">
        <v>1626</v>
      </c>
      <c r="X116" s="4" t="s">
        <v>1626</v>
      </c>
      <c r="Y116" s="4" t="s">
        <v>1627</v>
      </c>
      <c r="Z116" s="4" t="s">
        <v>1628</v>
      </c>
      <c r="AA116" s="3">
        <v>113</v>
      </c>
      <c r="AB116" s="3">
        <v>106</v>
      </c>
      <c r="AC116" s="3">
        <v>435</v>
      </c>
      <c r="AD116" s="3">
        <v>1</v>
      </c>
      <c r="AE116" s="3">
        <v>3</v>
      </c>
      <c r="AF116" s="3">
        <v>8</v>
      </c>
      <c r="AG116" s="3">
        <v>24</v>
      </c>
      <c r="AH116" s="3">
        <v>3</v>
      </c>
      <c r="AI116" s="3">
        <v>9</v>
      </c>
      <c r="AJ116" s="3">
        <v>1</v>
      </c>
      <c r="AK116" s="3">
        <v>3</v>
      </c>
      <c r="AL116" s="3">
        <v>1</v>
      </c>
      <c r="AM116" s="3">
        <v>3</v>
      </c>
      <c r="AN116" s="3">
        <v>0</v>
      </c>
      <c r="AO116" s="3">
        <v>1</v>
      </c>
      <c r="AP116" s="3">
        <v>5</v>
      </c>
      <c r="AQ116" s="3">
        <v>11</v>
      </c>
      <c r="AR116" s="2" t="s">
        <v>63</v>
      </c>
      <c r="AS116" s="2" t="s">
        <v>92</v>
      </c>
      <c r="AT116" s="5" t="str">
        <f>HYPERLINK("http://catalog.hathitrust.org/Record/003963472","HathiTrust Record")</f>
        <v>HathiTrust Record</v>
      </c>
      <c r="AU116" s="5" t="str">
        <f>HYPERLINK("https://creighton-primo.hosted.exlibrisgroup.com/primo-explore/search?tab=default_tab&amp;search_scope=EVERYTHING&amp;vid=01CRU&amp;lang=en_US&amp;offset=0&amp;query=any,contains,991001136389702656","Catalog Record")</f>
        <v>Catalog Record</v>
      </c>
      <c r="AV116" s="5" t="str">
        <f>HYPERLINK("http://www.worldcat.org/oclc/36848137","WorldCat Record")</f>
        <v>WorldCat Record</v>
      </c>
      <c r="AW116" s="2" t="s">
        <v>1629</v>
      </c>
      <c r="AX116" s="2" t="s">
        <v>1630</v>
      </c>
      <c r="AY116" s="2" t="s">
        <v>1631</v>
      </c>
      <c r="AZ116" s="2" t="s">
        <v>1631</v>
      </c>
      <c r="BA116" s="2" t="s">
        <v>1632</v>
      </c>
      <c r="BB116" s="2" t="s">
        <v>79</v>
      </c>
      <c r="BD116" s="2" t="s">
        <v>1633</v>
      </c>
      <c r="BE116" s="2" t="s">
        <v>1634</v>
      </c>
      <c r="BF116" s="2" t="s">
        <v>1635</v>
      </c>
    </row>
    <row r="117" spans="1:58" ht="46.5" customHeight="1">
      <c r="A117" s="1"/>
      <c r="B117" s="1" t="s">
        <v>58</v>
      </c>
      <c r="C117" s="1" t="s">
        <v>59</v>
      </c>
      <c r="D117" s="1" t="s">
        <v>1621</v>
      </c>
      <c r="E117" s="1" t="s">
        <v>1622</v>
      </c>
      <c r="F117" s="1" t="s">
        <v>1623</v>
      </c>
      <c r="H117" s="2" t="s">
        <v>63</v>
      </c>
      <c r="I117" s="2" t="s">
        <v>273</v>
      </c>
      <c r="J117" s="2" t="s">
        <v>92</v>
      </c>
      <c r="K117" s="2" t="s">
        <v>92</v>
      </c>
      <c r="L117" s="2" t="s">
        <v>65</v>
      </c>
      <c r="M117" s="1" t="s">
        <v>1624</v>
      </c>
      <c r="N117" s="1" t="s">
        <v>1625</v>
      </c>
      <c r="O117" s="2" t="s">
        <v>229</v>
      </c>
      <c r="P117" s="1" t="s">
        <v>157</v>
      </c>
      <c r="Q117" s="2" t="s">
        <v>70</v>
      </c>
      <c r="R117" s="2" t="s">
        <v>470</v>
      </c>
      <c r="T117" s="2" t="s">
        <v>72</v>
      </c>
      <c r="U117" s="3">
        <v>12</v>
      </c>
      <c r="V117" s="3">
        <v>24</v>
      </c>
      <c r="W117" s="4" t="s">
        <v>1636</v>
      </c>
      <c r="X117" s="4" t="s">
        <v>1626</v>
      </c>
      <c r="Y117" s="4" t="s">
        <v>1628</v>
      </c>
      <c r="Z117" s="4" t="s">
        <v>1628</v>
      </c>
      <c r="AA117" s="3">
        <v>113</v>
      </c>
      <c r="AB117" s="3">
        <v>106</v>
      </c>
      <c r="AC117" s="3">
        <v>435</v>
      </c>
      <c r="AD117" s="3">
        <v>1</v>
      </c>
      <c r="AE117" s="3">
        <v>3</v>
      </c>
      <c r="AF117" s="3">
        <v>8</v>
      </c>
      <c r="AG117" s="3">
        <v>24</v>
      </c>
      <c r="AH117" s="3">
        <v>3</v>
      </c>
      <c r="AI117" s="3">
        <v>9</v>
      </c>
      <c r="AJ117" s="3">
        <v>1</v>
      </c>
      <c r="AK117" s="3">
        <v>3</v>
      </c>
      <c r="AL117" s="3">
        <v>1</v>
      </c>
      <c r="AM117" s="3">
        <v>3</v>
      </c>
      <c r="AN117" s="3">
        <v>0</v>
      </c>
      <c r="AO117" s="3">
        <v>1</v>
      </c>
      <c r="AP117" s="3">
        <v>5</v>
      </c>
      <c r="AQ117" s="3">
        <v>11</v>
      </c>
      <c r="AR117" s="2" t="s">
        <v>63</v>
      </c>
      <c r="AS117" s="2" t="s">
        <v>92</v>
      </c>
      <c r="AT117" s="5" t="str">
        <f>HYPERLINK("http://catalog.hathitrust.org/Record/003963472","HathiTrust Record")</f>
        <v>HathiTrust Record</v>
      </c>
      <c r="AU117" s="5" t="str">
        <f>HYPERLINK("https://creighton-primo.hosted.exlibrisgroup.com/primo-explore/search?tab=default_tab&amp;search_scope=EVERYTHING&amp;vid=01CRU&amp;lang=en_US&amp;offset=0&amp;query=any,contains,991001136389702656","Catalog Record")</f>
        <v>Catalog Record</v>
      </c>
      <c r="AV117" s="5" t="str">
        <f>HYPERLINK("http://www.worldcat.org/oclc/36848137","WorldCat Record")</f>
        <v>WorldCat Record</v>
      </c>
      <c r="AW117" s="2" t="s">
        <v>1629</v>
      </c>
      <c r="AX117" s="2" t="s">
        <v>1630</v>
      </c>
      <c r="AY117" s="2" t="s">
        <v>1631</v>
      </c>
      <c r="AZ117" s="2" t="s">
        <v>1631</v>
      </c>
      <c r="BA117" s="2" t="s">
        <v>1632</v>
      </c>
      <c r="BB117" s="2" t="s">
        <v>79</v>
      </c>
      <c r="BD117" s="2" t="s">
        <v>1633</v>
      </c>
      <c r="BE117" s="2" t="s">
        <v>1637</v>
      </c>
      <c r="BF117" s="2" t="s">
        <v>1638</v>
      </c>
    </row>
    <row r="118" spans="1:58" ht="46.5" customHeight="1">
      <c r="A118" s="1"/>
      <c r="B118" s="1" t="s">
        <v>58</v>
      </c>
      <c r="C118" s="1" t="s">
        <v>59</v>
      </c>
      <c r="D118" s="1" t="s">
        <v>1639</v>
      </c>
      <c r="E118" s="1" t="s">
        <v>1640</v>
      </c>
      <c r="F118" s="1" t="s">
        <v>1641</v>
      </c>
      <c r="H118" s="2" t="s">
        <v>63</v>
      </c>
      <c r="I118" s="2" t="s">
        <v>64</v>
      </c>
      <c r="J118" s="2" t="s">
        <v>63</v>
      </c>
      <c r="K118" s="2" t="s">
        <v>92</v>
      </c>
      <c r="L118" s="2" t="s">
        <v>65</v>
      </c>
      <c r="M118" s="1" t="s">
        <v>1642</v>
      </c>
      <c r="N118" s="1" t="s">
        <v>1643</v>
      </c>
      <c r="O118" s="2" t="s">
        <v>215</v>
      </c>
      <c r="P118" s="1" t="s">
        <v>157</v>
      </c>
      <c r="Q118" s="2" t="s">
        <v>70</v>
      </c>
      <c r="R118" s="2" t="s">
        <v>691</v>
      </c>
      <c r="T118" s="2" t="s">
        <v>72</v>
      </c>
      <c r="U118" s="3">
        <v>9</v>
      </c>
      <c r="V118" s="3">
        <v>9</v>
      </c>
      <c r="W118" s="4" t="s">
        <v>1644</v>
      </c>
      <c r="X118" s="4" t="s">
        <v>1644</v>
      </c>
      <c r="Y118" s="4" t="s">
        <v>74</v>
      </c>
      <c r="Z118" s="4" t="s">
        <v>74</v>
      </c>
      <c r="AA118" s="3">
        <v>228</v>
      </c>
      <c r="AB118" s="3">
        <v>213</v>
      </c>
      <c r="AC118" s="3">
        <v>368</v>
      </c>
      <c r="AD118" s="3">
        <v>1</v>
      </c>
      <c r="AE118" s="3">
        <v>3</v>
      </c>
      <c r="AF118" s="3">
        <v>9</v>
      </c>
      <c r="AG118" s="3">
        <v>19</v>
      </c>
      <c r="AH118" s="3">
        <v>0</v>
      </c>
      <c r="AI118" s="3">
        <v>2</v>
      </c>
      <c r="AJ118" s="3">
        <v>1</v>
      </c>
      <c r="AK118" s="3">
        <v>2</v>
      </c>
      <c r="AL118" s="3">
        <v>0</v>
      </c>
      <c r="AM118" s="3">
        <v>1</v>
      </c>
      <c r="AN118" s="3">
        <v>0</v>
      </c>
      <c r="AO118" s="3">
        <v>0</v>
      </c>
      <c r="AP118" s="3">
        <v>8</v>
      </c>
      <c r="AQ118" s="3">
        <v>15</v>
      </c>
      <c r="AR118" s="2" t="s">
        <v>63</v>
      </c>
      <c r="AS118" s="2" t="s">
        <v>63</v>
      </c>
      <c r="AU118" s="5" t="str">
        <f>HYPERLINK("https://creighton-primo.hosted.exlibrisgroup.com/primo-explore/search?tab=default_tab&amp;search_scope=EVERYTHING&amp;vid=01CRU&amp;lang=en_US&amp;offset=0&amp;query=any,contains,991000951769702656","Catalog Record")</f>
        <v>Catalog Record</v>
      </c>
      <c r="AV118" s="5" t="str">
        <f>HYPERLINK("http://www.worldcat.org/oclc/10557638","WorldCat Record")</f>
        <v>WorldCat Record</v>
      </c>
      <c r="AW118" s="2" t="s">
        <v>1645</v>
      </c>
      <c r="AX118" s="2" t="s">
        <v>1646</v>
      </c>
      <c r="AY118" s="2" t="s">
        <v>1647</v>
      </c>
      <c r="AZ118" s="2" t="s">
        <v>1647</v>
      </c>
      <c r="BA118" s="2" t="s">
        <v>1648</v>
      </c>
      <c r="BB118" s="2" t="s">
        <v>79</v>
      </c>
      <c r="BD118" s="2" t="s">
        <v>1649</v>
      </c>
      <c r="BE118" s="2" t="s">
        <v>1650</v>
      </c>
      <c r="BF118" s="2" t="s">
        <v>1651</v>
      </c>
    </row>
    <row r="119" spans="1:58" ht="46.5" customHeight="1">
      <c r="A119" s="1"/>
      <c r="B119" s="1" t="s">
        <v>58</v>
      </c>
      <c r="C119" s="1" t="s">
        <v>59</v>
      </c>
      <c r="D119" s="1" t="s">
        <v>1652</v>
      </c>
      <c r="E119" s="1" t="s">
        <v>1653</v>
      </c>
      <c r="F119" s="1" t="s">
        <v>1654</v>
      </c>
      <c r="H119" s="2" t="s">
        <v>63</v>
      </c>
      <c r="I119" s="2" t="s">
        <v>64</v>
      </c>
      <c r="J119" s="2" t="s">
        <v>63</v>
      </c>
      <c r="K119" s="2" t="s">
        <v>92</v>
      </c>
      <c r="L119" s="2" t="s">
        <v>65</v>
      </c>
      <c r="M119" s="1" t="s">
        <v>1655</v>
      </c>
      <c r="N119" s="1" t="s">
        <v>842</v>
      </c>
      <c r="O119" s="2" t="s">
        <v>307</v>
      </c>
      <c r="Q119" s="2" t="s">
        <v>70</v>
      </c>
      <c r="R119" s="2" t="s">
        <v>89</v>
      </c>
      <c r="T119" s="2" t="s">
        <v>72</v>
      </c>
      <c r="U119" s="3">
        <v>23</v>
      </c>
      <c r="V119" s="3">
        <v>23</v>
      </c>
      <c r="W119" s="4" t="s">
        <v>1149</v>
      </c>
      <c r="X119" s="4" t="s">
        <v>1149</v>
      </c>
      <c r="Y119" s="4" t="s">
        <v>1656</v>
      </c>
      <c r="Z119" s="4" t="s">
        <v>1656</v>
      </c>
      <c r="AA119" s="3">
        <v>181</v>
      </c>
      <c r="AB119" s="3">
        <v>159</v>
      </c>
      <c r="AC119" s="3">
        <v>263</v>
      </c>
      <c r="AD119" s="3">
        <v>1</v>
      </c>
      <c r="AE119" s="3">
        <v>1</v>
      </c>
      <c r="AF119" s="3">
        <v>7</v>
      </c>
      <c r="AG119" s="3">
        <v>10</v>
      </c>
      <c r="AH119" s="3">
        <v>2</v>
      </c>
      <c r="AI119" s="3">
        <v>2</v>
      </c>
      <c r="AJ119" s="3">
        <v>2</v>
      </c>
      <c r="AK119" s="3">
        <v>2</v>
      </c>
      <c r="AL119" s="3">
        <v>1</v>
      </c>
      <c r="AM119" s="3">
        <v>1</v>
      </c>
      <c r="AN119" s="3">
        <v>0</v>
      </c>
      <c r="AO119" s="3">
        <v>0</v>
      </c>
      <c r="AP119" s="3">
        <v>3</v>
      </c>
      <c r="AQ119" s="3">
        <v>6</v>
      </c>
      <c r="AR119" s="2" t="s">
        <v>63</v>
      </c>
      <c r="AS119" s="2" t="s">
        <v>63</v>
      </c>
      <c r="AU119" s="5" t="str">
        <f>HYPERLINK("https://creighton-primo.hosted.exlibrisgroup.com/primo-explore/search?tab=default_tab&amp;search_scope=EVERYTHING&amp;vid=01CRU&amp;lang=en_US&amp;offset=0&amp;query=any,contains,991001528569702656","Catalog Record")</f>
        <v>Catalog Record</v>
      </c>
      <c r="AV119" s="5" t="str">
        <f>HYPERLINK("http://www.worldcat.org/oclc/12418611","WorldCat Record")</f>
        <v>WorldCat Record</v>
      </c>
      <c r="AW119" s="2" t="s">
        <v>1657</v>
      </c>
      <c r="AX119" s="2" t="s">
        <v>1658</v>
      </c>
      <c r="AY119" s="2" t="s">
        <v>1659</v>
      </c>
      <c r="AZ119" s="2" t="s">
        <v>1659</v>
      </c>
      <c r="BA119" s="2" t="s">
        <v>1660</v>
      </c>
      <c r="BB119" s="2" t="s">
        <v>79</v>
      </c>
      <c r="BD119" s="2" t="s">
        <v>1661</v>
      </c>
      <c r="BE119" s="2" t="s">
        <v>1662</v>
      </c>
      <c r="BF119" s="2" t="s">
        <v>1663</v>
      </c>
    </row>
    <row r="120" spans="1:58" ht="46.5" customHeight="1">
      <c r="A120" s="1"/>
      <c r="B120" s="1" t="s">
        <v>58</v>
      </c>
      <c r="C120" s="1" t="s">
        <v>59</v>
      </c>
      <c r="D120" s="1" t="s">
        <v>1664</v>
      </c>
      <c r="E120" s="1" t="s">
        <v>1665</v>
      </c>
      <c r="F120" s="1" t="s">
        <v>1654</v>
      </c>
      <c r="H120" s="2" t="s">
        <v>63</v>
      </c>
      <c r="I120" s="2" t="s">
        <v>64</v>
      </c>
      <c r="J120" s="2" t="s">
        <v>63</v>
      </c>
      <c r="K120" s="2" t="s">
        <v>92</v>
      </c>
      <c r="L120" s="2" t="s">
        <v>65</v>
      </c>
      <c r="M120" s="1" t="s">
        <v>1655</v>
      </c>
      <c r="N120" s="1" t="s">
        <v>1666</v>
      </c>
      <c r="O120" s="2" t="s">
        <v>132</v>
      </c>
      <c r="P120" s="1" t="s">
        <v>157</v>
      </c>
      <c r="Q120" s="2" t="s">
        <v>70</v>
      </c>
      <c r="R120" s="2" t="s">
        <v>260</v>
      </c>
      <c r="T120" s="2" t="s">
        <v>72</v>
      </c>
      <c r="U120" s="3">
        <v>19</v>
      </c>
      <c r="V120" s="3">
        <v>19</v>
      </c>
      <c r="W120" s="4" t="s">
        <v>1667</v>
      </c>
      <c r="X120" s="4" t="s">
        <v>1667</v>
      </c>
      <c r="Y120" s="4" t="s">
        <v>1668</v>
      </c>
      <c r="Z120" s="4" t="s">
        <v>1668</v>
      </c>
      <c r="AA120" s="3">
        <v>161</v>
      </c>
      <c r="AB120" s="3">
        <v>151</v>
      </c>
      <c r="AC120" s="3">
        <v>263</v>
      </c>
      <c r="AD120" s="3">
        <v>1</v>
      </c>
      <c r="AE120" s="3">
        <v>1</v>
      </c>
      <c r="AF120" s="3">
        <v>6</v>
      </c>
      <c r="AG120" s="3">
        <v>10</v>
      </c>
      <c r="AH120" s="3">
        <v>2</v>
      </c>
      <c r="AI120" s="3">
        <v>2</v>
      </c>
      <c r="AJ120" s="3">
        <v>2</v>
      </c>
      <c r="AK120" s="3">
        <v>2</v>
      </c>
      <c r="AL120" s="3">
        <v>0</v>
      </c>
      <c r="AM120" s="3">
        <v>1</v>
      </c>
      <c r="AN120" s="3">
        <v>0</v>
      </c>
      <c r="AO120" s="3">
        <v>0</v>
      </c>
      <c r="AP120" s="3">
        <v>3</v>
      </c>
      <c r="AQ120" s="3">
        <v>6</v>
      </c>
      <c r="AR120" s="2" t="s">
        <v>63</v>
      </c>
      <c r="AS120" s="2" t="s">
        <v>92</v>
      </c>
      <c r="AT120" s="5" t="str">
        <f>HYPERLINK("http://catalog.hathitrust.org/Record/002536532","HathiTrust Record")</f>
        <v>HathiTrust Record</v>
      </c>
      <c r="AU120" s="5" t="str">
        <f>HYPERLINK("https://creighton-primo.hosted.exlibrisgroup.com/primo-explore/search?tab=default_tab&amp;search_scope=EVERYTHING&amp;vid=01CRU&amp;lang=en_US&amp;offset=0&amp;query=any,contains,991001434329702656","Catalog Record")</f>
        <v>Catalog Record</v>
      </c>
      <c r="AV120" s="5" t="str">
        <f>HYPERLINK("http://www.worldcat.org/oclc/24669804","WorldCat Record")</f>
        <v>WorldCat Record</v>
      </c>
      <c r="AW120" s="2" t="s">
        <v>1657</v>
      </c>
      <c r="AX120" s="2" t="s">
        <v>1669</v>
      </c>
      <c r="AY120" s="2" t="s">
        <v>1670</v>
      </c>
      <c r="AZ120" s="2" t="s">
        <v>1670</v>
      </c>
      <c r="BA120" s="2" t="s">
        <v>1671</v>
      </c>
      <c r="BB120" s="2" t="s">
        <v>79</v>
      </c>
      <c r="BD120" s="2" t="s">
        <v>1672</v>
      </c>
      <c r="BE120" s="2" t="s">
        <v>1673</v>
      </c>
      <c r="BF120" s="2" t="s">
        <v>1674</v>
      </c>
    </row>
    <row r="121" spans="1:58" ht="46.5" customHeight="1">
      <c r="A121" s="1"/>
      <c r="B121" s="1" t="s">
        <v>58</v>
      </c>
      <c r="C121" s="1" t="s">
        <v>59</v>
      </c>
      <c r="D121" s="1" t="s">
        <v>1675</v>
      </c>
      <c r="E121" s="1" t="s">
        <v>1676</v>
      </c>
      <c r="F121" s="1" t="s">
        <v>1677</v>
      </c>
      <c r="H121" s="2" t="s">
        <v>63</v>
      </c>
      <c r="I121" s="2" t="s">
        <v>64</v>
      </c>
      <c r="J121" s="2" t="s">
        <v>63</v>
      </c>
      <c r="K121" s="2" t="s">
        <v>63</v>
      </c>
      <c r="L121" s="2" t="s">
        <v>65</v>
      </c>
      <c r="N121" s="1" t="s">
        <v>1678</v>
      </c>
      <c r="O121" s="2" t="s">
        <v>1254</v>
      </c>
      <c r="P121" s="1" t="s">
        <v>157</v>
      </c>
      <c r="Q121" s="2" t="s">
        <v>70</v>
      </c>
      <c r="R121" s="2" t="s">
        <v>377</v>
      </c>
      <c r="T121" s="2" t="s">
        <v>72</v>
      </c>
      <c r="U121" s="3">
        <v>2</v>
      </c>
      <c r="V121" s="3">
        <v>2</v>
      </c>
      <c r="W121" s="4" t="s">
        <v>1679</v>
      </c>
      <c r="X121" s="4" t="s">
        <v>1679</v>
      </c>
      <c r="Y121" s="4" t="s">
        <v>1680</v>
      </c>
      <c r="Z121" s="4" t="s">
        <v>1680</v>
      </c>
      <c r="AA121" s="3">
        <v>112</v>
      </c>
      <c r="AB121" s="3">
        <v>72</v>
      </c>
      <c r="AC121" s="3">
        <v>217</v>
      </c>
      <c r="AD121" s="3">
        <v>1</v>
      </c>
      <c r="AE121" s="3">
        <v>2</v>
      </c>
      <c r="AF121" s="3">
        <v>2</v>
      </c>
      <c r="AG121" s="3">
        <v>3</v>
      </c>
      <c r="AH121" s="3">
        <v>0</v>
      </c>
      <c r="AI121" s="3">
        <v>0</v>
      </c>
      <c r="AJ121" s="3">
        <v>1</v>
      </c>
      <c r="AK121" s="3">
        <v>1</v>
      </c>
      <c r="AL121" s="3">
        <v>0</v>
      </c>
      <c r="AM121" s="3">
        <v>0</v>
      </c>
      <c r="AN121" s="3">
        <v>0</v>
      </c>
      <c r="AO121" s="3">
        <v>1</v>
      </c>
      <c r="AP121" s="3">
        <v>1</v>
      </c>
      <c r="AQ121" s="3">
        <v>1</v>
      </c>
      <c r="AR121" s="2" t="s">
        <v>63</v>
      </c>
      <c r="AS121" s="2" t="s">
        <v>63</v>
      </c>
      <c r="AU121" s="5" t="str">
        <f>HYPERLINK("https://creighton-primo.hosted.exlibrisgroup.com/primo-explore/search?tab=default_tab&amp;search_scope=EVERYTHING&amp;vid=01CRU&amp;lang=en_US&amp;offset=0&amp;query=any,contains,991000349169702656","Catalog Record")</f>
        <v>Catalog Record</v>
      </c>
      <c r="AV121" s="5" t="str">
        <f>HYPERLINK("http://www.worldcat.org/oclc/45420161","WorldCat Record")</f>
        <v>WorldCat Record</v>
      </c>
      <c r="AW121" s="2" t="s">
        <v>1681</v>
      </c>
      <c r="AX121" s="2" t="s">
        <v>1682</v>
      </c>
      <c r="AY121" s="2" t="s">
        <v>1683</v>
      </c>
      <c r="AZ121" s="2" t="s">
        <v>1683</v>
      </c>
      <c r="BA121" s="2" t="s">
        <v>1684</v>
      </c>
      <c r="BB121" s="2" t="s">
        <v>79</v>
      </c>
      <c r="BD121" s="2" t="s">
        <v>1685</v>
      </c>
      <c r="BE121" s="2" t="s">
        <v>1686</v>
      </c>
      <c r="BF121" s="2" t="s">
        <v>1687</v>
      </c>
    </row>
    <row r="122" spans="1:58" ht="46.5" customHeight="1">
      <c r="A122" s="1"/>
      <c r="B122" s="1" t="s">
        <v>58</v>
      </c>
      <c r="C122" s="1" t="s">
        <v>59</v>
      </c>
      <c r="D122" s="1" t="s">
        <v>1688</v>
      </c>
      <c r="E122" s="1" t="s">
        <v>1689</v>
      </c>
      <c r="F122" s="1" t="s">
        <v>1690</v>
      </c>
      <c r="G122" s="2" t="s">
        <v>1691</v>
      </c>
      <c r="H122" s="2" t="s">
        <v>63</v>
      </c>
      <c r="I122" s="2" t="s">
        <v>64</v>
      </c>
      <c r="J122" s="2" t="s">
        <v>63</v>
      </c>
      <c r="K122" s="2" t="s">
        <v>63</v>
      </c>
      <c r="L122" s="2" t="s">
        <v>65</v>
      </c>
      <c r="N122" s="1" t="s">
        <v>1692</v>
      </c>
      <c r="O122" s="2" t="s">
        <v>1693</v>
      </c>
      <c r="Q122" s="2" t="s">
        <v>70</v>
      </c>
      <c r="R122" s="2" t="s">
        <v>786</v>
      </c>
      <c r="S122" s="1" t="s">
        <v>1694</v>
      </c>
      <c r="T122" s="2" t="s">
        <v>72</v>
      </c>
      <c r="U122" s="3">
        <v>5</v>
      </c>
      <c r="V122" s="3">
        <v>5</v>
      </c>
      <c r="W122" s="4" t="s">
        <v>1695</v>
      </c>
      <c r="X122" s="4" t="s">
        <v>1695</v>
      </c>
      <c r="Y122" s="4" t="s">
        <v>1696</v>
      </c>
      <c r="Z122" s="4" t="s">
        <v>1696</v>
      </c>
      <c r="AA122" s="3">
        <v>122</v>
      </c>
      <c r="AB122" s="3">
        <v>84</v>
      </c>
      <c r="AC122" s="3">
        <v>100</v>
      </c>
      <c r="AD122" s="3">
        <v>1</v>
      </c>
      <c r="AE122" s="3">
        <v>1</v>
      </c>
      <c r="AF122" s="3">
        <v>3</v>
      </c>
      <c r="AG122" s="3">
        <v>3</v>
      </c>
      <c r="AH122" s="3">
        <v>1</v>
      </c>
      <c r="AI122" s="3">
        <v>1</v>
      </c>
      <c r="AJ122" s="3">
        <v>2</v>
      </c>
      <c r="AK122" s="3">
        <v>2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2" t="s">
        <v>63</v>
      </c>
      <c r="AS122" s="2" t="s">
        <v>92</v>
      </c>
      <c r="AT122" s="5" t="str">
        <f>HYPERLINK("http://catalog.hathitrust.org/Record/001579311","HathiTrust Record")</f>
        <v>HathiTrust Record</v>
      </c>
      <c r="AU122" s="5" t="str">
        <f>HYPERLINK("https://creighton-primo.hosted.exlibrisgroup.com/primo-explore/search?tab=default_tab&amp;search_scope=EVERYTHING&amp;vid=01CRU&amp;lang=en_US&amp;offset=0&amp;query=any,contains,991000951849702656","Catalog Record")</f>
        <v>Catalog Record</v>
      </c>
      <c r="AV122" s="5" t="str">
        <f>HYPERLINK("http://www.worldcat.org/oclc/3515687","WorldCat Record")</f>
        <v>WorldCat Record</v>
      </c>
      <c r="AW122" s="2" t="s">
        <v>1697</v>
      </c>
      <c r="AX122" s="2" t="s">
        <v>1698</v>
      </c>
      <c r="AY122" s="2" t="s">
        <v>1699</v>
      </c>
      <c r="AZ122" s="2" t="s">
        <v>1699</v>
      </c>
      <c r="BA122" s="2" t="s">
        <v>1700</v>
      </c>
      <c r="BB122" s="2" t="s">
        <v>79</v>
      </c>
      <c r="BE122" s="2" t="s">
        <v>1701</v>
      </c>
      <c r="BF122" s="2" t="s">
        <v>1702</v>
      </c>
    </row>
    <row r="123" spans="1:58" ht="46.5" customHeight="1">
      <c r="A123" s="1"/>
      <c r="B123" s="1" t="s">
        <v>58</v>
      </c>
      <c r="C123" s="1" t="s">
        <v>59</v>
      </c>
      <c r="D123" s="1" t="s">
        <v>1703</v>
      </c>
      <c r="E123" s="1" t="s">
        <v>1704</v>
      </c>
      <c r="F123" s="1" t="s">
        <v>1705</v>
      </c>
      <c r="G123" s="2" t="s">
        <v>1706</v>
      </c>
      <c r="H123" s="2" t="s">
        <v>92</v>
      </c>
      <c r="I123" s="2" t="s">
        <v>64</v>
      </c>
      <c r="J123" s="2" t="s">
        <v>63</v>
      </c>
      <c r="K123" s="2" t="s">
        <v>63</v>
      </c>
      <c r="L123" s="2" t="s">
        <v>65</v>
      </c>
      <c r="N123" s="1" t="s">
        <v>1707</v>
      </c>
      <c r="O123" s="2" t="s">
        <v>1600</v>
      </c>
      <c r="Q123" s="2" t="s">
        <v>70</v>
      </c>
      <c r="R123" s="2" t="s">
        <v>786</v>
      </c>
      <c r="S123" s="1" t="s">
        <v>1708</v>
      </c>
      <c r="T123" s="2" t="s">
        <v>72</v>
      </c>
      <c r="U123" s="3">
        <v>0</v>
      </c>
      <c r="V123" s="3">
        <v>4</v>
      </c>
      <c r="X123" s="4" t="s">
        <v>1709</v>
      </c>
      <c r="Y123" s="4" t="s">
        <v>1696</v>
      </c>
      <c r="Z123" s="4" t="s">
        <v>1696</v>
      </c>
      <c r="AA123" s="3">
        <v>183</v>
      </c>
      <c r="AB123" s="3">
        <v>127</v>
      </c>
      <c r="AC123" s="3">
        <v>144</v>
      </c>
      <c r="AD123" s="3">
        <v>1</v>
      </c>
      <c r="AE123" s="3">
        <v>1</v>
      </c>
      <c r="AF123" s="3">
        <v>2</v>
      </c>
      <c r="AG123" s="3">
        <v>2</v>
      </c>
      <c r="AH123" s="3">
        <v>0</v>
      </c>
      <c r="AI123" s="3">
        <v>0</v>
      </c>
      <c r="AJ123" s="3">
        <v>2</v>
      </c>
      <c r="AK123" s="3">
        <v>2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2" t="s">
        <v>63</v>
      </c>
      <c r="AS123" s="2" t="s">
        <v>92</v>
      </c>
      <c r="AT123" s="5" t="str">
        <f>HYPERLINK("http://catalog.hathitrust.org/Record/008160488","HathiTrust Record")</f>
        <v>HathiTrust Record</v>
      </c>
      <c r="AU123" s="5" t="str">
        <f>HYPERLINK("https://creighton-primo.hosted.exlibrisgroup.com/primo-explore/search?tab=default_tab&amp;search_scope=EVERYTHING&amp;vid=01CRU&amp;lang=en_US&amp;offset=0&amp;query=any,contains,991000951809702656","Catalog Record")</f>
        <v>Catalog Record</v>
      </c>
      <c r="AV123" s="5" t="str">
        <f>HYPERLINK("http://www.worldcat.org/oclc/155228","WorldCat Record")</f>
        <v>WorldCat Record</v>
      </c>
      <c r="AW123" s="2" t="s">
        <v>1710</v>
      </c>
      <c r="AX123" s="2" t="s">
        <v>1711</v>
      </c>
      <c r="AY123" s="2" t="s">
        <v>1712</v>
      </c>
      <c r="AZ123" s="2" t="s">
        <v>1712</v>
      </c>
      <c r="BA123" s="2" t="s">
        <v>1713</v>
      </c>
      <c r="BB123" s="2" t="s">
        <v>79</v>
      </c>
      <c r="BE123" s="2" t="s">
        <v>1714</v>
      </c>
      <c r="BF123" s="2" t="s">
        <v>1715</v>
      </c>
    </row>
    <row r="124" spans="1:58" ht="46.5" customHeight="1">
      <c r="A124" s="1"/>
      <c r="B124" s="1" t="s">
        <v>58</v>
      </c>
      <c r="C124" s="1" t="s">
        <v>59</v>
      </c>
      <c r="D124" s="1" t="s">
        <v>1703</v>
      </c>
      <c r="E124" s="1" t="s">
        <v>1704</v>
      </c>
      <c r="F124" s="1" t="s">
        <v>1705</v>
      </c>
      <c r="G124" s="2" t="s">
        <v>1716</v>
      </c>
      <c r="H124" s="2" t="s">
        <v>92</v>
      </c>
      <c r="I124" s="2" t="s">
        <v>64</v>
      </c>
      <c r="J124" s="2" t="s">
        <v>63</v>
      </c>
      <c r="K124" s="2" t="s">
        <v>63</v>
      </c>
      <c r="L124" s="2" t="s">
        <v>65</v>
      </c>
      <c r="N124" s="1" t="s">
        <v>1707</v>
      </c>
      <c r="O124" s="2" t="s">
        <v>1600</v>
      </c>
      <c r="Q124" s="2" t="s">
        <v>70</v>
      </c>
      <c r="R124" s="2" t="s">
        <v>786</v>
      </c>
      <c r="S124" s="1" t="s">
        <v>1708</v>
      </c>
      <c r="T124" s="2" t="s">
        <v>72</v>
      </c>
      <c r="U124" s="3">
        <v>4</v>
      </c>
      <c r="V124" s="3">
        <v>4</v>
      </c>
      <c r="W124" s="4" t="s">
        <v>1709</v>
      </c>
      <c r="X124" s="4" t="s">
        <v>1709</v>
      </c>
      <c r="Y124" s="4" t="s">
        <v>1696</v>
      </c>
      <c r="Z124" s="4" t="s">
        <v>1696</v>
      </c>
      <c r="AA124" s="3">
        <v>183</v>
      </c>
      <c r="AB124" s="3">
        <v>127</v>
      </c>
      <c r="AC124" s="3">
        <v>144</v>
      </c>
      <c r="AD124" s="3">
        <v>1</v>
      </c>
      <c r="AE124" s="3">
        <v>1</v>
      </c>
      <c r="AF124" s="3">
        <v>2</v>
      </c>
      <c r="AG124" s="3">
        <v>2</v>
      </c>
      <c r="AH124" s="3">
        <v>0</v>
      </c>
      <c r="AI124" s="3">
        <v>0</v>
      </c>
      <c r="AJ124" s="3">
        <v>2</v>
      </c>
      <c r="AK124" s="3">
        <v>2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2" t="s">
        <v>63</v>
      </c>
      <c r="AS124" s="2" t="s">
        <v>92</v>
      </c>
      <c r="AT124" s="5" t="str">
        <f>HYPERLINK("http://catalog.hathitrust.org/Record/008160488","HathiTrust Record")</f>
        <v>HathiTrust Record</v>
      </c>
      <c r="AU124" s="5" t="str">
        <f>HYPERLINK("https://creighton-primo.hosted.exlibrisgroup.com/primo-explore/search?tab=default_tab&amp;search_scope=EVERYTHING&amp;vid=01CRU&amp;lang=en_US&amp;offset=0&amp;query=any,contains,991000951809702656","Catalog Record")</f>
        <v>Catalog Record</v>
      </c>
      <c r="AV124" s="5" t="str">
        <f>HYPERLINK("http://www.worldcat.org/oclc/155228","WorldCat Record")</f>
        <v>WorldCat Record</v>
      </c>
      <c r="AW124" s="2" t="s">
        <v>1710</v>
      </c>
      <c r="AX124" s="2" t="s">
        <v>1711</v>
      </c>
      <c r="AY124" s="2" t="s">
        <v>1712</v>
      </c>
      <c r="AZ124" s="2" t="s">
        <v>1712</v>
      </c>
      <c r="BA124" s="2" t="s">
        <v>1713</v>
      </c>
      <c r="BB124" s="2" t="s">
        <v>79</v>
      </c>
      <c r="BE124" s="2" t="s">
        <v>1717</v>
      </c>
      <c r="BF124" s="2" t="s">
        <v>1718</v>
      </c>
    </row>
    <row r="125" spans="1:58" ht="46.5" customHeight="1">
      <c r="A125" s="1"/>
      <c r="B125" s="1" t="s">
        <v>58</v>
      </c>
      <c r="C125" s="1" t="s">
        <v>59</v>
      </c>
      <c r="D125" s="1" t="s">
        <v>1719</v>
      </c>
      <c r="E125" s="1" t="s">
        <v>1720</v>
      </c>
      <c r="F125" s="1" t="s">
        <v>1721</v>
      </c>
      <c r="H125" s="2" t="s">
        <v>63</v>
      </c>
      <c r="I125" s="2" t="s">
        <v>64</v>
      </c>
      <c r="J125" s="2" t="s">
        <v>63</v>
      </c>
      <c r="K125" s="2" t="s">
        <v>63</v>
      </c>
      <c r="L125" s="2" t="s">
        <v>65</v>
      </c>
      <c r="M125" s="1" t="s">
        <v>1722</v>
      </c>
      <c r="N125" s="1" t="s">
        <v>1723</v>
      </c>
      <c r="O125" s="2" t="s">
        <v>718</v>
      </c>
      <c r="P125" s="1" t="s">
        <v>1724</v>
      </c>
      <c r="Q125" s="2" t="s">
        <v>70</v>
      </c>
      <c r="R125" s="2" t="s">
        <v>1364</v>
      </c>
      <c r="T125" s="2" t="s">
        <v>72</v>
      </c>
      <c r="U125" s="3">
        <v>2</v>
      </c>
      <c r="V125" s="3">
        <v>2</v>
      </c>
      <c r="W125" s="4" t="s">
        <v>1725</v>
      </c>
      <c r="X125" s="4" t="s">
        <v>1725</v>
      </c>
      <c r="Y125" s="4" t="s">
        <v>1726</v>
      </c>
      <c r="Z125" s="4" t="s">
        <v>1726</v>
      </c>
      <c r="AA125" s="3">
        <v>12</v>
      </c>
      <c r="AB125" s="3">
        <v>12</v>
      </c>
      <c r="AC125" s="3">
        <v>12</v>
      </c>
      <c r="AD125" s="3">
        <v>1</v>
      </c>
      <c r="AE125" s="3">
        <v>1</v>
      </c>
      <c r="AF125" s="3">
        <v>1</v>
      </c>
      <c r="AG125" s="3">
        <v>1</v>
      </c>
      <c r="AH125" s="3">
        <v>1</v>
      </c>
      <c r="AI125" s="3">
        <v>1</v>
      </c>
      <c r="AJ125" s="3">
        <v>1</v>
      </c>
      <c r="AK125" s="3">
        <v>1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2" t="s">
        <v>63</v>
      </c>
      <c r="AS125" s="2" t="s">
        <v>63</v>
      </c>
      <c r="AU125" s="5" t="str">
        <f>HYPERLINK("https://creighton-primo.hosted.exlibrisgroup.com/primo-explore/search?tab=default_tab&amp;search_scope=EVERYTHING&amp;vid=01CRU&amp;lang=en_US&amp;offset=0&amp;query=any,contains,991000951969702656","Catalog Record")</f>
        <v>Catalog Record</v>
      </c>
      <c r="AV125" s="5" t="str">
        <f>HYPERLINK("http://www.worldcat.org/oclc/3851970","WorldCat Record")</f>
        <v>WorldCat Record</v>
      </c>
      <c r="AW125" s="2" t="s">
        <v>1727</v>
      </c>
      <c r="AX125" s="2" t="s">
        <v>1728</v>
      </c>
      <c r="AY125" s="2" t="s">
        <v>1729</v>
      </c>
      <c r="AZ125" s="2" t="s">
        <v>1729</v>
      </c>
      <c r="BA125" s="2" t="s">
        <v>1730</v>
      </c>
      <c r="BB125" s="2" t="s">
        <v>79</v>
      </c>
      <c r="BD125" s="2" t="s">
        <v>1731</v>
      </c>
      <c r="BE125" s="2" t="s">
        <v>1732</v>
      </c>
      <c r="BF125" s="2" t="s">
        <v>1733</v>
      </c>
    </row>
    <row r="126" spans="1:58" ht="46.5" customHeight="1">
      <c r="A126" s="1"/>
      <c r="B126" s="1" t="s">
        <v>58</v>
      </c>
      <c r="C126" s="1" t="s">
        <v>59</v>
      </c>
      <c r="D126" s="1" t="s">
        <v>1734</v>
      </c>
      <c r="E126" s="1" t="s">
        <v>1735</v>
      </c>
      <c r="F126" s="1" t="s">
        <v>1736</v>
      </c>
      <c r="H126" s="2" t="s">
        <v>63</v>
      </c>
      <c r="I126" s="2" t="s">
        <v>64</v>
      </c>
      <c r="J126" s="2" t="s">
        <v>63</v>
      </c>
      <c r="K126" s="2" t="s">
        <v>63</v>
      </c>
      <c r="L126" s="2" t="s">
        <v>65</v>
      </c>
      <c r="M126" s="1" t="s">
        <v>1737</v>
      </c>
      <c r="N126" s="1" t="s">
        <v>1738</v>
      </c>
      <c r="O126" s="2" t="s">
        <v>440</v>
      </c>
      <c r="Q126" s="2" t="s">
        <v>70</v>
      </c>
      <c r="R126" s="2" t="s">
        <v>1739</v>
      </c>
      <c r="T126" s="2" t="s">
        <v>72</v>
      </c>
      <c r="U126" s="3">
        <v>1</v>
      </c>
      <c r="V126" s="3">
        <v>1</v>
      </c>
      <c r="W126" s="4" t="s">
        <v>1740</v>
      </c>
      <c r="X126" s="4" t="s">
        <v>1740</v>
      </c>
      <c r="Y126" s="4" t="s">
        <v>1431</v>
      </c>
      <c r="Z126" s="4" t="s">
        <v>1431</v>
      </c>
      <c r="AA126" s="3">
        <v>132</v>
      </c>
      <c r="AB126" s="3">
        <v>79</v>
      </c>
      <c r="AC126" s="3">
        <v>591</v>
      </c>
      <c r="AD126" s="3">
        <v>1</v>
      </c>
      <c r="AE126" s="3">
        <v>5</v>
      </c>
      <c r="AF126" s="3">
        <v>3</v>
      </c>
      <c r="AG126" s="3">
        <v>26</v>
      </c>
      <c r="AH126" s="3">
        <v>2</v>
      </c>
      <c r="AI126" s="3">
        <v>9</v>
      </c>
      <c r="AJ126" s="3">
        <v>1</v>
      </c>
      <c r="AK126" s="3">
        <v>8</v>
      </c>
      <c r="AL126" s="3">
        <v>0</v>
      </c>
      <c r="AM126" s="3">
        <v>8</v>
      </c>
      <c r="AN126" s="3">
        <v>0</v>
      </c>
      <c r="AO126" s="3">
        <v>4</v>
      </c>
      <c r="AP126" s="3">
        <v>0</v>
      </c>
      <c r="AQ126" s="3">
        <v>1</v>
      </c>
      <c r="AR126" s="2" t="s">
        <v>63</v>
      </c>
      <c r="AS126" s="2" t="s">
        <v>92</v>
      </c>
      <c r="AT126" s="5" t="str">
        <f>HYPERLINK("http://catalog.hathitrust.org/Record/004336865","HathiTrust Record")</f>
        <v>HathiTrust Record</v>
      </c>
      <c r="AU126" s="5" t="str">
        <f>HYPERLINK("https://creighton-primo.hosted.exlibrisgroup.com/primo-explore/search?tab=default_tab&amp;search_scope=EVERYTHING&amp;vid=01CRU&amp;lang=en_US&amp;offset=0&amp;query=any,contains,991000411019702656","Catalog Record")</f>
        <v>Catalog Record</v>
      </c>
      <c r="AV126" s="5" t="str">
        <f>HYPERLINK("http://www.worldcat.org/oclc/52295258","WorldCat Record")</f>
        <v>WorldCat Record</v>
      </c>
      <c r="AW126" s="2" t="s">
        <v>1741</v>
      </c>
      <c r="AX126" s="2" t="s">
        <v>1742</v>
      </c>
      <c r="AY126" s="2" t="s">
        <v>1743</v>
      </c>
      <c r="AZ126" s="2" t="s">
        <v>1743</v>
      </c>
      <c r="BA126" s="2" t="s">
        <v>1744</v>
      </c>
      <c r="BB126" s="2" t="s">
        <v>79</v>
      </c>
      <c r="BD126" s="2" t="s">
        <v>1745</v>
      </c>
      <c r="BE126" s="2" t="s">
        <v>1746</v>
      </c>
      <c r="BF126" s="2" t="s">
        <v>1747</v>
      </c>
    </row>
    <row r="127" spans="1:58" ht="46.5" customHeight="1">
      <c r="A127" s="1"/>
      <c r="B127" s="1" t="s">
        <v>58</v>
      </c>
      <c r="C127" s="1" t="s">
        <v>59</v>
      </c>
      <c r="D127" s="1" t="s">
        <v>1748</v>
      </c>
      <c r="E127" s="1" t="s">
        <v>1749</v>
      </c>
      <c r="F127" s="1" t="s">
        <v>1750</v>
      </c>
      <c r="H127" s="2" t="s">
        <v>63</v>
      </c>
      <c r="I127" s="2" t="s">
        <v>64</v>
      </c>
      <c r="J127" s="2" t="s">
        <v>63</v>
      </c>
      <c r="K127" s="2" t="s">
        <v>63</v>
      </c>
      <c r="L127" s="2" t="s">
        <v>65</v>
      </c>
      <c r="M127" s="1" t="s">
        <v>1751</v>
      </c>
      <c r="N127" s="1" t="s">
        <v>1752</v>
      </c>
      <c r="O127" s="2" t="s">
        <v>198</v>
      </c>
      <c r="Q127" s="2" t="s">
        <v>70</v>
      </c>
      <c r="R127" s="2" t="s">
        <v>277</v>
      </c>
      <c r="T127" s="2" t="s">
        <v>72</v>
      </c>
      <c r="U127" s="3">
        <v>6</v>
      </c>
      <c r="V127" s="3">
        <v>6</v>
      </c>
      <c r="W127" s="4" t="s">
        <v>1753</v>
      </c>
      <c r="X127" s="4" t="s">
        <v>1753</v>
      </c>
      <c r="Y127" s="4" t="s">
        <v>1754</v>
      </c>
      <c r="Z127" s="4" t="s">
        <v>1754</v>
      </c>
      <c r="AA127" s="3">
        <v>81</v>
      </c>
      <c r="AB127" s="3">
        <v>55</v>
      </c>
      <c r="AC127" s="3">
        <v>82</v>
      </c>
      <c r="AD127" s="3">
        <v>1</v>
      </c>
      <c r="AE127" s="3">
        <v>1</v>
      </c>
      <c r="AF127" s="3">
        <v>2</v>
      </c>
      <c r="AG127" s="3">
        <v>3</v>
      </c>
      <c r="AH127" s="3">
        <v>1</v>
      </c>
      <c r="AI127" s="3">
        <v>2</v>
      </c>
      <c r="AJ127" s="3">
        <v>1</v>
      </c>
      <c r="AK127" s="3">
        <v>1</v>
      </c>
      <c r="AL127" s="3">
        <v>1</v>
      </c>
      <c r="AM127" s="3">
        <v>2</v>
      </c>
      <c r="AN127" s="3">
        <v>0</v>
      </c>
      <c r="AO127" s="3">
        <v>0</v>
      </c>
      <c r="AP127" s="3">
        <v>0</v>
      </c>
      <c r="AQ127" s="3">
        <v>0</v>
      </c>
      <c r="AR127" s="2" t="s">
        <v>63</v>
      </c>
      <c r="AS127" s="2" t="s">
        <v>63</v>
      </c>
      <c r="AU127" s="5" t="str">
        <f>HYPERLINK("https://creighton-primo.hosted.exlibrisgroup.com/primo-explore/search?tab=default_tab&amp;search_scope=EVERYTHING&amp;vid=01CRU&amp;lang=en_US&amp;offset=0&amp;query=any,contains,991001021499702656","Catalog Record")</f>
        <v>Catalog Record</v>
      </c>
      <c r="AV127" s="5" t="str">
        <f>HYPERLINK("http://www.worldcat.org/oclc/24065077","WorldCat Record")</f>
        <v>WorldCat Record</v>
      </c>
      <c r="AW127" s="2" t="s">
        <v>1755</v>
      </c>
      <c r="AX127" s="2" t="s">
        <v>1756</v>
      </c>
      <c r="AY127" s="2" t="s">
        <v>1757</v>
      </c>
      <c r="AZ127" s="2" t="s">
        <v>1757</v>
      </c>
      <c r="BA127" s="2" t="s">
        <v>1758</v>
      </c>
      <c r="BB127" s="2" t="s">
        <v>79</v>
      </c>
      <c r="BD127" s="2" t="s">
        <v>1759</v>
      </c>
      <c r="BE127" s="2" t="s">
        <v>1760</v>
      </c>
      <c r="BF127" s="2" t="s">
        <v>1761</v>
      </c>
    </row>
    <row r="128" spans="1:58" ht="46.5" customHeight="1">
      <c r="A128" s="1"/>
      <c r="B128" s="1" t="s">
        <v>58</v>
      </c>
      <c r="C128" s="1" t="s">
        <v>59</v>
      </c>
      <c r="D128" s="1" t="s">
        <v>1762</v>
      </c>
      <c r="E128" s="1" t="s">
        <v>1763</v>
      </c>
      <c r="F128" s="1" t="s">
        <v>1764</v>
      </c>
      <c r="H128" s="2" t="s">
        <v>63</v>
      </c>
      <c r="I128" s="2" t="s">
        <v>64</v>
      </c>
      <c r="J128" s="2" t="s">
        <v>63</v>
      </c>
      <c r="K128" s="2" t="s">
        <v>63</v>
      </c>
      <c r="L128" s="2" t="s">
        <v>65</v>
      </c>
      <c r="M128" s="1" t="s">
        <v>1765</v>
      </c>
      <c r="N128" s="1" t="s">
        <v>1766</v>
      </c>
      <c r="O128" s="2" t="s">
        <v>307</v>
      </c>
      <c r="Q128" s="2" t="s">
        <v>70</v>
      </c>
      <c r="R128" s="2" t="s">
        <v>377</v>
      </c>
      <c r="T128" s="2" t="s">
        <v>72</v>
      </c>
      <c r="U128" s="3">
        <v>15</v>
      </c>
      <c r="V128" s="3">
        <v>15</v>
      </c>
      <c r="W128" s="4" t="s">
        <v>1767</v>
      </c>
      <c r="X128" s="4" t="s">
        <v>1767</v>
      </c>
      <c r="Y128" s="4" t="s">
        <v>1726</v>
      </c>
      <c r="Z128" s="4" t="s">
        <v>1726</v>
      </c>
      <c r="AA128" s="3">
        <v>128</v>
      </c>
      <c r="AB128" s="3">
        <v>74</v>
      </c>
      <c r="AC128" s="3">
        <v>74</v>
      </c>
      <c r="AD128" s="3">
        <v>1</v>
      </c>
      <c r="AE128" s="3">
        <v>1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2" t="s">
        <v>63</v>
      </c>
      <c r="AS128" s="2" t="s">
        <v>63</v>
      </c>
      <c r="AU128" s="5" t="str">
        <f>HYPERLINK("https://creighton-primo.hosted.exlibrisgroup.com/primo-explore/search?tab=default_tab&amp;search_scope=EVERYTHING&amp;vid=01CRU&amp;lang=en_US&amp;offset=0&amp;query=any,contains,991000951929702656","Catalog Record")</f>
        <v>Catalog Record</v>
      </c>
      <c r="AV128" s="5" t="str">
        <f>HYPERLINK("http://www.worldcat.org/oclc/12977848","WorldCat Record")</f>
        <v>WorldCat Record</v>
      </c>
      <c r="AW128" s="2" t="s">
        <v>1768</v>
      </c>
      <c r="AX128" s="2" t="s">
        <v>1769</v>
      </c>
      <c r="AY128" s="2" t="s">
        <v>1770</v>
      </c>
      <c r="AZ128" s="2" t="s">
        <v>1770</v>
      </c>
      <c r="BA128" s="2" t="s">
        <v>1771</v>
      </c>
      <c r="BB128" s="2" t="s">
        <v>79</v>
      </c>
      <c r="BD128" s="2" t="s">
        <v>1772</v>
      </c>
      <c r="BE128" s="2" t="s">
        <v>1773</v>
      </c>
      <c r="BF128" s="2" t="s">
        <v>1774</v>
      </c>
    </row>
    <row r="129" spans="1:58" ht="46.5" customHeight="1">
      <c r="A129" s="1"/>
      <c r="B129" s="1" t="s">
        <v>58</v>
      </c>
      <c r="C129" s="1" t="s">
        <v>59</v>
      </c>
      <c r="D129" s="1" t="s">
        <v>1775</v>
      </c>
      <c r="E129" s="1" t="s">
        <v>1776</v>
      </c>
      <c r="F129" s="1" t="s">
        <v>1777</v>
      </c>
      <c r="H129" s="2" t="s">
        <v>63</v>
      </c>
      <c r="I129" s="2" t="s">
        <v>64</v>
      </c>
      <c r="J129" s="2" t="s">
        <v>63</v>
      </c>
      <c r="K129" s="2" t="s">
        <v>92</v>
      </c>
      <c r="L129" s="2" t="s">
        <v>273</v>
      </c>
      <c r="M129" s="1" t="s">
        <v>1778</v>
      </c>
      <c r="N129" s="1" t="s">
        <v>1779</v>
      </c>
      <c r="O129" s="2" t="s">
        <v>554</v>
      </c>
      <c r="P129" s="1" t="s">
        <v>230</v>
      </c>
      <c r="Q129" s="2" t="s">
        <v>70</v>
      </c>
      <c r="R129" s="2" t="s">
        <v>470</v>
      </c>
      <c r="T129" s="2" t="s">
        <v>72</v>
      </c>
      <c r="U129" s="3">
        <v>32</v>
      </c>
      <c r="V129" s="3">
        <v>32</v>
      </c>
      <c r="W129" s="4" t="s">
        <v>1780</v>
      </c>
      <c r="X129" s="4" t="s">
        <v>1780</v>
      </c>
      <c r="Y129" s="4" t="s">
        <v>1781</v>
      </c>
      <c r="Z129" s="4" t="s">
        <v>1781</v>
      </c>
      <c r="AA129" s="3">
        <v>237</v>
      </c>
      <c r="AB129" s="3">
        <v>160</v>
      </c>
      <c r="AC129" s="3">
        <v>1284</v>
      </c>
      <c r="AD129" s="3">
        <v>2</v>
      </c>
      <c r="AE129" s="3">
        <v>16</v>
      </c>
      <c r="AF129" s="3">
        <v>2</v>
      </c>
      <c r="AG129" s="3">
        <v>50</v>
      </c>
      <c r="AH129" s="3">
        <v>1</v>
      </c>
      <c r="AI129" s="3">
        <v>16</v>
      </c>
      <c r="AJ129" s="3">
        <v>0</v>
      </c>
      <c r="AK129" s="3">
        <v>11</v>
      </c>
      <c r="AL129" s="3">
        <v>1</v>
      </c>
      <c r="AM129" s="3">
        <v>17</v>
      </c>
      <c r="AN129" s="3">
        <v>0</v>
      </c>
      <c r="AO129" s="3">
        <v>13</v>
      </c>
      <c r="AP129" s="3">
        <v>0</v>
      </c>
      <c r="AQ129" s="3">
        <v>2</v>
      </c>
      <c r="AR129" s="2" t="s">
        <v>63</v>
      </c>
      <c r="AS129" s="2" t="s">
        <v>63</v>
      </c>
      <c r="AU129" s="5" t="str">
        <f>HYPERLINK("https://creighton-primo.hosted.exlibrisgroup.com/primo-explore/search?tab=default_tab&amp;search_scope=EVERYTHING&amp;vid=01CRU&amp;lang=en_US&amp;offset=0&amp;query=any,contains,991001194779702656","Catalog Record")</f>
        <v>Catalog Record</v>
      </c>
      <c r="AV129" s="5" t="str">
        <f>HYPERLINK("http://www.worldcat.org/oclc/30376139","WorldCat Record")</f>
        <v>WorldCat Record</v>
      </c>
      <c r="AW129" s="2" t="s">
        <v>1782</v>
      </c>
      <c r="AX129" s="2" t="s">
        <v>1783</v>
      </c>
      <c r="AY129" s="2" t="s">
        <v>1784</v>
      </c>
      <c r="AZ129" s="2" t="s">
        <v>1784</v>
      </c>
      <c r="BA129" s="2" t="s">
        <v>1785</v>
      </c>
      <c r="BB129" s="2" t="s">
        <v>79</v>
      </c>
      <c r="BD129" s="2" t="s">
        <v>1786</v>
      </c>
      <c r="BE129" s="2" t="s">
        <v>1787</v>
      </c>
      <c r="BF129" s="2" t="s">
        <v>1788</v>
      </c>
    </row>
    <row r="130" spans="1:58" ht="46.5" customHeight="1">
      <c r="A130" s="1"/>
      <c r="B130" s="1" t="s">
        <v>58</v>
      </c>
      <c r="C130" s="1" t="s">
        <v>59</v>
      </c>
      <c r="D130" s="1" t="s">
        <v>1789</v>
      </c>
      <c r="E130" s="1" t="s">
        <v>1790</v>
      </c>
      <c r="F130" s="1" t="s">
        <v>1777</v>
      </c>
      <c r="H130" s="2" t="s">
        <v>63</v>
      </c>
      <c r="I130" s="2" t="s">
        <v>273</v>
      </c>
      <c r="J130" s="2" t="s">
        <v>63</v>
      </c>
      <c r="K130" s="2" t="s">
        <v>92</v>
      </c>
      <c r="L130" s="2" t="s">
        <v>273</v>
      </c>
      <c r="M130" s="1" t="s">
        <v>1778</v>
      </c>
      <c r="N130" s="1" t="s">
        <v>1791</v>
      </c>
      <c r="O130" s="2" t="s">
        <v>348</v>
      </c>
      <c r="P130" s="1" t="s">
        <v>105</v>
      </c>
      <c r="Q130" s="2" t="s">
        <v>70</v>
      </c>
      <c r="R130" s="2" t="s">
        <v>470</v>
      </c>
      <c r="T130" s="2" t="s">
        <v>72</v>
      </c>
      <c r="U130" s="3">
        <v>95</v>
      </c>
      <c r="V130" s="3">
        <v>95</v>
      </c>
      <c r="W130" s="4" t="s">
        <v>1792</v>
      </c>
      <c r="X130" s="4" t="s">
        <v>1792</v>
      </c>
      <c r="Y130" s="4" t="s">
        <v>1793</v>
      </c>
      <c r="Z130" s="4" t="s">
        <v>1793</v>
      </c>
      <c r="AA130" s="3">
        <v>245</v>
      </c>
      <c r="AB130" s="3">
        <v>175</v>
      </c>
      <c r="AC130" s="3">
        <v>1284</v>
      </c>
      <c r="AD130" s="3">
        <v>3</v>
      </c>
      <c r="AE130" s="3">
        <v>16</v>
      </c>
      <c r="AF130" s="3">
        <v>6</v>
      </c>
      <c r="AG130" s="3">
        <v>50</v>
      </c>
      <c r="AH130" s="3">
        <v>3</v>
      </c>
      <c r="AI130" s="3">
        <v>16</v>
      </c>
      <c r="AJ130" s="3">
        <v>1</v>
      </c>
      <c r="AK130" s="3">
        <v>11</v>
      </c>
      <c r="AL130" s="3">
        <v>2</v>
      </c>
      <c r="AM130" s="3">
        <v>17</v>
      </c>
      <c r="AN130" s="3">
        <v>1</v>
      </c>
      <c r="AO130" s="3">
        <v>13</v>
      </c>
      <c r="AP130" s="3">
        <v>0</v>
      </c>
      <c r="AQ130" s="3">
        <v>2</v>
      </c>
      <c r="AR130" s="2" t="s">
        <v>63</v>
      </c>
      <c r="AS130" s="2" t="s">
        <v>63</v>
      </c>
      <c r="AU130" s="5" t="str">
        <f>HYPERLINK("https://creighton-primo.hosted.exlibrisgroup.com/primo-explore/search?tab=default_tab&amp;search_scope=EVERYTHING&amp;vid=01CRU&amp;lang=en_US&amp;offset=0&amp;query=any,contains,991000666659702656","Catalog Record")</f>
        <v>Catalog Record</v>
      </c>
      <c r="AV130" s="5" t="str">
        <f>HYPERLINK("http://www.worldcat.org/oclc/38016987","WorldCat Record")</f>
        <v>WorldCat Record</v>
      </c>
      <c r="AW130" s="2" t="s">
        <v>1782</v>
      </c>
      <c r="AX130" s="2" t="s">
        <v>1794</v>
      </c>
      <c r="AY130" s="2" t="s">
        <v>1795</v>
      </c>
      <c r="AZ130" s="2" t="s">
        <v>1795</v>
      </c>
      <c r="BA130" s="2" t="s">
        <v>1796</v>
      </c>
      <c r="BB130" s="2" t="s">
        <v>79</v>
      </c>
      <c r="BD130" s="2" t="s">
        <v>1797</v>
      </c>
      <c r="BE130" s="2" t="s">
        <v>1798</v>
      </c>
      <c r="BF130" s="2" t="s">
        <v>1799</v>
      </c>
    </row>
    <row r="131" spans="1:58" ht="46.5" customHeight="1">
      <c r="A131" s="1"/>
      <c r="B131" s="1" t="s">
        <v>58</v>
      </c>
      <c r="C131" s="1" t="s">
        <v>59</v>
      </c>
      <c r="D131" s="1" t="s">
        <v>1800</v>
      </c>
      <c r="E131" s="1" t="s">
        <v>1801</v>
      </c>
      <c r="F131" s="1" t="s">
        <v>1802</v>
      </c>
      <c r="H131" s="2" t="s">
        <v>63</v>
      </c>
      <c r="I131" s="2" t="s">
        <v>64</v>
      </c>
      <c r="J131" s="2" t="s">
        <v>63</v>
      </c>
      <c r="K131" s="2" t="s">
        <v>63</v>
      </c>
      <c r="L131" s="2" t="s">
        <v>65</v>
      </c>
      <c r="N131" s="1" t="s">
        <v>1803</v>
      </c>
      <c r="O131" s="2" t="s">
        <v>423</v>
      </c>
      <c r="Q131" s="2" t="s">
        <v>70</v>
      </c>
      <c r="R131" s="2" t="s">
        <v>231</v>
      </c>
      <c r="T131" s="2" t="s">
        <v>72</v>
      </c>
      <c r="U131" s="3">
        <v>6</v>
      </c>
      <c r="V131" s="3">
        <v>6</v>
      </c>
      <c r="W131" s="4" t="s">
        <v>1804</v>
      </c>
      <c r="X131" s="4" t="s">
        <v>1804</v>
      </c>
      <c r="Y131" s="4" t="s">
        <v>1804</v>
      </c>
      <c r="Z131" s="4" t="s">
        <v>1804</v>
      </c>
      <c r="AA131" s="3">
        <v>19</v>
      </c>
      <c r="AB131" s="3">
        <v>11</v>
      </c>
      <c r="AC131" s="3">
        <v>11</v>
      </c>
      <c r="AD131" s="3">
        <v>1</v>
      </c>
      <c r="AE131" s="3">
        <v>1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2" t="s">
        <v>63</v>
      </c>
      <c r="AS131" s="2" t="s">
        <v>63</v>
      </c>
      <c r="AU131" s="5" t="str">
        <f>HYPERLINK("https://creighton-primo.hosted.exlibrisgroup.com/primo-explore/search?tab=default_tab&amp;search_scope=EVERYTHING&amp;vid=01CRU&amp;lang=en_US&amp;offset=0&amp;query=any,contains,991001282539702656","Catalog Record")</f>
        <v>Catalog Record</v>
      </c>
      <c r="AV131" s="5" t="str">
        <f>HYPERLINK("http://www.worldcat.org/oclc/19497025","WorldCat Record")</f>
        <v>WorldCat Record</v>
      </c>
      <c r="AW131" s="2" t="s">
        <v>1805</v>
      </c>
      <c r="AX131" s="2" t="s">
        <v>1806</v>
      </c>
      <c r="AY131" s="2" t="s">
        <v>1807</v>
      </c>
      <c r="AZ131" s="2" t="s">
        <v>1807</v>
      </c>
      <c r="BA131" s="2" t="s">
        <v>1808</v>
      </c>
      <c r="BB131" s="2" t="s">
        <v>79</v>
      </c>
      <c r="BE131" s="2" t="s">
        <v>1809</v>
      </c>
      <c r="BF131" s="2" t="s">
        <v>1810</v>
      </c>
    </row>
    <row r="132" spans="1:58" ht="46.5" customHeight="1">
      <c r="A132" s="1"/>
      <c r="B132" s="1" t="s">
        <v>58</v>
      </c>
      <c r="C132" s="1" t="s">
        <v>59</v>
      </c>
      <c r="D132" s="1" t="s">
        <v>1811</v>
      </c>
      <c r="E132" s="1" t="s">
        <v>1812</v>
      </c>
      <c r="F132" s="1" t="s">
        <v>1813</v>
      </c>
      <c r="H132" s="2" t="s">
        <v>63</v>
      </c>
      <c r="I132" s="2" t="s">
        <v>64</v>
      </c>
      <c r="J132" s="2" t="s">
        <v>63</v>
      </c>
      <c r="K132" s="2" t="s">
        <v>63</v>
      </c>
      <c r="L132" s="2" t="s">
        <v>65</v>
      </c>
      <c r="N132" s="1" t="s">
        <v>1814</v>
      </c>
      <c r="O132" s="2" t="s">
        <v>292</v>
      </c>
      <c r="Q132" s="2" t="s">
        <v>70</v>
      </c>
      <c r="R132" s="2" t="s">
        <v>89</v>
      </c>
      <c r="T132" s="2" t="s">
        <v>72</v>
      </c>
      <c r="U132" s="3">
        <v>9</v>
      </c>
      <c r="V132" s="3">
        <v>9</v>
      </c>
      <c r="W132" s="4" t="s">
        <v>499</v>
      </c>
      <c r="X132" s="4" t="s">
        <v>499</v>
      </c>
      <c r="Y132" s="4" t="s">
        <v>1815</v>
      </c>
      <c r="Z132" s="4" t="s">
        <v>1815</v>
      </c>
      <c r="AA132" s="3">
        <v>130</v>
      </c>
      <c r="AB132" s="3">
        <v>110</v>
      </c>
      <c r="AC132" s="3">
        <v>259</v>
      </c>
      <c r="AD132" s="3">
        <v>1</v>
      </c>
      <c r="AE132" s="3">
        <v>2</v>
      </c>
      <c r="AF132" s="3">
        <v>1</v>
      </c>
      <c r="AG132" s="3">
        <v>6</v>
      </c>
      <c r="AH132" s="3">
        <v>1</v>
      </c>
      <c r="AI132" s="3">
        <v>3</v>
      </c>
      <c r="AJ132" s="3">
        <v>0</v>
      </c>
      <c r="AK132" s="3">
        <v>2</v>
      </c>
      <c r="AL132" s="3">
        <v>1</v>
      </c>
      <c r="AM132" s="3">
        <v>3</v>
      </c>
      <c r="AN132" s="3">
        <v>0</v>
      </c>
      <c r="AO132" s="3">
        <v>1</v>
      </c>
      <c r="AP132" s="3">
        <v>0</v>
      </c>
      <c r="AQ132" s="3">
        <v>0</v>
      </c>
      <c r="AR132" s="2" t="s">
        <v>63</v>
      </c>
      <c r="AS132" s="2" t="s">
        <v>63</v>
      </c>
      <c r="AU132" s="5" t="str">
        <f>HYPERLINK("https://creighton-primo.hosted.exlibrisgroup.com/primo-explore/search?tab=default_tab&amp;search_scope=EVERYTHING&amp;vid=01CRU&amp;lang=en_US&amp;offset=0&amp;query=any,contains,991001417319702656","Catalog Record")</f>
        <v>Catalog Record</v>
      </c>
      <c r="AV132" s="5" t="str">
        <f>HYPERLINK("http://www.worldcat.org/oclc/16950645","WorldCat Record")</f>
        <v>WorldCat Record</v>
      </c>
      <c r="AW132" s="2" t="s">
        <v>1816</v>
      </c>
      <c r="AX132" s="2" t="s">
        <v>1817</v>
      </c>
      <c r="AY132" s="2" t="s">
        <v>1818</v>
      </c>
      <c r="AZ132" s="2" t="s">
        <v>1818</v>
      </c>
      <c r="BA132" s="2" t="s">
        <v>1819</v>
      </c>
      <c r="BB132" s="2" t="s">
        <v>79</v>
      </c>
      <c r="BD132" s="2" t="s">
        <v>1820</v>
      </c>
      <c r="BE132" s="2" t="s">
        <v>1821</v>
      </c>
      <c r="BF132" s="2" t="s">
        <v>1822</v>
      </c>
    </row>
    <row r="133" spans="1:58" ht="46.5" customHeight="1">
      <c r="A133" s="1"/>
      <c r="B133" s="1" t="s">
        <v>58</v>
      </c>
      <c r="C133" s="1" t="s">
        <v>59</v>
      </c>
      <c r="D133" s="1" t="s">
        <v>1823</v>
      </c>
      <c r="E133" s="1" t="s">
        <v>1824</v>
      </c>
      <c r="F133" s="1" t="s">
        <v>1825</v>
      </c>
      <c r="H133" s="2" t="s">
        <v>63</v>
      </c>
      <c r="I133" s="2" t="s">
        <v>64</v>
      </c>
      <c r="J133" s="2" t="s">
        <v>63</v>
      </c>
      <c r="K133" s="2" t="s">
        <v>63</v>
      </c>
      <c r="L133" s="2" t="s">
        <v>65</v>
      </c>
      <c r="N133" s="1" t="s">
        <v>1826</v>
      </c>
      <c r="O133" s="2" t="s">
        <v>104</v>
      </c>
      <c r="P133" s="1" t="s">
        <v>1827</v>
      </c>
      <c r="Q133" s="2" t="s">
        <v>70</v>
      </c>
      <c r="R133" s="2" t="s">
        <v>89</v>
      </c>
      <c r="T133" s="2" t="s">
        <v>72</v>
      </c>
      <c r="U133" s="3">
        <v>8</v>
      </c>
      <c r="V133" s="3">
        <v>8</v>
      </c>
      <c r="W133" s="4" t="s">
        <v>1828</v>
      </c>
      <c r="X133" s="4" t="s">
        <v>1828</v>
      </c>
      <c r="Y133" s="4" t="s">
        <v>1829</v>
      </c>
      <c r="Z133" s="4" t="s">
        <v>1829</v>
      </c>
      <c r="AA133" s="3">
        <v>177</v>
      </c>
      <c r="AB133" s="3">
        <v>151</v>
      </c>
      <c r="AC133" s="3">
        <v>241</v>
      </c>
      <c r="AD133" s="3">
        <v>1</v>
      </c>
      <c r="AE133" s="3">
        <v>2</v>
      </c>
      <c r="AF133" s="3">
        <v>4</v>
      </c>
      <c r="AG133" s="3">
        <v>6</v>
      </c>
      <c r="AH133" s="3">
        <v>1</v>
      </c>
      <c r="AI133" s="3">
        <v>1</v>
      </c>
      <c r="AJ133" s="3">
        <v>1</v>
      </c>
      <c r="AK133" s="3">
        <v>1</v>
      </c>
      <c r="AL133" s="3">
        <v>3</v>
      </c>
      <c r="AM133" s="3">
        <v>4</v>
      </c>
      <c r="AN133" s="3">
        <v>0</v>
      </c>
      <c r="AO133" s="3">
        <v>1</v>
      </c>
      <c r="AP133" s="3">
        <v>0</v>
      </c>
      <c r="AQ133" s="3">
        <v>0</v>
      </c>
      <c r="AR133" s="2" t="s">
        <v>63</v>
      </c>
      <c r="AS133" s="2" t="s">
        <v>92</v>
      </c>
      <c r="AT133" s="5" t="str">
        <f>HYPERLINK("http://catalog.hathitrust.org/Record/000462030","HathiTrust Record")</f>
        <v>HathiTrust Record</v>
      </c>
      <c r="AU133" s="5" t="str">
        <f>HYPERLINK("https://creighton-primo.hosted.exlibrisgroup.com/primo-explore/search?tab=default_tab&amp;search_scope=EVERYTHING&amp;vid=01CRU&amp;lang=en_US&amp;offset=0&amp;query=any,contains,991001102529702656","Catalog Record")</f>
        <v>Catalog Record</v>
      </c>
      <c r="AV133" s="5" t="str">
        <f>HYPERLINK("http://www.worldcat.org/oclc/11470058","WorldCat Record")</f>
        <v>WorldCat Record</v>
      </c>
      <c r="AW133" s="2" t="s">
        <v>1830</v>
      </c>
      <c r="AX133" s="2" t="s">
        <v>1831</v>
      </c>
      <c r="AY133" s="2" t="s">
        <v>1832</v>
      </c>
      <c r="AZ133" s="2" t="s">
        <v>1832</v>
      </c>
      <c r="BA133" s="2" t="s">
        <v>1833</v>
      </c>
      <c r="BB133" s="2" t="s">
        <v>79</v>
      </c>
      <c r="BD133" s="2" t="s">
        <v>1834</v>
      </c>
      <c r="BE133" s="2" t="s">
        <v>1835</v>
      </c>
      <c r="BF133" s="2" t="s">
        <v>1836</v>
      </c>
    </row>
    <row r="134" spans="1:58" ht="46.5" customHeight="1">
      <c r="A134" s="1"/>
      <c r="B134" s="1" t="s">
        <v>58</v>
      </c>
      <c r="C134" s="1" t="s">
        <v>59</v>
      </c>
      <c r="D134" s="1" t="s">
        <v>1837</v>
      </c>
      <c r="E134" s="1" t="s">
        <v>1838</v>
      </c>
      <c r="F134" s="1" t="s">
        <v>1839</v>
      </c>
      <c r="H134" s="2" t="s">
        <v>63</v>
      </c>
      <c r="I134" s="2" t="s">
        <v>64</v>
      </c>
      <c r="J134" s="2" t="s">
        <v>63</v>
      </c>
      <c r="K134" s="2" t="s">
        <v>63</v>
      </c>
      <c r="L134" s="2" t="s">
        <v>65</v>
      </c>
      <c r="M134" s="1" t="s">
        <v>1840</v>
      </c>
      <c r="N134" s="1" t="s">
        <v>1841</v>
      </c>
      <c r="O134" s="2" t="s">
        <v>554</v>
      </c>
      <c r="P134" s="1" t="s">
        <v>157</v>
      </c>
      <c r="Q134" s="2" t="s">
        <v>70</v>
      </c>
      <c r="R134" s="2" t="s">
        <v>377</v>
      </c>
      <c r="T134" s="2" t="s">
        <v>72</v>
      </c>
      <c r="U134" s="3">
        <v>6</v>
      </c>
      <c r="V134" s="3">
        <v>6</v>
      </c>
      <c r="W134" s="4" t="s">
        <v>1842</v>
      </c>
      <c r="X134" s="4" t="s">
        <v>1842</v>
      </c>
      <c r="Y134" s="4" t="s">
        <v>1843</v>
      </c>
      <c r="Z134" s="4" t="s">
        <v>1843</v>
      </c>
      <c r="AA134" s="3">
        <v>168</v>
      </c>
      <c r="AB134" s="3">
        <v>86</v>
      </c>
      <c r="AC134" s="3">
        <v>214</v>
      </c>
      <c r="AD134" s="3">
        <v>1</v>
      </c>
      <c r="AE134" s="3">
        <v>1</v>
      </c>
      <c r="AF134" s="3">
        <v>2</v>
      </c>
      <c r="AG134" s="3">
        <v>6</v>
      </c>
      <c r="AH134" s="3">
        <v>1</v>
      </c>
      <c r="AI134" s="3">
        <v>3</v>
      </c>
      <c r="AJ134" s="3">
        <v>1</v>
      </c>
      <c r="AK134" s="3">
        <v>1</v>
      </c>
      <c r="AL134" s="3">
        <v>0</v>
      </c>
      <c r="AM134" s="3">
        <v>2</v>
      </c>
      <c r="AN134" s="3">
        <v>0</v>
      </c>
      <c r="AO134" s="3">
        <v>0</v>
      </c>
      <c r="AP134" s="3">
        <v>0</v>
      </c>
      <c r="AQ134" s="3">
        <v>0</v>
      </c>
      <c r="AR134" s="2" t="s">
        <v>63</v>
      </c>
      <c r="AS134" s="2" t="s">
        <v>63</v>
      </c>
      <c r="AU134" s="5" t="str">
        <f>HYPERLINK("https://creighton-primo.hosted.exlibrisgroup.com/primo-explore/search?tab=default_tab&amp;search_scope=EVERYTHING&amp;vid=01CRU&amp;lang=en_US&amp;offset=0&amp;query=any,contains,991001396399702656","Catalog Record")</f>
        <v>Catalog Record</v>
      </c>
      <c r="AV134" s="5" t="str">
        <f>HYPERLINK("http://www.worldcat.org/oclc/28802065","WorldCat Record")</f>
        <v>WorldCat Record</v>
      </c>
      <c r="AW134" s="2" t="s">
        <v>1844</v>
      </c>
      <c r="AX134" s="2" t="s">
        <v>1845</v>
      </c>
      <c r="AY134" s="2" t="s">
        <v>1846</v>
      </c>
      <c r="AZ134" s="2" t="s">
        <v>1846</v>
      </c>
      <c r="BA134" s="2" t="s">
        <v>1847</v>
      </c>
      <c r="BB134" s="2" t="s">
        <v>79</v>
      </c>
      <c r="BD134" s="2" t="s">
        <v>1848</v>
      </c>
      <c r="BE134" s="2" t="s">
        <v>1849</v>
      </c>
      <c r="BF134" s="2" t="s">
        <v>1850</v>
      </c>
    </row>
    <row r="135" spans="1:58" ht="46.5" customHeight="1">
      <c r="A135" s="1"/>
      <c r="B135" s="1" t="s">
        <v>58</v>
      </c>
      <c r="C135" s="1" t="s">
        <v>59</v>
      </c>
      <c r="D135" s="1" t="s">
        <v>1851</v>
      </c>
      <c r="E135" s="1" t="s">
        <v>1852</v>
      </c>
      <c r="F135" s="1" t="s">
        <v>1853</v>
      </c>
      <c r="H135" s="2" t="s">
        <v>63</v>
      </c>
      <c r="I135" s="2" t="s">
        <v>64</v>
      </c>
      <c r="J135" s="2" t="s">
        <v>63</v>
      </c>
      <c r="K135" s="2" t="s">
        <v>63</v>
      </c>
      <c r="L135" s="2" t="s">
        <v>65</v>
      </c>
      <c r="M135" s="1" t="s">
        <v>1854</v>
      </c>
      <c r="N135" s="1" t="s">
        <v>1855</v>
      </c>
      <c r="O135" s="2" t="s">
        <v>1856</v>
      </c>
      <c r="P135" s="1" t="s">
        <v>259</v>
      </c>
      <c r="Q135" s="2" t="s">
        <v>70</v>
      </c>
      <c r="R135" s="2" t="s">
        <v>377</v>
      </c>
      <c r="T135" s="2" t="s">
        <v>72</v>
      </c>
      <c r="U135" s="3">
        <v>9</v>
      </c>
      <c r="V135" s="3">
        <v>9</v>
      </c>
      <c r="W135" s="4" t="s">
        <v>1857</v>
      </c>
      <c r="X135" s="4" t="s">
        <v>1857</v>
      </c>
      <c r="Y135" s="4" t="s">
        <v>1726</v>
      </c>
      <c r="Z135" s="4" t="s">
        <v>1726</v>
      </c>
      <c r="AA135" s="3">
        <v>112</v>
      </c>
      <c r="AB135" s="3">
        <v>67</v>
      </c>
      <c r="AC135" s="3">
        <v>229</v>
      </c>
      <c r="AD135" s="3">
        <v>1</v>
      </c>
      <c r="AE135" s="3">
        <v>1</v>
      </c>
      <c r="AF135" s="3">
        <v>1</v>
      </c>
      <c r="AG135" s="3">
        <v>6</v>
      </c>
      <c r="AH135" s="3">
        <v>1</v>
      </c>
      <c r="AI135" s="3">
        <v>3</v>
      </c>
      <c r="AJ135" s="3">
        <v>0</v>
      </c>
      <c r="AK135" s="3">
        <v>3</v>
      </c>
      <c r="AL135" s="3">
        <v>0</v>
      </c>
      <c r="AM135" s="3">
        <v>2</v>
      </c>
      <c r="AN135" s="3">
        <v>0</v>
      </c>
      <c r="AO135" s="3">
        <v>0</v>
      </c>
      <c r="AP135" s="3">
        <v>0</v>
      </c>
      <c r="AQ135" s="3">
        <v>0</v>
      </c>
      <c r="AR135" s="2" t="s">
        <v>63</v>
      </c>
      <c r="AS135" s="2" t="s">
        <v>63</v>
      </c>
      <c r="AU135" s="5" t="str">
        <f>HYPERLINK("https://creighton-primo.hosted.exlibrisgroup.com/primo-explore/search?tab=default_tab&amp;search_scope=EVERYTHING&amp;vid=01CRU&amp;lang=en_US&amp;offset=0&amp;query=any,contains,991001097489702656","Catalog Record")</f>
        <v>Catalog Record</v>
      </c>
      <c r="AV135" s="5" t="str">
        <f>HYPERLINK("http://www.worldcat.org/oclc/7736884","WorldCat Record")</f>
        <v>WorldCat Record</v>
      </c>
      <c r="AW135" s="2" t="s">
        <v>1858</v>
      </c>
      <c r="AX135" s="2" t="s">
        <v>1859</v>
      </c>
      <c r="AY135" s="2" t="s">
        <v>1860</v>
      </c>
      <c r="AZ135" s="2" t="s">
        <v>1860</v>
      </c>
      <c r="BA135" s="2" t="s">
        <v>1861</v>
      </c>
      <c r="BB135" s="2" t="s">
        <v>79</v>
      </c>
      <c r="BD135" s="2" t="s">
        <v>1862</v>
      </c>
      <c r="BE135" s="2" t="s">
        <v>1863</v>
      </c>
      <c r="BF135" s="2" t="s">
        <v>1864</v>
      </c>
    </row>
    <row r="136" spans="1:58" ht="46.5" customHeight="1">
      <c r="A136" s="1"/>
      <c r="B136" s="1" t="s">
        <v>58</v>
      </c>
      <c r="C136" s="1" t="s">
        <v>59</v>
      </c>
      <c r="D136" s="1" t="s">
        <v>1865</v>
      </c>
      <c r="E136" s="1" t="s">
        <v>1866</v>
      </c>
      <c r="F136" s="1" t="s">
        <v>1867</v>
      </c>
      <c r="H136" s="2" t="s">
        <v>63</v>
      </c>
      <c r="I136" s="2" t="s">
        <v>64</v>
      </c>
      <c r="J136" s="2" t="s">
        <v>63</v>
      </c>
      <c r="K136" s="2" t="s">
        <v>63</v>
      </c>
      <c r="L136" s="2" t="s">
        <v>65</v>
      </c>
      <c r="M136" s="1" t="s">
        <v>1868</v>
      </c>
      <c r="N136" s="1" t="s">
        <v>1869</v>
      </c>
      <c r="O136" s="2" t="s">
        <v>1254</v>
      </c>
      <c r="Q136" s="2" t="s">
        <v>70</v>
      </c>
      <c r="R136" s="2" t="s">
        <v>377</v>
      </c>
      <c r="T136" s="2" t="s">
        <v>72</v>
      </c>
      <c r="U136" s="3">
        <v>1</v>
      </c>
      <c r="V136" s="3">
        <v>1</v>
      </c>
      <c r="W136" s="4" t="s">
        <v>1870</v>
      </c>
      <c r="X136" s="4" t="s">
        <v>1870</v>
      </c>
      <c r="Y136" s="4" t="s">
        <v>1871</v>
      </c>
      <c r="Z136" s="4" t="s">
        <v>1871</v>
      </c>
      <c r="AA136" s="3">
        <v>146</v>
      </c>
      <c r="AB136" s="3">
        <v>83</v>
      </c>
      <c r="AC136" s="3">
        <v>88</v>
      </c>
      <c r="AD136" s="3">
        <v>1</v>
      </c>
      <c r="AE136" s="3">
        <v>1</v>
      </c>
      <c r="AF136" s="3">
        <v>5</v>
      </c>
      <c r="AG136" s="3">
        <v>5</v>
      </c>
      <c r="AH136" s="3">
        <v>1</v>
      </c>
      <c r="AI136" s="3">
        <v>1</v>
      </c>
      <c r="AJ136" s="3">
        <v>0</v>
      </c>
      <c r="AK136" s="3">
        <v>0</v>
      </c>
      <c r="AL136" s="3">
        <v>2</v>
      </c>
      <c r="AM136" s="3">
        <v>2</v>
      </c>
      <c r="AN136" s="3">
        <v>0</v>
      </c>
      <c r="AO136" s="3">
        <v>0</v>
      </c>
      <c r="AP136" s="3">
        <v>2</v>
      </c>
      <c r="AQ136" s="3">
        <v>2</v>
      </c>
      <c r="AR136" s="2" t="s">
        <v>63</v>
      </c>
      <c r="AS136" s="2" t="s">
        <v>63</v>
      </c>
      <c r="AU136" s="5" t="str">
        <f>HYPERLINK("https://creighton-primo.hosted.exlibrisgroup.com/primo-explore/search?tab=default_tab&amp;search_scope=EVERYTHING&amp;vid=01CRU&amp;lang=en_US&amp;offset=0&amp;query=any,contains,991000336329702656","Catalog Record")</f>
        <v>Catalog Record</v>
      </c>
      <c r="AV136" s="5" t="str">
        <f>HYPERLINK("http://www.worldcat.org/oclc/48127583","WorldCat Record")</f>
        <v>WorldCat Record</v>
      </c>
      <c r="AW136" s="2" t="s">
        <v>1872</v>
      </c>
      <c r="AX136" s="2" t="s">
        <v>1873</v>
      </c>
      <c r="AY136" s="2" t="s">
        <v>1874</v>
      </c>
      <c r="AZ136" s="2" t="s">
        <v>1874</v>
      </c>
      <c r="BA136" s="2" t="s">
        <v>1875</v>
      </c>
      <c r="BB136" s="2" t="s">
        <v>79</v>
      </c>
      <c r="BD136" s="2" t="s">
        <v>1876</v>
      </c>
      <c r="BE136" s="2" t="s">
        <v>1877</v>
      </c>
      <c r="BF136" s="2" t="s">
        <v>1878</v>
      </c>
    </row>
    <row r="137" spans="1:58" ht="46.5" customHeight="1">
      <c r="A137" s="1"/>
      <c r="B137" s="1" t="s">
        <v>58</v>
      </c>
      <c r="C137" s="1" t="s">
        <v>59</v>
      </c>
      <c r="D137" s="1" t="s">
        <v>1879</v>
      </c>
      <c r="E137" s="1" t="s">
        <v>1880</v>
      </c>
      <c r="F137" s="1" t="s">
        <v>1881</v>
      </c>
      <c r="H137" s="2" t="s">
        <v>63</v>
      </c>
      <c r="I137" s="2" t="s">
        <v>64</v>
      </c>
      <c r="J137" s="2" t="s">
        <v>63</v>
      </c>
      <c r="K137" s="2" t="s">
        <v>63</v>
      </c>
      <c r="L137" s="2" t="s">
        <v>65</v>
      </c>
      <c r="M137" s="1" t="s">
        <v>1882</v>
      </c>
      <c r="N137" s="1" t="s">
        <v>1883</v>
      </c>
      <c r="O137" s="2" t="s">
        <v>1884</v>
      </c>
      <c r="Q137" s="2" t="s">
        <v>70</v>
      </c>
      <c r="R137" s="2" t="s">
        <v>200</v>
      </c>
      <c r="T137" s="2" t="s">
        <v>72</v>
      </c>
      <c r="U137" s="3">
        <v>0</v>
      </c>
      <c r="V137" s="3">
        <v>0</v>
      </c>
      <c r="W137" s="4" t="s">
        <v>1885</v>
      </c>
      <c r="X137" s="4" t="s">
        <v>1885</v>
      </c>
      <c r="Y137" s="4" t="s">
        <v>1886</v>
      </c>
      <c r="Z137" s="4" t="s">
        <v>1886</v>
      </c>
      <c r="AA137" s="3">
        <v>175</v>
      </c>
      <c r="AB137" s="3">
        <v>137</v>
      </c>
      <c r="AC137" s="3">
        <v>388</v>
      </c>
      <c r="AD137" s="3">
        <v>1</v>
      </c>
      <c r="AE137" s="3">
        <v>2</v>
      </c>
      <c r="AF137" s="3">
        <v>5</v>
      </c>
      <c r="AG137" s="3">
        <v>17</v>
      </c>
      <c r="AH137" s="3">
        <v>3</v>
      </c>
      <c r="AI137" s="3">
        <v>9</v>
      </c>
      <c r="AJ137" s="3">
        <v>1</v>
      </c>
      <c r="AK137" s="3">
        <v>3</v>
      </c>
      <c r="AL137" s="3">
        <v>3</v>
      </c>
      <c r="AM137" s="3">
        <v>8</v>
      </c>
      <c r="AN137" s="3">
        <v>0</v>
      </c>
      <c r="AO137" s="3">
        <v>1</v>
      </c>
      <c r="AP137" s="3">
        <v>0</v>
      </c>
      <c r="AQ137" s="3">
        <v>0</v>
      </c>
      <c r="AR137" s="2" t="s">
        <v>63</v>
      </c>
      <c r="AS137" s="2" t="s">
        <v>92</v>
      </c>
      <c r="AT137" s="5" t="str">
        <f>HYPERLINK("http://catalog.hathitrust.org/Record/004068834","HathiTrust Record")</f>
        <v>HathiTrust Record</v>
      </c>
      <c r="AU137" s="5" t="str">
        <f>HYPERLINK("https://creighton-primo.hosted.exlibrisgroup.com/primo-explore/search?tab=default_tab&amp;search_scope=EVERYTHING&amp;vid=01CRU&amp;lang=en_US&amp;offset=0&amp;query=any,contains,991000318459702656","Catalog Record")</f>
        <v>Catalog Record</v>
      </c>
      <c r="AV137" s="5" t="str">
        <f>HYPERLINK("http://www.worldcat.org/oclc/42621166","WorldCat Record")</f>
        <v>WorldCat Record</v>
      </c>
      <c r="AW137" s="2" t="s">
        <v>1887</v>
      </c>
      <c r="AX137" s="2" t="s">
        <v>1888</v>
      </c>
      <c r="AY137" s="2" t="s">
        <v>1889</v>
      </c>
      <c r="AZ137" s="2" t="s">
        <v>1889</v>
      </c>
      <c r="BA137" s="2" t="s">
        <v>1890</v>
      </c>
      <c r="BB137" s="2" t="s">
        <v>79</v>
      </c>
      <c r="BD137" s="2" t="s">
        <v>1891</v>
      </c>
      <c r="BE137" s="2" t="s">
        <v>1892</v>
      </c>
      <c r="BF137" s="2" t="s">
        <v>1893</v>
      </c>
    </row>
    <row r="138" spans="1:58" ht="46.5" customHeight="1">
      <c r="A138" s="1"/>
      <c r="B138" s="1" t="s">
        <v>58</v>
      </c>
      <c r="C138" s="1" t="s">
        <v>59</v>
      </c>
      <c r="D138" s="1" t="s">
        <v>1894</v>
      </c>
      <c r="E138" s="1" t="s">
        <v>1895</v>
      </c>
      <c r="F138" s="1" t="s">
        <v>1896</v>
      </c>
      <c r="H138" s="2" t="s">
        <v>63</v>
      </c>
      <c r="I138" s="2" t="s">
        <v>64</v>
      </c>
      <c r="J138" s="2" t="s">
        <v>63</v>
      </c>
      <c r="K138" s="2" t="s">
        <v>63</v>
      </c>
      <c r="L138" s="2" t="s">
        <v>65</v>
      </c>
      <c r="N138" s="1" t="s">
        <v>1897</v>
      </c>
      <c r="O138" s="2" t="s">
        <v>348</v>
      </c>
      <c r="P138" s="1" t="s">
        <v>259</v>
      </c>
      <c r="Q138" s="2" t="s">
        <v>70</v>
      </c>
      <c r="R138" s="2" t="s">
        <v>260</v>
      </c>
      <c r="T138" s="2" t="s">
        <v>72</v>
      </c>
      <c r="U138" s="3">
        <v>13</v>
      </c>
      <c r="V138" s="3">
        <v>13</v>
      </c>
      <c r="W138" s="4" t="s">
        <v>1898</v>
      </c>
      <c r="X138" s="4" t="s">
        <v>1898</v>
      </c>
      <c r="Y138" s="4" t="s">
        <v>1899</v>
      </c>
      <c r="Z138" s="4" t="s">
        <v>1899</v>
      </c>
      <c r="AA138" s="3">
        <v>110</v>
      </c>
      <c r="AB138" s="3">
        <v>89</v>
      </c>
      <c r="AC138" s="3">
        <v>227</v>
      </c>
      <c r="AD138" s="3">
        <v>1</v>
      </c>
      <c r="AE138" s="3">
        <v>2</v>
      </c>
      <c r="AF138" s="3">
        <v>2</v>
      </c>
      <c r="AG138" s="3">
        <v>7</v>
      </c>
      <c r="AH138" s="3">
        <v>1</v>
      </c>
      <c r="AI138" s="3">
        <v>4</v>
      </c>
      <c r="AJ138" s="3">
        <v>0</v>
      </c>
      <c r="AK138" s="3">
        <v>1</v>
      </c>
      <c r="AL138" s="3">
        <v>1</v>
      </c>
      <c r="AM138" s="3">
        <v>3</v>
      </c>
      <c r="AN138" s="3">
        <v>0</v>
      </c>
      <c r="AO138" s="3">
        <v>1</v>
      </c>
      <c r="AP138" s="3">
        <v>0</v>
      </c>
      <c r="AQ138" s="3">
        <v>0</v>
      </c>
      <c r="AR138" s="2" t="s">
        <v>63</v>
      </c>
      <c r="AS138" s="2" t="s">
        <v>92</v>
      </c>
      <c r="AT138" s="5" t="str">
        <f>HYPERLINK("http://catalog.hathitrust.org/Record/003973057","HathiTrust Record")</f>
        <v>HathiTrust Record</v>
      </c>
      <c r="AU138" s="5" t="str">
        <f>HYPERLINK("https://creighton-primo.hosted.exlibrisgroup.com/primo-explore/search?tab=default_tab&amp;search_scope=EVERYTHING&amp;vid=01CRU&amp;lang=en_US&amp;offset=0&amp;query=any,contains,991000485609702656","Catalog Record")</f>
        <v>Catalog Record</v>
      </c>
      <c r="AV138" s="5" t="str">
        <f>HYPERLINK("http://www.worldcat.org/oclc/37513083","WorldCat Record")</f>
        <v>WorldCat Record</v>
      </c>
      <c r="AW138" s="2" t="s">
        <v>1900</v>
      </c>
      <c r="AX138" s="2" t="s">
        <v>1901</v>
      </c>
      <c r="AY138" s="2" t="s">
        <v>1902</v>
      </c>
      <c r="AZ138" s="2" t="s">
        <v>1902</v>
      </c>
      <c r="BA138" s="2" t="s">
        <v>1903</v>
      </c>
      <c r="BB138" s="2" t="s">
        <v>79</v>
      </c>
      <c r="BD138" s="2" t="s">
        <v>1904</v>
      </c>
      <c r="BE138" s="2" t="s">
        <v>1905</v>
      </c>
      <c r="BF138" s="2" t="s">
        <v>1906</v>
      </c>
    </row>
    <row r="139" spans="1:58" ht="46.5" customHeight="1">
      <c r="A139" s="1"/>
      <c r="B139" s="1" t="s">
        <v>58</v>
      </c>
      <c r="C139" s="1" t="s">
        <v>59</v>
      </c>
      <c r="D139" s="1" t="s">
        <v>1907</v>
      </c>
      <c r="E139" s="1" t="s">
        <v>1908</v>
      </c>
      <c r="F139" s="1" t="s">
        <v>1909</v>
      </c>
      <c r="H139" s="2" t="s">
        <v>63</v>
      </c>
      <c r="I139" s="2" t="s">
        <v>64</v>
      </c>
      <c r="J139" s="2" t="s">
        <v>63</v>
      </c>
      <c r="K139" s="2" t="s">
        <v>63</v>
      </c>
      <c r="L139" s="2" t="s">
        <v>65</v>
      </c>
      <c r="N139" s="1" t="s">
        <v>1910</v>
      </c>
      <c r="O139" s="2" t="s">
        <v>423</v>
      </c>
      <c r="Q139" s="2" t="s">
        <v>70</v>
      </c>
      <c r="R139" s="2" t="s">
        <v>89</v>
      </c>
      <c r="S139" s="1" t="s">
        <v>1911</v>
      </c>
      <c r="T139" s="2" t="s">
        <v>72</v>
      </c>
      <c r="U139" s="3">
        <v>16</v>
      </c>
      <c r="V139" s="3">
        <v>16</v>
      </c>
      <c r="W139" s="4" t="s">
        <v>1912</v>
      </c>
      <c r="X139" s="4" t="s">
        <v>1912</v>
      </c>
      <c r="Y139" s="4" t="s">
        <v>936</v>
      </c>
      <c r="Z139" s="4" t="s">
        <v>936</v>
      </c>
      <c r="AA139" s="3">
        <v>88</v>
      </c>
      <c r="AB139" s="3">
        <v>71</v>
      </c>
      <c r="AC139" s="3">
        <v>78</v>
      </c>
      <c r="AD139" s="3">
        <v>1</v>
      </c>
      <c r="AE139" s="3">
        <v>1</v>
      </c>
      <c r="AF139" s="3">
        <v>1</v>
      </c>
      <c r="AG139" s="3">
        <v>1</v>
      </c>
      <c r="AH139" s="3">
        <v>0</v>
      </c>
      <c r="AI139" s="3">
        <v>0</v>
      </c>
      <c r="AJ139" s="3">
        <v>0</v>
      </c>
      <c r="AK139" s="3">
        <v>0</v>
      </c>
      <c r="AL139" s="3">
        <v>1</v>
      </c>
      <c r="AM139" s="3">
        <v>1</v>
      </c>
      <c r="AN139" s="3">
        <v>0</v>
      </c>
      <c r="AO139" s="3">
        <v>0</v>
      </c>
      <c r="AP139" s="3">
        <v>0</v>
      </c>
      <c r="AQ139" s="3">
        <v>0</v>
      </c>
      <c r="AR139" s="2" t="s">
        <v>63</v>
      </c>
      <c r="AS139" s="2" t="s">
        <v>92</v>
      </c>
      <c r="AT139" s="5" t="str">
        <f>HYPERLINK("http://catalog.hathitrust.org/Record/001537194","HathiTrust Record")</f>
        <v>HathiTrust Record</v>
      </c>
      <c r="AU139" s="5" t="str">
        <f>HYPERLINK("https://creighton-primo.hosted.exlibrisgroup.com/primo-explore/search?tab=default_tab&amp;search_scope=EVERYTHING&amp;vid=01CRU&amp;lang=en_US&amp;offset=0&amp;query=any,contains,991001367009702656","Catalog Record")</f>
        <v>Catalog Record</v>
      </c>
      <c r="AV139" s="5" t="str">
        <f>HYPERLINK("http://www.worldcat.org/oclc/19264310","WorldCat Record")</f>
        <v>WorldCat Record</v>
      </c>
      <c r="AW139" s="2" t="s">
        <v>1913</v>
      </c>
      <c r="AX139" s="2" t="s">
        <v>1914</v>
      </c>
      <c r="AY139" s="2" t="s">
        <v>1915</v>
      </c>
      <c r="AZ139" s="2" t="s">
        <v>1915</v>
      </c>
      <c r="BA139" s="2" t="s">
        <v>1916</v>
      </c>
      <c r="BB139" s="2" t="s">
        <v>79</v>
      </c>
      <c r="BD139" s="2" t="s">
        <v>1917</v>
      </c>
      <c r="BE139" s="2" t="s">
        <v>1918</v>
      </c>
      <c r="BF139" s="2" t="s">
        <v>1919</v>
      </c>
    </row>
    <row r="140" spans="1:58" ht="46.5" customHeight="1">
      <c r="A140" s="1"/>
      <c r="B140" s="1" t="s">
        <v>58</v>
      </c>
      <c r="C140" s="1" t="s">
        <v>59</v>
      </c>
      <c r="D140" s="1" t="s">
        <v>1920</v>
      </c>
      <c r="E140" s="1" t="s">
        <v>1921</v>
      </c>
      <c r="F140" s="1" t="s">
        <v>1922</v>
      </c>
      <c r="G140" s="2" t="s">
        <v>1538</v>
      </c>
      <c r="H140" s="2" t="s">
        <v>63</v>
      </c>
      <c r="I140" s="2" t="s">
        <v>64</v>
      </c>
      <c r="J140" s="2" t="s">
        <v>63</v>
      </c>
      <c r="K140" s="2" t="s">
        <v>63</v>
      </c>
      <c r="L140" s="2" t="s">
        <v>65</v>
      </c>
      <c r="N140" s="1" t="s">
        <v>1923</v>
      </c>
      <c r="O140" s="2" t="s">
        <v>407</v>
      </c>
      <c r="Q140" s="2" t="s">
        <v>70</v>
      </c>
      <c r="R140" s="2" t="s">
        <v>377</v>
      </c>
      <c r="S140" s="1" t="s">
        <v>1924</v>
      </c>
      <c r="T140" s="2" t="s">
        <v>72</v>
      </c>
      <c r="U140" s="3">
        <v>5</v>
      </c>
      <c r="V140" s="3">
        <v>5</v>
      </c>
      <c r="W140" s="4" t="s">
        <v>1925</v>
      </c>
      <c r="X140" s="4" t="s">
        <v>1925</v>
      </c>
      <c r="Y140" s="4" t="s">
        <v>1925</v>
      </c>
      <c r="Z140" s="4" t="s">
        <v>1925</v>
      </c>
      <c r="AA140" s="3">
        <v>19</v>
      </c>
      <c r="AB140" s="3">
        <v>8</v>
      </c>
      <c r="AC140" s="3">
        <v>93</v>
      </c>
      <c r="AD140" s="3">
        <v>1</v>
      </c>
      <c r="AE140" s="3">
        <v>1</v>
      </c>
      <c r="AF140" s="3">
        <v>0</v>
      </c>
      <c r="AG140" s="3">
        <v>5</v>
      </c>
      <c r="AH140" s="3">
        <v>0</v>
      </c>
      <c r="AI140" s="3">
        <v>3</v>
      </c>
      <c r="AJ140" s="3">
        <v>0</v>
      </c>
      <c r="AK140" s="3">
        <v>3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2" t="s">
        <v>63</v>
      </c>
      <c r="AS140" s="2" t="s">
        <v>92</v>
      </c>
      <c r="AT140" s="5" t="str">
        <f>HYPERLINK("http://catalog.hathitrust.org/Record/002060430","HathiTrust Record")</f>
        <v>HathiTrust Record</v>
      </c>
      <c r="AU140" s="5" t="str">
        <f>HYPERLINK("https://creighton-primo.hosted.exlibrisgroup.com/primo-explore/search?tab=default_tab&amp;search_scope=EVERYTHING&amp;vid=01CRU&amp;lang=en_US&amp;offset=0&amp;query=any,contains,991001452799702656","Catalog Record")</f>
        <v>Catalog Record</v>
      </c>
      <c r="AV140" s="5" t="str">
        <f>HYPERLINK("http://www.worldcat.org/oclc/19399895","WorldCat Record")</f>
        <v>WorldCat Record</v>
      </c>
      <c r="AW140" s="2" t="s">
        <v>1926</v>
      </c>
      <c r="AX140" s="2" t="s">
        <v>1927</v>
      </c>
      <c r="AY140" s="2" t="s">
        <v>1928</v>
      </c>
      <c r="AZ140" s="2" t="s">
        <v>1928</v>
      </c>
      <c r="BA140" s="2" t="s">
        <v>1929</v>
      </c>
      <c r="BB140" s="2" t="s">
        <v>79</v>
      </c>
      <c r="BD140" s="2" t="s">
        <v>1930</v>
      </c>
      <c r="BE140" s="2" t="s">
        <v>1931</v>
      </c>
      <c r="BF140" s="2" t="s">
        <v>1932</v>
      </c>
    </row>
    <row r="141" spans="1:58" ht="46.5" customHeight="1">
      <c r="A141" s="1"/>
      <c r="B141" s="1" t="s">
        <v>58</v>
      </c>
      <c r="C141" s="1" t="s">
        <v>59</v>
      </c>
      <c r="D141" s="1" t="s">
        <v>1933</v>
      </c>
      <c r="E141" s="1" t="s">
        <v>1934</v>
      </c>
      <c r="F141" s="1" t="s">
        <v>1935</v>
      </c>
      <c r="H141" s="2" t="s">
        <v>63</v>
      </c>
      <c r="I141" s="2" t="s">
        <v>64</v>
      </c>
      <c r="J141" s="2" t="s">
        <v>63</v>
      </c>
      <c r="K141" s="2" t="s">
        <v>63</v>
      </c>
      <c r="L141" s="2" t="s">
        <v>65</v>
      </c>
      <c r="M141" s="1" t="s">
        <v>1936</v>
      </c>
      <c r="N141" s="1" t="s">
        <v>1937</v>
      </c>
      <c r="O141" s="2" t="s">
        <v>594</v>
      </c>
      <c r="Q141" s="2" t="s">
        <v>70</v>
      </c>
      <c r="R141" s="2" t="s">
        <v>277</v>
      </c>
      <c r="S141" s="1" t="s">
        <v>1938</v>
      </c>
      <c r="T141" s="2" t="s">
        <v>72</v>
      </c>
      <c r="U141" s="3">
        <v>44</v>
      </c>
      <c r="V141" s="3">
        <v>44</v>
      </c>
      <c r="W141" s="4" t="s">
        <v>1939</v>
      </c>
      <c r="X141" s="4" t="s">
        <v>1939</v>
      </c>
      <c r="Y141" s="4" t="s">
        <v>1940</v>
      </c>
      <c r="Z141" s="4" t="s">
        <v>1940</v>
      </c>
      <c r="AA141" s="3">
        <v>204</v>
      </c>
      <c r="AB141" s="3">
        <v>126</v>
      </c>
      <c r="AC141" s="3">
        <v>257</v>
      </c>
      <c r="AD141" s="3">
        <v>2</v>
      </c>
      <c r="AE141" s="3">
        <v>2</v>
      </c>
      <c r="AF141" s="3">
        <v>3</v>
      </c>
      <c r="AG141" s="3">
        <v>5</v>
      </c>
      <c r="AH141" s="3">
        <v>0</v>
      </c>
      <c r="AI141" s="3">
        <v>2</v>
      </c>
      <c r="AJ141" s="3">
        <v>2</v>
      </c>
      <c r="AK141" s="3">
        <v>3</v>
      </c>
      <c r="AL141" s="3">
        <v>0</v>
      </c>
      <c r="AM141" s="3">
        <v>0</v>
      </c>
      <c r="AN141" s="3">
        <v>1</v>
      </c>
      <c r="AO141" s="3">
        <v>1</v>
      </c>
      <c r="AP141" s="3">
        <v>0</v>
      </c>
      <c r="AQ141" s="3">
        <v>0</v>
      </c>
      <c r="AR141" s="2" t="s">
        <v>63</v>
      </c>
      <c r="AS141" s="2" t="s">
        <v>92</v>
      </c>
      <c r="AT141" s="5" t="str">
        <f>HYPERLINK("http://catalog.hathitrust.org/Record/000685698","HathiTrust Record")</f>
        <v>HathiTrust Record</v>
      </c>
      <c r="AU141" s="5" t="str">
        <f>HYPERLINK("https://creighton-primo.hosted.exlibrisgroup.com/primo-explore/search?tab=default_tab&amp;search_scope=EVERYTHING&amp;vid=01CRU&amp;lang=en_US&amp;offset=0&amp;query=any,contains,991000952139702656","Catalog Record")</f>
        <v>Catalog Record</v>
      </c>
      <c r="AV141" s="5" t="str">
        <f>HYPERLINK("http://www.worldcat.org/oclc/1916715","WorldCat Record")</f>
        <v>WorldCat Record</v>
      </c>
      <c r="AW141" s="2" t="s">
        <v>1941</v>
      </c>
      <c r="AX141" s="2" t="s">
        <v>1942</v>
      </c>
      <c r="AY141" s="2" t="s">
        <v>1943</v>
      </c>
      <c r="AZ141" s="2" t="s">
        <v>1943</v>
      </c>
      <c r="BA141" s="2" t="s">
        <v>1944</v>
      </c>
      <c r="BB141" s="2" t="s">
        <v>79</v>
      </c>
      <c r="BE141" s="2" t="s">
        <v>1945</v>
      </c>
      <c r="BF141" s="2" t="s">
        <v>1946</v>
      </c>
    </row>
    <row r="142" spans="1:58" ht="46.5" customHeight="1">
      <c r="A142" s="1"/>
      <c r="B142" s="1" t="s">
        <v>58</v>
      </c>
      <c r="C142" s="1" t="s">
        <v>59</v>
      </c>
      <c r="D142" s="1" t="s">
        <v>1947</v>
      </c>
      <c r="E142" s="1" t="s">
        <v>1948</v>
      </c>
      <c r="F142" s="1" t="s">
        <v>1949</v>
      </c>
      <c r="H142" s="2" t="s">
        <v>63</v>
      </c>
      <c r="I142" s="2" t="s">
        <v>64</v>
      </c>
      <c r="J142" s="2" t="s">
        <v>63</v>
      </c>
      <c r="K142" s="2" t="s">
        <v>92</v>
      </c>
      <c r="L142" s="2" t="s">
        <v>65</v>
      </c>
      <c r="M142" s="1" t="s">
        <v>1950</v>
      </c>
      <c r="N142" s="1" t="s">
        <v>1951</v>
      </c>
      <c r="O142" s="2" t="s">
        <v>104</v>
      </c>
      <c r="Q142" s="2" t="s">
        <v>70</v>
      </c>
      <c r="R142" s="2" t="s">
        <v>377</v>
      </c>
      <c r="T142" s="2" t="s">
        <v>72</v>
      </c>
      <c r="U142" s="3">
        <v>12</v>
      </c>
      <c r="V142" s="3">
        <v>12</v>
      </c>
      <c r="W142" s="4" t="s">
        <v>1952</v>
      </c>
      <c r="X142" s="4" t="s">
        <v>1952</v>
      </c>
      <c r="Y142" s="4" t="s">
        <v>1953</v>
      </c>
      <c r="Z142" s="4" t="s">
        <v>1953</v>
      </c>
      <c r="AA142" s="3">
        <v>267</v>
      </c>
      <c r="AB142" s="3">
        <v>171</v>
      </c>
      <c r="AC142" s="3">
        <v>277</v>
      </c>
      <c r="AD142" s="3">
        <v>2</v>
      </c>
      <c r="AE142" s="3">
        <v>2</v>
      </c>
      <c r="AF142" s="3">
        <v>6</v>
      </c>
      <c r="AG142" s="3">
        <v>13</v>
      </c>
      <c r="AH142" s="3">
        <v>3</v>
      </c>
      <c r="AI142" s="3">
        <v>8</v>
      </c>
      <c r="AJ142" s="3">
        <v>2</v>
      </c>
      <c r="AK142" s="3">
        <v>3</v>
      </c>
      <c r="AL142" s="3">
        <v>2</v>
      </c>
      <c r="AM142" s="3">
        <v>6</v>
      </c>
      <c r="AN142" s="3">
        <v>0</v>
      </c>
      <c r="AO142" s="3">
        <v>0</v>
      </c>
      <c r="AP142" s="3">
        <v>0</v>
      </c>
      <c r="AQ142" s="3">
        <v>0</v>
      </c>
      <c r="AR142" s="2" t="s">
        <v>63</v>
      </c>
      <c r="AS142" s="2" t="s">
        <v>92</v>
      </c>
      <c r="AT142" s="5" t="str">
        <f>HYPERLINK("http://catalog.hathitrust.org/Record/000624653","HathiTrust Record")</f>
        <v>HathiTrust Record</v>
      </c>
      <c r="AU142" s="5" t="str">
        <f>HYPERLINK("https://creighton-primo.hosted.exlibrisgroup.com/primo-explore/search?tab=default_tab&amp;search_scope=EVERYTHING&amp;vid=01CRU&amp;lang=en_US&amp;offset=0&amp;query=any,contains,991001486789702656","Catalog Record")</f>
        <v>Catalog Record</v>
      </c>
      <c r="AV142" s="5" t="str">
        <f>HYPERLINK("http://www.worldcat.org/oclc/12313526","WorldCat Record")</f>
        <v>WorldCat Record</v>
      </c>
      <c r="AW142" s="2" t="s">
        <v>1954</v>
      </c>
      <c r="AX142" s="2" t="s">
        <v>1955</v>
      </c>
      <c r="AY142" s="2" t="s">
        <v>1956</v>
      </c>
      <c r="AZ142" s="2" t="s">
        <v>1956</v>
      </c>
      <c r="BA142" s="2" t="s">
        <v>1957</v>
      </c>
      <c r="BB142" s="2" t="s">
        <v>79</v>
      </c>
      <c r="BD142" s="2" t="s">
        <v>1958</v>
      </c>
      <c r="BE142" s="2" t="s">
        <v>1959</v>
      </c>
      <c r="BF142" s="2" t="s">
        <v>1960</v>
      </c>
    </row>
    <row r="143" spans="1:58" ht="46.5" customHeight="1">
      <c r="A143" s="1"/>
      <c r="B143" s="1" t="s">
        <v>58</v>
      </c>
      <c r="C143" s="1" t="s">
        <v>59</v>
      </c>
      <c r="D143" s="1" t="s">
        <v>1961</v>
      </c>
      <c r="E143" s="1" t="s">
        <v>1962</v>
      </c>
      <c r="F143" s="1" t="s">
        <v>1963</v>
      </c>
      <c r="H143" s="2" t="s">
        <v>63</v>
      </c>
      <c r="I143" s="2" t="s">
        <v>64</v>
      </c>
      <c r="J143" s="2" t="s">
        <v>63</v>
      </c>
      <c r="K143" s="2" t="s">
        <v>63</v>
      </c>
      <c r="L143" s="2" t="s">
        <v>65</v>
      </c>
      <c r="N143" s="1" t="s">
        <v>1964</v>
      </c>
      <c r="O143" s="2" t="s">
        <v>172</v>
      </c>
      <c r="Q143" s="2" t="s">
        <v>70</v>
      </c>
      <c r="R143" s="2" t="s">
        <v>277</v>
      </c>
      <c r="T143" s="2" t="s">
        <v>72</v>
      </c>
      <c r="U143" s="3">
        <v>16</v>
      </c>
      <c r="V143" s="3">
        <v>16</v>
      </c>
      <c r="W143" s="4" t="s">
        <v>1965</v>
      </c>
      <c r="X143" s="4" t="s">
        <v>1965</v>
      </c>
      <c r="Y143" s="4" t="s">
        <v>1726</v>
      </c>
      <c r="Z143" s="4" t="s">
        <v>1726</v>
      </c>
      <c r="AA143" s="3">
        <v>138</v>
      </c>
      <c r="AB143" s="3">
        <v>93</v>
      </c>
      <c r="AC143" s="3">
        <v>95</v>
      </c>
      <c r="AD143" s="3">
        <v>1</v>
      </c>
      <c r="AE143" s="3">
        <v>1</v>
      </c>
      <c r="AF143" s="3">
        <v>1</v>
      </c>
      <c r="AG143" s="3">
        <v>1</v>
      </c>
      <c r="AH143" s="3">
        <v>1</v>
      </c>
      <c r="AI143" s="3">
        <v>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2" t="s">
        <v>63</v>
      </c>
      <c r="AS143" s="2" t="s">
        <v>92</v>
      </c>
      <c r="AT143" s="5" t="str">
        <f>HYPERLINK("http://catalog.hathitrust.org/Record/000242473","HathiTrust Record")</f>
        <v>HathiTrust Record</v>
      </c>
      <c r="AU143" s="5" t="str">
        <f>HYPERLINK("https://creighton-primo.hosted.exlibrisgroup.com/primo-explore/search?tab=default_tab&amp;search_scope=EVERYTHING&amp;vid=01CRU&amp;lang=en_US&amp;offset=0&amp;query=any,contains,991000952509702656","Catalog Record")</f>
        <v>Catalog Record</v>
      </c>
      <c r="AV143" s="5" t="str">
        <f>HYPERLINK("http://www.worldcat.org/oclc/10273601","WorldCat Record")</f>
        <v>WorldCat Record</v>
      </c>
      <c r="AW143" s="2" t="s">
        <v>1966</v>
      </c>
      <c r="AX143" s="2" t="s">
        <v>1967</v>
      </c>
      <c r="AY143" s="2" t="s">
        <v>1968</v>
      </c>
      <c r="AZ143" s="2" t="s">
        <v>1968</v>
      </c>
      <c r="BA143" s="2" t="s">
        <v>1969</v>
      </c>
      <c r="BB143" s="2" t="s">
        <v>79</v>
      </c>
      <c r="BD143" s="2" t="s">
        <v>1970</v>
      </c>
      <c r="BE143" s="2" t="s">
        <v>1971</v>
      </c>
      <c r="BF143" s="2" t="s">
        <v>1972</v>
      </c>
    </row>
    <row r="144" spans="1:58" ht="46.5" customHeight="1">
      <c r="A144" s="1"/>
      <c r="B144" s="1" t="s">
        <v>58</v>
      </c>
      <c r="C144" s="1" t="s">
        <v>59</v>
      </c>
      <c r="D144" s="1" t="s">
        <v>1973</v>
      </c>
      <c r="E144" s="1" t="s">
        <v>1974</v>
      </c>
      <c r="F144" s="1" t="s">
        <v>1975</v>
      </c>
      <c r="H144" s="2" t="s">
        <v>63</v>
      </c>
      <c r="I144" s="2" t="s">
        <v>64</v>
      </c>
      <c r="J144" s="2" t="s">
        <v>63</v>
      </c>
      <c r="K144" s="2" t="s">
        <v>63</v>
      </c>
      <c r="L144" s="2" t="s">
        <v>65</v>
      </c>
      <c r="M144" s="1" t="s">
        <v>1976</v>
      </c>
      <c r="N144" s="1" t="s">
        <v>1977</v>
      </c>
      <c r="O144" s="2" t="s">
        <v>104</v>
      </c>
      <c r="P144" s="1" t="s">
        <v>105</v>
      </c>
      <c r="Q144" s="2" t="s">
        <v>70</v>
      </c>
      <c r="R144" s="2" t="s">
        <v>89</v>
      </c>
      <c r="T144" s="2" t="s">
        <v>72</v>
      </c>
      <c r="U144" s="3">
        <v>15</v>
      </c>
      <c r="V144" s="3">
        <v>15</v>
      </c>
      <c r="W144" s="4" t="s">
        <v>1978</v>
      </c>
      <c r="X144" s="4" t="s">
        <v>1978</v>
      </c>
      <c r="Y144" s="4" t="s">
        <v>1979</v>
      </c>
      <c r="Z144" s="4" t="s">
        <v>1979</v>
      </c>
      <c r="AA144" s="3">
        <v>327</v>
      </c>
      <c r="AB144" s="3">
        <v>241</v>
      </c>
      <c r="AC144" s="3">
        <v>321</v>
      </c>
      <c r="AD144" s="3">
        <v>1</v>
      </c>
      <c r="AE144" s="3">
        <v>2</v>
      </c>
      <c r="AF144" s="3">
        <v>4</v>
      </c>
      <c r="AG144" s="3">
        <v>4</v>
      </c>
      <c r="AH144" s="3">
        <v>1</v>
      </c>
      <c r="AI144" s="3">
        <v>1</v>
      </c>
      <c r="AJ144" s="3">
        <v>1</v>
      </c>
      <c r="AK144" s="3">
        <v>1</v>
      </c>
      <c r="AL144" s="3">
        <v>2</v>
      </c>
      <c r="AM144" s="3">
        <v>2</v>
      </c>
      <c r="AN144" s="3">
        <v>0</v>
      </c>
      <c r="AO144" s="3">
        <v>0</v>
      </c>
      <c r="AP144" s="3">
        <v>0</v>
      </c>
      <c r="AQ144" s="3">
        <v>0</v>
      </c>
      <c r="AR144" s="2" t="s">
        <v>63</v>
      </c>
      <c r="AS144" s="2" t="s">
        <v>63</v>
      </c>
      <c r="AU144" s="5" t="str">
        <f>HYPERLINK("https://creighton-primo.hosted.exlibrisgroup.com/primo-explore/search?tab=default_tab&amp;search_scope=EVERYTHING&amp;vid=01CRU&amp;lang=en_US&amp;offset=0&amp;query=any,contains,991000747659702656","Catalog Record")</f>
        <v>Catalog Record</v>
      </c>
      <c r="AV144" s="5" t="str">
        <f>HYPERLINK("http://www.worldcat.org/oclc/11090172","WorldCat Record")</f>
        <v>WorldCat Record</v>
      </c>
      <c r="AW144" s="2" t="s">
        <v>1980</v>
      </c>
      <c r="AX144" s="2" t="s">
        <v>1981</v>
      </c>
      <c r="AY144" s="2" t="s">
        <v>1982</v>
      </c>
      <c r="AZ144" s="2" t="s">
        <v>1982</v>
      </c>
      <c r="BA144" s="2" t="s">
        <v>1983</v>
      </c>
      <c r="BB144" s="2" t="s">
        <v>79</v>
      </c>
      <c r="BD144" s="2" t="s">
        <v>1984</v>
      </c>
      <c r="BE144" s="2" t="s">
        <v>1985</v>
      </c>
      <c r="BF144" s="2" t="s">
        <v>1986</v>
      </c>
    </row>
    <row r="145" spans="1:58" ht="46.5" customHeight="1">
      <c r="A145" s="1"/>
      <c r="B145" s="1" t="s">
        <v>58</v>
      </c>
      <c r="C145" s="1" t="s">
        <v>59</v>
      </c>
      <c r="D145" s="1" t="s">
        <v>1987</v>
      </c>
      <c r="E145" s="1" t="s">
        <v>1988</v>
      </c>
      <c r="F145" s="1" t="s">
        <v>1989</v>
      </c>
      <c r="H145" s="2" t="s">
        <v>63</v>
      </c>
      <c r="I145" s="2" t="s">
        <v>64</v>
      </c>
      <c r="J145" s="2" t="s">
        <v>63</v>
      </c>
      <c r="K145" s="2" t="s">
        <v>63</v>
      </c>
      <c r="L145" s="2" t="s">
        <v>65</v>
      </c>
      <c r="N145" s="1" t="s">
        <v>1990</v>
      </c>
      <c r="O145" s="2" t="s">
        <v>608</v>
      </c>
      <c r="Q145" s="2" t="s">
        <v>70</v>
      </c>
      <c r="R145" s="2" t="s">
        <v>1541</v>
      </c>
      <c r="S145" s="1" t="s">
        <v>1991</v>
      </c>
      <c r="T145" s="2" t="s">
        <v>72</v>
      </c>
      <c r="U145" s="3">
        <v>5</v>
      </c>
      <c r="V145" s="3">
        <v>5</v>
      </c>
      <c r="W145" s="4" t="s">
        <v>1992</v>
      </c>
      <c r="X145" s="4" t="s">
        <v>1992</v>
      </c>
      <c r="Y145" s="4" t="s">
        <v>979</v>
      </c>
      <c r="Z145" s="4" t="s">
        <v>979</v>
      </c>
      <c r="AA145" s="3">
        <v>123</v>
      </c>
      <c r="AB145" s="3">
        <v>82</v>
      </c>
      <c r="AC145" s="3">
        <v>83</v>
      </c>
      <c r="AD145" s="3">
        <v>1</v>
      </c>
      <c r="AE145" s="3">
        <v>1</v>
      </c>
      <c r="AF145" s="3">
        <v>3</v>
      </c>
      <c r="AG145" s="3">
        <v>3</v>
      </c>
      <c r="AH145" s="3">
        <v>2</v>
      </c>
      <c r="AI145" s="3">
        <v>2</v>
      </c>
      <c r="AJ145" s="3">
        <v>1</v>
      </c>
      <c r="AK145" s="3">
        <v>1</v>
      </c>
      <c r="AL145" s="3">
        <v>1</v>
      </c>
      <c r="AM145" s="3">
        <v>1</v>
      </c>
      <c r="AN145" s="3">
        <v>0</v>
      </c>
      <c r="AO145" s="3">
        <v>0</v>
      </c>
      <c r="AP145" s="3">
        <v>0</v>
      </c>
      <c r="AQ145" s="3">
        <v>0</v>
      </c>
      <c r="AR145" s="2" t="s">
        <v>63</v>
      </c>
      <c r="AS145" s="2" t="s">
        <v>63</v>
      </c>
      <c r="AU145" s="5" t="str">
        <f>HYPERLINK("https://creighton-primo.hosted.exlibrisgroup.com/primo-explore/search?tab=default_tab&amp;search_scope=EVERYTHING&amp;vid=01CRU&amp;lang=en_US&amp;offset=0&amp;query=any,contains,991001512099702656","Catalog Record")</f>
        <v>Catalog Record</v>
      </c>
      <c r="AV145" s="5" t="str">
        <f>HYPERLINK("http://www.worldcat.org/oclc/26098903","WorldCat Record")</f>
        <v>WorldCat Record</v>
      </c>
      <c r="AW145" s="2" t="s">
        <v>1993</v>
      </c>
      <c r="AX145" s="2" t="s">
        <v>1994</v>
      </c>
      <c r="AY145" s="2" t="s">
        <v>1995</v>
      </c>
      <c r="AZ145" s="2" t="s">
        <v>1995</v>
      </c>
      <c r="BA145" s="2" t="s">
        <v>1996</v>
      </c>
      <c r="BB145" s="2" t="s">
        <v>79</v>
      </c>
      <c r="BD145" s="2" t="s">
        <v>1997</v>
      </c>
      <c r="BE145" s="2" t="s">
        <v>1998</v>
      </c>
      <c r="BF145" s="2" t="s">
        <v>1999</v>
      </c>
    </row>
    <row r="146" spans="1:58" ht="46.5" customHeight="1">
      <c r="A146" s="1"/>
      <c r="B146" s="1" t="s">
        <v>58</v>
      </c>
      <c r="C146" s="1" t="s">
        <v>59</v>
      </c>
      <c r="D146" s="1" t="s">
        <v>2000</v>
      </c>
      <c r="E146" s="1" t="s">
        <v>2001</v>
      </c>
      <c r="F146" s="1" t="s">
        <v>2002</v>
      </c>
      <c r="H146" s="2" t="s">
        <v>63</v>
      </c>
      <c r="I146" s="2" t="s">
        <v>64</v>
      </c>
      <c r="J146" s="2" t="s">
        <v>63</v>
      </c>
      <c r="K146" s="2" t="s">
        <v>92</v>
      </c>
      <c r="L146" s="2" t="s">
        <v>65</v>
      </c>
      <c r="N146" s="1" t="s">
        <v>2003</v>
      </c>
      <c r="O146" s="2" t="s">
        <v>229</v>
      </c>
      <c r="Q146" s="2" t="s">
        <v>70</v>
      </c>
      <c r="R146" s="2" t="s">
        <v>377</v>
      </c>
      <c r="T146" s="2" t="s">
        <v>72</v>
      </c>
      <c r="U146" s="3">
        <v>29</v>
      </c>
      <c r="V146" s="3">
        <v>29</v>
      </c>
      <c r="W146" s="4" t="s">
        <v>2004</v>
      </c>
      <c r="X146" s="4" t="s">
        <v>2004</v>
      </c>
      <c r="Y146" s="4" t="s">
        <v>2005</v>
      </c>
      <c r="Z146" s="4" t="s">
        <v>2005</v>
      </c>
      <c r="AA146" s="3">
        <v>129</v>
      </c>
      <c r="AB146" s="3">
        <v>57</v>
      </c>
      <c r="AC146" s="3">
        <v>226</v>
      </c>
      <c r="AD146" s="3">
        <v>1</v>
      </c>
      <c r="AE146" s="3">
        <v>1</v>
      </c>
      <c r="AF146" s="3">
        <v>4</v>
      </c>
      <c r="AG146" s="3">
        <v>11</v>
      </c>
      <c r="AH146" s="3">
        <v>2</v>
      </c>
      <c r="AI146" s="3">
        <v>4</v>
      </c>
      <c r="AJ146" s="3">
        <v>2</v>
      </c>
      <c r="AK146" s="3">
        <v>3</v>
      </c>
      <c r="AL146" s="3">
        <v>1</v>
      </c>
      <c r="AM146" s="3">
        <v>5</v>
      </c>
      <c r="AN146" s="3">
        <v>0</v>
      </c>
      <c r="AO146" s="3">
        <v>0</v>
      </c>
      <c r="AP146" s="3">
        <v>0</v>
      </c>
      <c r="AQ146" s="3">
        <v>0</v>
      </c>
      <c r="AR146" s="2" t="s">
        <v>63</v>
      </c>
      <c r="AS146" s="2" t="s">
        <v>92</v>
      </c>
      <c r="AT146" s="5" t="str">
        <f>HYPERLINK("http://catalog.hathitrust.org/Record/003166120","HathiTrust Record")</f>
        <v>HathiTrust Record</v>
      </c>
      <c r="AU146" s="5" t="str">
        <f>HYPERLINK("https://creighton-primo.hosted.exlibrisgroup.com/primo-explore/search?tab=default_tab&amp;search_scope=EVERYTHING&amp;vid=01CRU&amp;lang=en_US&amp;offset=0&amp;query=any,contains,991001559389702656","Catalog Record")</f>
        <v>Catalog Record</v>
      </c>
      <c r="AV146" s="5" t="str">
        <f>HYPERLINK("http://www.worldcat.org/oclc/37732035","WorldCat Record")</f>
        <v>WorldCat Record</v>
      </c>
      <c r="AW146" s="2" t="s">
        <v>2006</v>
      </c>
      <c r="AX146" s="2" t="s">
        <v>2007</v>
      </c>
      <c r="AY146" s="2" t="s">
        <v>2008</v>
      </c>
      <c r="AZ146" s="2" t="s">
        <v>2008</v>
      </c>
      <c r="BA146" s="2" t="s">
        <v>2009</v>
      </c>
      <c r="BB146" s="2" t="s">
        <v>79</v>
      </c>
      <c r="BD146" s="2" t="s">
        <v>2010</v>
      </c>
      <c r="BE146" s="2" t="s">
        <v>2011</v>
      </c>
      <c r="BF146" s="2" t="s">
        <v>2012</v>
      </c>
    </row>
    <row r="147" spans="1:58" ht="46.5" customHeight="1">
      <c r="A147" s="1"/>
      <c r="B147" s="1" t="s">
        <v>58</v>
      </c>
      <c r="C147" s="1" t="s">
        <v>59</v>
      </c>
      <c r="D147" s="1" t="s">
        <v>2013</v>
      </c>
      <c r="E147" s="1" t="s">
        <v>2014</v>
      </c>
      <c r="F147" s="1" t="s">
        <v>2015</v>
      </c>
      <c r="H147" s="2" t="s">
        <v>63</v>
      </c>
      <c r="I147" s="2" t="s">
        <v>64</v>
      </c>
      <c r="J147" s="2" t="s">
        <v>63</v>
      </c>
      <c r="K147" s="2" t="s">
        <v>63</v>
      </c>
      <c r="L147" s="2" t="s">
        <v>65</v>
      </c>
      <c r="M147" s="1" t="s">
        <v>2016</v>
      </c>
      <c r="N147" s="1" t="s">
        <v>2017</v>
      </c>
      <c r="O147" s="2" t="s">
        <v>540</v>
      </c>
      <c r="P147" s="1" t="s">
        <v>157</v>
      </c>
      <c r="Q147" s="2" t="s">
        <v>70</v>
      </c>
      <c r="R147" s="2" t="s">
        <v>200</v>
      </c>
      <c r="T147" s="2" t="s">
        <v>72</v>
      </c>
      <c r="U147" s="3">
        <v>1</v>
      </c>
      <c r="V147" s="3">
        <v>1</v>
      </c>
      <c r="W147" s="4" t="s">
        <v>2018</v>
      </c>
      <c r="X147" s="4" t="s">
        <v>2018</v>
      </c>
      <c r="Y147" s="4" t="s">
        <v>2019</v>
      </c>
      <c r="Z147" s="4" t="s">
        <v>2019</v>
      </c>
      <c r="AA147" s="3">
        <v>166</v>
      </c>
      <c r="AB147" s="3">
        <v>133</v>
      </c>
      <c r="AC147" s="3">
        <v>212</v>
      </c>
      <c r="AD147" s="3">
        <v>2</v>
      </c>
      <c r="AE147" s="3">
        <v>2</v>
      </c>
      <c r="AF147" s="3">
        <v>1</v>
      </c>
      <c r="AG147" s="3">
        <v>1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</v>
      </c>
      <c r="AO147" s="3">
        <v>1</v>
      </c>
      <c r="AP147" s="3">
        <v>0</v>
      </c>
      <c r="AQ147" s="3">
        <v>0</v>
      </c>
      <c r="AR147" s="2" t="s">
        <v>63</v>
      </c>
      <c r="AS147" s="2" t="s">
        <v>63</v>
      </c>
      <c r="AU147" s="5" t="str">
        <f>HYPERLINK("https://creighton-primo.hosted.exlibrisgroup.com/primo-explore/search?tab=default_tab&amp;search_scope=EVERYTHING&amp;vid=01CRU&amp;lang=en_US&amp;offset=0&amp;query=any,contains,991001743169702656","Catalog Record")</f>
        <v>Catalog Record</v>
      </c>
      <c r="AV147" s="5" t="str">
        <f>HYPERLINK("http://www.worldcat.org/oclc/62234893","WorldCat Record")</f>
        <v>WorldCat Record</v>
      </c>
      <c r="AW147" s="2" t="s">
        <v>2020</v>
      </c>
      <c r="AX147" s="2" t="s">
        <v>2021</v>
      </c>
      <c r="AY147" s="2" t="s">
        <v>2022</v>
      </c>
      <c r="AZ147" s="2" t="s">
        <v>2022</v>
      </c>
      <c r="BA147" s="2" t="s">
        <v>2023</v>
      </c>
      <c r="BB147" s="2" t="s">
        <v>79</v>
      </c>
      <c r="BD147" s="2" t="s">
        <v>2024</v>
      </c>
      <c r="BE147" s="2" t="s">
        <v>2025</v>
      </c>
      <c r="BF147" s="2" t="s">
        <v>2026</v>
      </c>
    </row>
    <row r="148" spans="1:58" ht="46.5" customHeight="1">
      <c r="A148" s="1"/>
      <c r="B148" s="1" t="s">
        <v>58</v>
      </c>
      <c r="C148" s="1" t="s">
        <v>59</v>
      </c>
      <c r="D148" s="1" t="s">
        <v>2027</v>
      </c>
      <c r="E148" s="1" t="s">
        <v>2028</v>
      </c>
      <c r="F148" s="1" t="s">
        <v>2029</v>
      </c>
      <c r="H148" s="2" t="s">
        <v>63</v>
      </c>
      <c r="I148" s="2" t="s">
        <v>64</v>
      </c>
      <c r="J148" s="2" t="s">
        <v>63</v>
      </c>
      <c r="K148" s="2" t="s">
        <v>63</v>
      </c>
      <c r="L148" s="2" t="s">
        <v>65</v>
      </c>
      <c r="N148" s="1" t="s">
        <v>2030</v>
      </c>
      <c r="O148" s="2" t="s">
        <v>608</v>
      </c>
      <c r="Q148" s="2" t="s">
        <v>70</v>
      </c>
      <c r="R148" s="2" t="s">
        <v>277</v>
      </c>
      <c r="T148" s="2" t="s">
        <v>72</v>
      </c>
      <c r="U148" s="3">
        <v>20</v>
      </c>
      <c r="V148" s="3">
        <v>20</v>
      </c>
      <c r="W148" s="4" t="s">
        <v>2031</v>
      </c>
      <c r="X148" s="4" t="s">
        <v>2031</v>
      </c>
      <c r="Y148" s="4" t="s">
        <v>2032</v>
      </c>
      <c r="Z148" s="4" t="s">
        <v>2032</v>
      </c>
      <c r="AA148" s="3">
        <v>208</v>
      </c>
      <c r="AB148" s="3">
        <v>195</v>
      </c>
      <c r="AC148" s="3">
        <v>195</v>
      </c>
      <c r="AD148" s="3">
        <v>2</v>
      </c>
      <c r="AE148" s="3">
        <v>2</v>
      </c>
      <c r="AF148" s="3">
        <v>1</v>
      </c>
      <c r="AG148" s="3">
        <v>1</v>
      </c>
      <c r="AH148" s="3">
        <v>0</v>
      </c>
      <c r="AI148" s="3">
        <v>0</v>
      </c>
      <c r="AJ148" s="3">
        <v>1</v>
      </c>
      <c r="AK148" s="3">
        <v>1</v>
      </c>
      <c r="AL148" s="3">
        <v>1</v>
      </c>
      <c r="AM148" s="3">
        <v>1</v>
      </c>
      <c r="AN148" s="3">
        <v>0</v>
      </c>
      <c r="AO148" s="3">
        <v>0</v>
      </c>
      <c r="AP148" s="3">
        <v>0</v>
      </c>
      <c r="AQ148" s="3">
        <v>0</v>
      </c>
      <c r="AR148" s="2" t="s">
        <v>63</v>
      </c>
      <c r="AS148" s="2" t="s">
        <v>63</v>
      </c>
      <c r="AU148" s="5" t="str">
        <f>HYPERLINK("https://creighton-primo.hosted.exlibrisgroup.com/primo-explore/search?tab=default_tab&amp;search_scope=EVERYTHING&amp;vid=01CRU&amp;lang=en_US&amp;offset=0&amp;query=any,contains,991000552829702656","Catalog Record")</f>
        <v>Catalog Record</v>
      </c>
      <c r="AV148" s="5" t="str">
        <f>HYPERLINK("http://www.worldcat.org/oclc/27812393","WorldCat Record")</f>
        <v>WorldCat Record</v>
      </c>
      <c r="AW148" s="2" t="s">
        <v>2033</v>
      </c>
      <c r="AX148" s="2" t="s">
        <v>2034</v>
      </c>
      <c r="AY148" s="2" t="s">
        <v>2035</v>
      </c>
      <c r="AZ148" s="2" t="s">
        <v>2035</v>
      </c>
      <c r="BA148" s="2" t="s">
        <v>2036</v>
      </c>
      <c r="BB148" s="2" t="s">
        <v>79</v>
      </c>
      <c r="BD148" s="2" t="s">
        <v>2037</v>
      </c>
      <c r="BE148" s="2" t="s">
        <v>2038</v>
      </c>
      <c r="BF148" s="2" t="s">
        <v>2039</v>
      </c>
    </row>
    <row r="149" spans="1:58" ht="46.5" customHeight="1">
      <c r="A149" s="1"/>
      <c r="B149" s="1" t="s">
        <v>58</v>
      </c>
      <c r="C149" s="1" t="s">
        <v>59</v>
      </c>
      <c r="D149" s="1" t="s">
        <v>2040</v>
      </c>
      <c r="E149" s="1" t="s">
        <v>2041</v>
      </c>
      <c r="F149" s="1" t="s">
        <v>2042</v>
      </c>
      <c r="H149" s="2" t="s">
        <v>63</v>
      </c>
      <c r="I149" s="2" t="s">
        <v>64</v>
      </c>
      <c r="J149" s="2" t="s">
        <v>63</v>
      </c>
      <c r="K149" s="2" t="s">
        <v>63</v>
      </c>
      <c r="L149" s="2" t="s">
        <v>65</v>
      </c>
      <c r="M149" s="1" t="s">
        <v>2043</v>
      </c>
      <c r="N149" s="1" t="s">
        <v>2044</v>
      </c>
      <c r="O149" s="2" t="s">
        <v>87</v>
      </c>
      <c r="Q149" s="2" t="s">
        <v>70</v>
      </c>
      <c r="R149" s="2" t="s">
        <v>89</v>
      </c>
      <c r="T149" s="2" t="s">
        <v>72</v>
      </c>
      <c r="U149" s="3">
        <v>51</v>
      </c>
      <c r="V149" s="3">
        <v>51</v>
      </c>
      <c r="W149" s="4" t="s">
        <v>2045</v>
      </c>
      <c r="X149" s="4" t="s">
        <v>2045</v>
      </c>
      <c r="Y149" s="4" t="s">
        <v>2046</v>
      </c>
      <c r="Z149" s="4" t="s">
        <v>2046</v>
      </c>
      <c r="AA149" s="3">
        <v>171</v>
      </c>
      <c r="AB149" s="3">
        <v>110</v>
      </c>
      <c r="AC149" s="3">
        <v>204</v>
      </c>
      <c r="AD149" s="3">
        <v>1</v>
      </c>
      <c r="AE149" s="3">
        <v>2</v>
      </c>
      <c r="AF149" s="3">
        <v>6</v>
      </c>
      <c r="AG149" s="3">
        <v>9</v>
      </c>
      <c r="AH149" s="3">
        <v>1</v>
      </c>
      <c r="AI149" s="3">
        <v>3</v>
      </c>
      <c r="AJ149" s="3">
        <v>2</v>
      </c>
      <c r="AK149" s="3">
        <v>2</v>
      </c>
      <c r="AL149" s="3">
        <v>3</v>
      </c>
      <c r="AM149" s="3">
        <v>4</v>
      </c>
      <c r="AN149" s="3">
        <v>0</v>
      </c>
      <c r="AO149" s="3">
        <v>1</v>
      </c>
      <c r="AP149" s="3">
        <v>0</v>
      </c>
      <c r="AQ149" s="3">
        <v>0</v>
      </c>
      <c r="AR149" s="2" t="s">
        <v>63</v>
      </c>
      <c r="AS149" s="2" t="s">
        <v>92</v>
      </c>
      <c r="AT149" s="5" t="str">
        <f>HYPERLINK("http://catalog.hathitrust.org/Record/000826717","HathiTrust Record")</f>
        <v>HathiTrust Record</v>
      </c>
      <c r="AU149" s="5" t="str">
        <f>HYPERLINK("https://creighton-primo.hosted.exlibrisgroup.com/primo-explore/search?tab=default_tab&amp;search_scope=EVERYTHING&amp;vid=01CRU&amp;lang=en_US&amp;offset=0&amp;query=any,contains,991001528529702656","Catalog Record")</f>
        <v>Catalog Record</v>
      </c>
      <c r="AV149" s="5" t="str">
        <f>HYPERLINK("http://www.worldcat.org/oclc/15661034","WorldCat Record")</f>
        <v>WorldCat Record</v>
      </c>
      <c r="AW149" s="2" t="s">
        <v>2047</v>
      </c>
      <c r="AX149" s="2" t="s">
        <v>2048</v>
      </c>
      <c r="AY149" s="2" t="s">
        <v>2049</v>
      </c>
      <c r="AZ149" s="2" t="s">
        <v>2049</v>
      </c>
      <c r="BA149" s="2" t="s">
        <v>2050</v>
      </c>
      <c r="BB149" s="2" t="s">
        <v>79</v>
      </c>
      <c r="BD149" s="2" t="s">
        <v>2051</v>
      </c>
      <c r="BE149" s="2" t="s">
        <v>2052</v>
      </c>
      <c r="BF149" s="2" t="s">
        <v>2053</v>
      </c>
    </row>
    <row r="150" spans="1:58" ht="46.5" customHeight="1">
      <c r="A150" s="1"/>
      <c r="B150" s="1" t="s">
        <v>58</v>
      </c>
      <c r="C150" s="1" t="s">
        <v>59</v>
      </c>
      <c r="D150" s="1" t="s">
        <v>2054</v>
      </c>
      <c r="E150" s="1" t="s">
        <v>2055</v>
      </c>
      <c r="F150" s="1" t="s">
        <v>2056</v>
      </c>
      <c r="G150" s="2" t="s">
        <v>1538</v>
      </c>
      <c r="H150" s="2" t="s">
        <v>92</v>
      </c>
      <c r="I150" s="2" t="s">
        <v>64</v>
      </c>
      <c r="J150" s="2" t="s">
        <v>63</v>
      </c>
      <c r="K150" s="2" t="s">
        <v>63</v>
      </c>
      <c r="L150" s="2" t="s">
        <v>65</v>
      </c>
      <c r="M150" s="1" t="s">
        <v>2057</v>
      </c>
      <c r="N150" s="1" t="s">
        <v>2058</v>
      </c>
      <c r="O150" s="2" t="s">
        <v>2059</v>
      </c>
      <c r="Q150" s="2" t="s">
        <v>70</v>
      </c>
      <c r="R150" s="2" t="s">
        <v>377</v>
      </c>
      <c r="T150" s="2" t="s">
        <v>72</v>
      </c>
      <c r="U150" s="3">
        <v>2</v>
      </c>
      <c r="V150" s="3">
        <v>5</v>
      </c>
      <c r="W150" s="4" t="s">
        <v>2060</v>
      </c>
      <c r="X150" s="4" t="s">
        <v>2061</v>
      </c>
      <c r="Y150" s="4" t="s">
        <v>2062</v>
      </c>
      <c r="Z150" s="4" t="s">
        <v>2062</v>
      </c>
      <c r="AA150" s="3">
        <v>197</v>
      </c>
      <c r="AB150" s="3">
        <v>126</v>
      </c>
      <c r="AC150" s="3">
        <v>173</v>
      </c>
      <c r="AD150" s="3">
        <v>2</v>
      </c>
      <c r="AE150" s="3">
        <v>2</v>
      </c>
      <c r="AF150" s="3">
        <v>5</v>
      </c>
      <c r="AG150" s="3">
        <v>9</v>
      </c>
      <c r="AH150" s="3">
        <v>2</v>
      </c>
      <c r="AI150" s="3">
        <v>4</v>
      </c>
      <c r="AJ150" s="3">
        <v>1</v>
      </c>
      <c r="AK150" s="3">
        <v>3</v>
      </c>
      <c r="AL150" s="3">
        <v>1</v>
      </c>
      <c r="AM150" s="3">
        <v>2</v>
      </c>
      <c r="AN150" s="3">
        <v>1</v>
      </c>
      <c r="AO150" s="3">
        <v>1</v>
      </c>
      <c r="AP150" s="3">
        <v>0</v>
      </c>
      <c r="AQ150" s="3">
        <v>0</v>
      </c>
      <c r="AR150" s="2" t="s">
        <v>63</v>
      </c>
      <c r="AS150" s="2" t="s">
        <v>92</v>
      </c>
      <c r="AT150" s="5" t="str">
        <f>HYPERLINK("http://catalog.hathitrust.org/Record/001573902","HathiTrust Record")</f>
        <v>HathiTrust Record</v>
      </c>
      <c r="AU150" s="5" t="str">
        <f>HYPERLINK("https://creighton-primo.hosted.exlibrisgroup.com/primo-explore/search?tab=default_tab&amp;search_scope=EVERYTHING&amp;vid=01CRU&amp;lang=en_US&amp;offset=0&amp;query=any,contains,991000952469702656","Catalog Record")</f>
        <v>Catalog Record</v>
      </c>
      <c r="AV150" s="5" t="str">
        <f>HYPERLINK("http://www.worldcat.org/oclc/595025","WorldCat Record")</f>
        <v>WorldCat Record</v>
      </c>
      <c r="AW150" s="2" t="s">
        <v>2063</v>
      </c>
      <c r="AX150" s="2" t="s">
        <v>2064</v>
      </c>
      <c r="AY150" s="2" t="s">
        <v>2065</v>
      </c>
      <c r="AZ150" s="2" t="s">
        <v>2065</v>
      </c>
      <c r="BA150" s="2" t="s">
        <v>2066</v>
      </c>
      <c r="BB150" s="2" t="s">
        <v>79</v>
      </c>
      <c r="BE150" s="2" t="s">
        <v>2067</v>
      </c>
      <c r="BF150" s="2" t="s">
        <v>2068</v>
      </c>
    </row>
    <row r="151" spans="1:58" ht="46.5" customHeight="1">
      <c r="A151" s="1"/>
      <c r="B151" s="1" t="s">
        <v>58</v>
      </c>
      <c r="C151" s="1" t="s">
        <v>59</v>
      </c>
      <c r="D151" s="1" t="s">
        <v>2054</v>
      </c>
      <c r="E151" s="1" t="s">
        <v>2055</v>
      </c>
      <c r="F151" s="1" t="s">
        <v>2056</v>
      </c>
      <c r="G151" s="2" t="s">
        <v>1552</v>
      </c>
      <c r="H151" s="2" t="s">
        <v>92</v>
      </c>
      <c r="I151" s="2" t="s">
        <v>64</v>
      </c>
      <c r="J151" s="2" t="s">
        <v>63</v>
      </c>
      <c r="K151" s="2" t="s">
        <v>63</v>
      </c>
      <c r="L151" s="2" t="s">
        <v>65</v>
      </c>
      <c r="M151" s="1" t="s">
        <v>2057</v>
      </c>
      <c r="N151" s="1" t="s">
        <v>2058</v>
      </c>
      <c r="O151" s="2" t="s">
        <v>2059</v>
      </c>
      <c r="Q151" s="2" t="s">
        <v>70</v>
      </c>
      <c r="R151" s="2" t="s">
        <v>377</v>
      </c>
      <c r="T151" s="2" t="s">
        <v>72</v>
      </c>
      <c r="U151" s="3">
        <v>3</v>
      </c>
      <c r="V151" s="3">
        <v>5</v>
      </c>
      <c r="W151" s="4" t="s">
        <v>2061</v>
      </c>
      <c r="X151" s="4" t="s">
        <v>2061</v>
      </c>
      <c r="Y151" s="4" t="s">
        <v>2062</v>
      </c>
      <c r="Z151" s="4" t="s">
        <v>2062</v>
      </c>
      <c r="AA151" s="3">
        <v>197</v>
      </c>
      <c r="AB151" s="3">
        <v>126</v>
      </c>
      <c r="AC151" s="3">
        <v>173</v>
      </c>
      <c r="AD151" s="3">
        <v>2</v>
      </c>
      <c r="AE151" s="3">
        <v>2</v>
      </c>
      <c r="AF151" s="3">
        <v>5</v>
      </c>
      <c r="AG151" s="3">
        <v>9</v>
      </c>
      <c r="AH151" s="3">
        <v>2</v>
      </c>
      <c r="AI151" s="3">
        <v>4</v>
      </c>
      <c r="AJ151" s="3">
        <v>1</v>
      </c>
      <c r="AK151" s="3">
        <v>3</v>
      </c>
      <c r="AL151" s="3">
        <v>1</v>
      </c>
      <c r="AM151" s="3">
        <v>2</v>
      </c>
      <c r="AN151" s="3">
        <v>1</v>
      </c>
      <c r="AO151" s="3">
        <v>1</v>
      </c>
      <c r="AP151" s="3">
        <v>0</v>
      </c>
      <c r="AQ151" s="3">
        <v>0</v>
      </c>
      <c r="AR151" s="2" t="s">
        <v>63</v>
      </c>
      <c r="AS151" s="2" t="s">
        <v>92</v>
      </c>
      <c r="AT151" s="5" t="str">
        <f>HYPERLINK("http://catalog.hathitrust.org/Record/001573902","HathiTrust Record")</f>
        <v>HathiTrust Record</v>
      </c>
      <c r="AU151" s="5" t="str">
        <f>HYPERLINK("https://creighton-primo.hosted.exlibrisgroup.com/primo-explore/search?tab=default_tab&amp;search_scope=EVERYTHING&amp;vid=01CRU&amp;lang=en_US&amp;offset=0&amp;query=any,contains,991000952469702656","Catalog Record")</f>
        <v>Catalog Record</v>
      </c>
      <c r="AV151" s="5" t="str">
        <f>HYPERLINK("http://www.worldcat.org/oclc/595025","WorldCat Record")</f>
        <v>WorldCat Record</v>
      </c>
      <c r="AW151" s="2" t="s">
        <v>2063</v>
      </c>
      <c r="AX151" s="2" t="s">
        <v>2064</v>
      </c>
      <c r="AY151" s="2" t="s">
        <v>2065</v>
      </c>
      <c r="AZ151" s="2" t="s">
        <v>2065</v>
      </c>
      <c r="BA151" s="2" t="s">
        <v>2066</v>
      </c>
      <c r="BB151" s="2" t="s">
        <v>79</v>
      </c>
      <c r="BE151" s="2" t="s">
        <v>2069</v>
      </c>
      <c r="BF151" s="2" t="s">
        <v>2070</v>
      </c>
    </row>
    <row r="152" spans="1:58" ht="46.5" customHeight="1">
      <c r="A152" s="1"/>
      <c r="B152" s="1" t="s">
        <v>58</v>
      </c>
      <c r="C152" s="1" t="s">
        <v>59</v>
      </c>
      <c r="D152" s="1" t="s">
        <v>2071</v>
      </c>
      <c r="E152" s="1" t="s">
        <v>2072</v>
      </c>
      <c r="F152" s="1" t="s">
        <v>2073</v>
      </c>
      <c r="G152" s="2" t="s">
        <v>1552</v>
      </c>
      <c r="H152" s="2" t="s">
        <v>63</v>
      </c>
      <c r="I152" s="2" t="s">
        <v>64</v>
      </c>
      <c r="J152" s="2" t="s">
        <v>63</v>
      </c>
      <c r="K152" s="2" t="s">
        <v>63</v>
      </c>
      <c r="L152" s="2" t="s">
        <v>65</v>
      </c>
      <c r="M152" s="1" t="s">
        <v>2074</v>
      </c>
      <c r="N152" s="1" t="s">
        <v>2075</v>
      </c>
      <c r="O152" s="2" t="s">
        <v>1856</v>
      </c>
      <c r="Q152" s="2" t="s">
        <v>70</v>
      </c>
      <c r="R152" s="2" t="s">
        <v>277</v>
      </c>
      <c r="T152" s="2" t="s">
        <v>72</v>
      </c>
      <c r="U152" s="3">
        <v>3</v>
      </c>
      <c r="V152" s="3">
        <v>3</v>
      </c>
      <c r="W152" s="4" t="s">
        <v>2076</v>
      </c>
      <c r="X152" s="4" t="s">
        <v>2076</v>
      </c>
      <c r="Y152" s="4" t="s">
        <v>1726</v>
      </c>
      <c r="Z152" s="4" t="s">
        <v>1726</v>
      </c>
      <c r="AA152" s="3">
        <v>712</v>
      </c>
      <c r="AB152" s="3">
        <v>591</v>
      </c>
      <c r="AC152" s="3">
        <v>598</v>
      </c>
      <c r="AD152" s="3">
        <v>4</v>
      </c>
      <c r="AE152" s="3">
        <v>4</v>
      </c>
      <c r="AF152" s="3">
        <v>21</v>
      </c>
      <c r="AG152" s="3">
        <v>21</v>
      </c>
      <c r="AH152" s="3">
        <v>9</v>
      </c>
      <c r="AI152" s="3">
        <v>9</v>
      </c>
      <c r="AJ152" s="3">
        <v>4</v>
      </c>
      <c r="AK152" s="3">
        <v>4</v>
      </c>
      <c r="AL152" s="3">
        <v>11</v>
      </c>
      <c r="AM152" s="3">
        <v>11</v>
      </c>
      <c r="AN152" s="3">
        <v>3</v>
      </c>
      <c r="AO152" s="3">
        <v>3</v>
      </c>
      <c r="AP152" s="3">
        <v>0</v>
      </c>
      <c r="AQ152" s="3">
        <v>0</v>
      </c>
      <c r="AR152" s="2" t="s">
        <v>63</v>
      </c>
      <c r="AS152" s="2" t="s">
        <v>92</v>
      </c>
      <c r="AT152" s="5" t="str">
        <f>HYPERLINK("http://catalog.hathitrust.org/Record/000738011","HathiTrust Record")</f>
        <v>HathiTrust Record</v>
      </c>
      <c r="AU152" s="5" t="str">
        <f>HYPERLINK("https://creighton-primo.hosted.exlibrisgroup.com/primo-explore/search?tab=default_tab&amp;search_scope=EVERYTHING&amp;vid=01CRU&amp;lang=en_US&amp;offset=0&amp;query=any,contains,991000952429702656","Catalog Record")</f>
        <v>Catalog Record</v>
      </c>
      <c r="AV152" s="5" t="str">
        <f>HYPERLINK("http://www.worldcat.org/oclc/2388302","WorldCat Record")</f>
        <v>WorldCat Record</v>
      </c>
      <c r="AW152" s="2" t="s">
        <v>2077</v>
      </c>
      <c r="AX152" s="2" t="s">
        <v>2078</v>
      </c>
      <c r="AY152" s="2" t="s">
        <v>2079</v>
      </c>
      <c r="AZ152" s="2" t="s">
        <v>2079</v>
      </c>
      <c r="BA152" s="2" t="s">
        <v>2080</v>
      </c>
      <c r="BB152" s="2" t="s">
        <v>79</v>
      </c>
      <c r="BE152" s="2" t="s">
        <v>2081</v>
      </c>
      <c r="BF152" s="2" t="s">
        <v>2082</v>
      </c>
    </row>
    <row r="153" spans="1:58" ht="46.5" customHeight="1">
      <c r="A153" s="1"/>
      <c r="B153" s="1" t="s">
        <v>58</v>
      </c>
      <c r="C153" s="1" t="s">
        <v>59</v>
      </c>
      <c r="D153" s="1" t="s">
        <v>2083</v>
      </c>
      <c r="E153" s="1" t="s">
        <v>2084</v>
      </c>
      <c r="F153" s="1" t="s">
        <v>2085</v>
      </c>
      <c r="H153" s="2" t="s">
        <v>63</v>
      </c>
      <c r="I153" s="2" t="s">
        <v>64</v>
      </c>
      <c r="J153" s="2" t="s">
        <v>63</v>
      </c>
      <c r="K153" s="2" t="s">
        <v>63</v>
      </c>
      <c r="L153" s="2" t="s">
        <v>65</v>
      </c>
      <c r="M153" s="1" t="s">
        <v>2086</v>
      </c>
      <c r="N153" s="1" t="s">
        <v>2087</v>
      </c>
      <c r="O153" s="2" t="s">
        <v>172</v>
      </c>
      <c r="P153" s="1" t="s">
        <v>259</v>
      </c>
      <c r="Q153" s="2" t="s">
        <v>70</v>
      </c>
      <c r="R153" s="2" t="s">
        <v>555</v>
      </c>
      <c r="T153" s="2" t="s">
        <v>72</v>
      </c>
      <c r="U153" s="3">
        <v>3</v>
      </c>
      <c r="V153" s="3">
        <v>3</v>
      </c>
      <c r="W153" s="4" t="s">
        <v>2088</v>
      </c>
      <c r="X153" s="4" t="s">
        <v>2088</v>
      </c>
      <c r="Y153" s="4" t="s">
        <v>1018</v>
      </c>
      <c r="Z153" s="4" t="s">
        <v>1018</v>
      </c>
      <c r="AA153" s="3">
        <v>159</v>
      </c>
      <c r="AB153" s="3">
        <v>123</v>
      </c>
      <c r="AC153" s="3">
        <v>408</v>
      </c>
      <c r="AD153" s="3">
        <v>1</v>
      </c>
      <c r="AE153" s="3">
        <v>1</v>
      </c>
      <c r="AF153" s="3">
        <v>3</v>
      </c>
      <c r="AG153" s="3">
        <v>9</v>
      </c>
      <c r="AH153" s="3">
        <v>0</v>
      </c>
      <c r="AI153" s="3">
        <v>3</v>
      </c>
      <c r="AJ153" s="3">
        <v>2</v>
      </c>
      <c r="AK153" s="3">
        <v>4</v>
      </c>
      <c r="AL153" s="3">
        <v>2</v>
      </c>
      <c r="AM153" s="3">
        <v>5</v>
      </c>
      <c r="AN153" s="3">
        <v>0</v>
      </c>
      <c r="AO153" s="3">
        <v>0</v>
      </c>
      <c r="AP153" s="3">
        <v>0</v>
      </c>
      <c r="AQ153" s="3">
        <v>0</v>
      </c>
      <c r="AR153" s="2" t="s">
        <v>63</v>
      </c>
      <c r="AS153" s="2" t="s">
        <v>92</v>
      </c>
      <c r="AT153" s="5" t="str">
        <f>HYPERLINK("http://catalog.hathitrust.org/Record/000243434","HathiTrust Record")</f>
        <v>HathiTrust Record</v>
      </c>
      <c r="AU153" s="5" t="str">
        <f>HYPERLINK("https://creighton-primo.hosted.exlibrisgroup.com/primo-explore/search?tab=default_tab&amp;search_scope=EVERYTHING&amp;vid=01CRU&amp;lang=en_US&amp;offset=0&amp;query=any,contains,991000952389702656","Catalog Record")</f>
        <v>Catalog Record</v>
      </c>
      <c r="AV153" s="5" t="str">
        <f>HYPERLINK("http://www.worldcat.org/oclc/9729530","WorldCat Record")</f>
        <v>WorldCat Record</v>
      </c>
      <c r="AW153" s="2" t="s">
        <v>2089</v>
      </c>
      <c r="AX153" s="2" t="s">
        <v>2090</v>
      </c>
      <c r="AY153" s="2" t="s">
        <v>2091</v>
      </c>
      <c r="AZ153" s="2" t="s">
        <v>2091</v>
      </c>
      <c r="BA153" s="2" t="s">
        <v>2092</v>
      </c>
      <c r="BB153" s="2" t="s">
        <v>79</v>
      </c>
      <c r="BD153" s="2" t="s">
        <v>2093</v>
      </c>
      <c r="BE153" s="2" t="s">
        <v>2094</v>
      </c>
      <c r="BF153" s="2" t="s">
        <v>2095</v>
      </c>
    </row>
    <row r="154" spans="1:58" ht="46.5" customHeight="1">
      <c r="A154" s="1"/>
      <c r="B154" s="1" t="s">
        <v>58</v>
      </c>
      <c r="C154" s="1" t="s">
        <v>59</v>
      </c>
      <c r="D154" s="1" t="s">
        <v>2096</v>
      </c>
      <c r="E154" s="1" t="s">
        <v>2097</v>
      </c>
      <c r="F154" s="1" t="s">
        <v>2098</v>
      </c>
      <c r="H154" s="2" t="s">
        <v>63</v>
      </c>
      <c r="I154" s="2" t="s">
        <v>64</v>
      </c>
      <c r="J154" s="2" t="s">
        <v>63</v>
      </c>
      <c r="K154" s="2" t="s">
        <v>63</v>
      </c>
      <c r="L154" s="2" t="s">
        <v>65</v>
      </c>
      <c r="M154" s="1" t="s">
        <v>2099</v>
      </c>
      <c r="N154" s="1" t="s">
        <v>2100</v>
      </c>
      <c r="O154" s="2" t="s">
        <v>362</v>
      </c>
      <c r="P154" s="1" t="s">
        <v>2101</v>
      </c>
      <c r="Q154" s="2" t="s">
        <v>70</v>
      </c>
      <c r="R154" s="2" t="s">
        <v>377</v>
      </c>
      <c r="T154" s="2" t="s">
        <v>72</v>
      </c>
      <c r="U154" s="3">
        <v>2</v>
      </c>
      <c r="V154" s="3">
        <v>2</v>
      </c>
      <c r="W154" s="4" t="s">
        <v>2102</v>
      </c>
      <c r="X154" s="4" t="s">
        <v>2102</v>
      </c>
      <c r="Y154" s="4" t="s">
        <v>2103</v>
      </c>
      <c r="Z154" s="4" t="s">
        <v>2103</v>
      </c>
      <c r="AA154" s="3">
        <v>186</v>
      </c>
      <c r="AB154" s="3">
        <v>120</v>
      </c>
      <c r="AC154" s="3">
        <v>223</v>
      </c>
      <c r="AD154" s="3">
        <v>3</v>
      </c>
      <c r="AE154" s="3">
        <v>3</v>
      </c>
      <c r="AF154" s="3">
        <v>6</v>
      </c>
      <c r="AG154" s="3">
        <v>8</v>
      </c>
      <c r="AH154" s="3">
        <v>3</v>
      </c>
      <c r="AI154" s="3">
        <v>4</v>
      </c>
      <c r="AJ154" s="3">
        <v>1</v>
      </c>
      <c r="AK154" s="3">
        <v>2</v>
      </c>
      <c r="AL154" s="3">
        <v>2</v>
      </c>
      <c r="AM154" s="3">
        <v>3</v>
      </c>
      <c r="AN154" s="3">
        <v>1</v>
      </c>
      <c r="AO154" s="3">
        <v>1</v>
      </c>
      <c r="AP154" s="3">
        <v>0</v>
      </c>
      <c r="AQ154" s="3">
        <v>0</v>
      </c>
      <c r="AR154" s="2" t="s">
        <v>63</v>
      </c>
      <c r="AS154" s="2" t="s">
        <v>63</v>
      </c>
      <c r="AU154" s="5" t="str">
        <f>HYPERLINK("https://creighton-primo.hosted.exlibrisgroup.com/primo-explore/search?tab=default_tab&amp;search_scope=EVERYTHING&amp;vid=01CRU&amp;lang=en_US&amp;offset=0&amp;query=any,contains,991000425919702656","Catalog Record")</f>
        <v>Catalog Record</v>
      </c>
      <c r="AV154" s="5" t="str">
        <f>HYPERLINK("http://www.worldcat.org/oclc/57256484","WorldCat Record")</f>
        <v>WorldCat Record</v>
      </c>
      <c r="AW154" s="2" t="s">
        <v>2104</v>
      </c>
      <c r="AX154" s="2" t="s">
        <v>2105</v>
      </c>
      <c r="AY154" s="2" t="s">
        <v>2106</v>
      </c>
      <c r="AZ154" s="2" t="s">
        <v>2106</v>
      </c>
      <c r="BA154" s="2" t="s">
        <v>2107</v>
      </c>
      <c r="BB154" s="2" t="s">
        <v>79</v>
      </c>
      <c r="BD154" s="2" t="s">
        <v>2108</v>
      </c>
      <c r="BE154" s="2" t="s">
        <v>2109</v>
      </c>
      <c r="BF154" s="2" t="s">
        <v>2110</v>
      </c>
    </row>
    <row r="155" spans="1:58" ht="46.5" customHeight="1">
      <c r="A155" s="1"/>
      <c r="B155" s="1" t="s">
        <v>58</v>
      </c>
      <c r="C155" s="1" t="s">
        <v>59</v>
      </c>
      <c r="D155" s="1" t="s">
        <v>2111</v>
      </c>
      <c r="E155" s="1" t="s">
        <v>2112</v>
      </c>
      <c r="F155" s="1" t="s">
        <v>2113</v>
      </c>
      <c r="G155" s="2" t="s">
        <v>2114</v>
      </c>
      <c r="H155" s="2" t="s">
        <v>63</v>
      </c>
      <c r="I155" s="2" t="s">
        <v>64</v>
      </c>
      <c r="J155" s="2" t="s">
        <v>63</v>
      </c>
      <c r="K155" s="2" t="s">
        <v>63</v>
      </c>
      <c r="L155" s="2" t="s">
        <v>65</v>
      </c>
      <c r="N155" s="1" t="s">
        <v>2115</v>
      </c>
      <c r="O155" s="2" t="s">
        <v>829</v>
      </c>
      <c r="Q155" s="2" t="s">
        <v>70</v>
      </c>
      <c r="R155" s="2" t="s">
        <v>277</v>
      </c>
      <c r="S155" s="1" t="s">
        <v>2116</v>
      </c>
      <c r="T155" s="2" t="s">
        <v>72</v>
      </c>
      <c r="U155" s="3">
        <v>5</v>
      </c>
      <c r="V155" s="3">
        <v>8</v>
      </c>
      <c r="W155" s="4" t="s">
        <v>2117</v>
      </c>
      <c r="X155" s="4" t="s">
        <v>2117</v>
      </c>
      <c r="Y155" s="4" t="s">
        <v>2118</v>
      </c>
      <c r="Z155" s="4" t="s">
        <v>2118</v>
      </c>
      <c r="AA155" s="3">
        <v>228</v>
      </c>
      <c r="AB155" s="3">
        <v>174</v>
      </c>
      <c r="AC155" s="3">
        <v>182</v>
      </c>
      <c r="AD155" s="3">
        <v>2</v>
      </c>
      <c r="AE155" s="3">
        <v>2</v>
      </c>
      <c r="AF155" s="3">
        <v>6</v>
      </c>
      <c r="AG155" s="3">
        <v>6</v>
      </c>
      <c r="AH155" s="3">
        <v>1</v>
      </c>
      <c r="AI155" s="3">
        <v>1</v>
      </c>
      <c r="AJ155" s="3">
        <v>2</v>
      </c>
      <c r="AK155" s="3">
        <v>2</v>
      </c>
      <c r="AL155" s="3">
        <v>3</v>
      </c>
      <c r="AM155" s="3">
        <v>3</v>
      </c>
      <c r="AN155" s="3">
        <v>1</v>
      </c>
      <c r="AO155" s="3">
        <v>1</v>
      </c>
      <c r="AP155" s="3">
        <v>0</v>
      </c>
      <c r="AQ155" s="3">
        <v>0</v>
      </c>
      <c r="AR155" s="2" t="s">
        <v>63</v>
      </c>
      <c r="AS155" s="2" t="s">
        <v>92</v>
      </c>
      <c r="AT155" s="5" t="str">
        <f>HYPERLINK("http://catalog.hathitrust.org/Record/000734426","HathiTrust Record")</f>
        <v>HathiTrust Record</v>
      </c>
      <c r="AU155" s="5" t="str">
        <f>HYPERLINK("https://creighton-primo.hosted.exlibrisgroup.com/primo-explore/search?tab=default_tab&amp;search_scope=EVERYTHING&amp;vid=01CRU&amp;lang=en_US&amp;offset=0&amp;query=any,contains,991000952349702656","Catalog Record")</f>
        <v>Catalog Record</v>
      </c>
      <c r="AV155" s="5" t="str">
        <f>HYPERLINK("http://www.worldcat.org/oclc/2437968","WorldCat Record")</f>
        <v>WorldCat Record</v>
      </c>
      <c r="AW155" s="2" t="s">
        <v>2119</v>
      </c>
      <c r="AX155" s="2" t="s">
        <v>2120</v>
      </c>
      <c r="AY155" s="2" t="s">
        <v>2121</v>
      </c>
      <c r="AZ155" s="2" t="s">
        <v>2121</v>
      </c>
      <c r="BA155" s="2" t="s">
        <v>2122</v>
      </c>
      <c r="BB155" s="2" t="s">
        <v>79</v>
      </c>
      <c r="BD155" s="2" t="s">
        <v>2123</v>
      </c>
      <c r="BE155" s="2" t="s">
        <v>2124</v>
      </c>
      <c r="BF155" s="2" t="s">
        <v>2125</v>
      </c>
    </row>
    <row r="156" spans="1:58" ht="46.5" customHeight="1">
      <c r="A156" s="1"/>
      <c r="B156" s="1" t="s">
        <v>58</v>
      </c>
      <c r="C156" s="1" t="s">
        <v>59</v>
      </c>
      <c r="D156" s="1" t="s">
        <v>2126</v>
      </c>
      <c r="E156" s="1" t="s">
        <v>2127</v>
      </c>
      <c r="F156" s="1" t="s">
        <v>2128</v>
      </c>
      <c r="H156" s="2" t="s">
        <v>63</v>
      </c>
      <c r="I156" s="2" t="s">
        <v>64</v>
      </c>
      <c r="J156" s="2" t="s">
        <v>63</v>
      </c>
      <c r="K156" s="2" t="s">
        <v>63</v>
      </c>
      <c r="L156" s="2" t="s">
        <v>65</v>
      </c>
      <c r="M156" s="1" t="s">
        <v>2129</v>
      </c>
      <c r="N156" s="1" t="s">
        <v>2130</v>
      </c>
      <c r="O156" s="2" t="s">
        <v>2131</v>
      </c>
      <c r="Q156" s="2" t="s">
        <v>70</v>
      </c>
      <c r="R156" s="2" t="s">
        <v>424</v>
      </c>
      <c r="T156" s="2" t="s">
        <v>72</v>
      </c>
      <c r="U156" s="3">
        <v>4</v>
      </c>
      <c r="V156" s="3">
        <v>4</v>
      </c>
      <c r="W156" s="4" t="s">
        <v>2132</v>
      </c>
      <c r="X156" s="4" t="s">
        <v>2132</v>
      </c>
      <c r="Y156" s="4" t="s">
        <v>1726</v>
      </c>
      <c r="Z156" s="4" t="s">
        <v>1726</v>
      </c>
      <c r="AA156" s="3">
        <v>108</v>
      </c>
      <c r="AB156" s="3">
        <v>81</v>
      </c>
      <c r="AC156" s="3">
        <v>81</v>
      </c>
      <c r="AD156" s="3">
        <v>1</v>
      </c>
      <c r="AE156" s="3">
        <v>1</v>
      </c>
      <c r="AF156" s="3">
        <v>2</v>
      </c>
      <c r="AG156" s="3">
        <v>2</v>
      </c>
      <c r="AH156" s="3">
        <v>1</v>
      </c>
      <c r="AI156" s="3">
        <v>1</v>
      </c>
      <c r="AJ156" s="3">
        <v>1</v>
      </c>
      <c r="AK156" s="3">
        <v>1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2" t="s">
        <v>63</v>
      </c>
      <c r="AS156" s="2" t="s">
        <v>63</v>
      </c>
      <c r="AU156" s="5" t="str">
        <f>HYPERLINK("https://creighton-primo.hosted.exlibrisgroup.com/primo-explore/search?tab=default_tab&amp;search_scope=EVERYTHING&amp;vid=01CRU&amp;lang=en_US&amp;offset=0&amp;query=any,contains,991000952959702656","Catalog Record")</f>
        <v>Catalog Record</v>
      </c>
      <c r="AV156" s="5" t="str">
        <f>HYPERLINK("http://www.worldcat.org/oclc/4732796","WorldCat Record")</f>
        <v>WorldCat Record</v>
      </c>
      <c r="AW156" s="2" t="s">
        <v>2133</v>
      </c>
      <c r="AX156" s="2" t="s">
        <v>2134</v>
      </c>
      <c r="AY156" s="2" t="s">
        <v>2135</v>
      </c>
      <c r="AZ156" s="2" t="s">
        <v>2135</v>
      </c>
      <c r="BA156" s="2" t="s">
        <v>2136</v>
      </c>
      <c r="BB156" s="2" t="s">
        <v>79</v>
      </c>
      <c r="BE156" s="2" t="s">
        <v>2137</v>
      </c>
      <c r="BF156" s="2" t="s">
        <v>2138</v>
      </c>
    </row>
    <row r="157" spans="1:58" ht="46.5" customHeight="1">
      <c r="A157" s="1"/>
      <c r="B157" s="1" t="s">
        <v>58</v>
      </c>
      <c r="C157" s="1" t="s">
        <v>59</v>
      </c>
      <c r="D157" s="1" t="s">
        <v>2139</v>
      </c>
      <c r="E157" s="1" t="s">
        <v>2140</v>
      </c>
      <c r="F157" s="1" t="s">
        <v>2141</v>
      </c>
      <c r="H157" s="2" t="s">
        <v>63</v>
      </c>
      <c r="I157" s="2" t="s">
        <v>64</v>
      </c>
      <c r="J157" s="2" t="s">
        <v>63</v>
      </c>
      <c r="K157" s="2" t="s">
        <v>63</v>
      </c>
      <c r="L157" s="2" t="s">
        <v>65</v>
      </c>
      <c r="M157" s="1" t="s">
        <v>2142</v>
      </c>
      <c r="N157" s="1" t="s">
        <v>2143</v>
      </c>
      <c r="O157" s="2" t="s">
        <v>104</v>
      </c>
      <c r="Q157" s="2" t="s">
        <v>70</v>
      </c>
      <c r="R157" s="2" t="s">
        <v>2144</v>
      </c>
      <c r="T157" s="2" t="s">
        <v>72</v>
      </c>
      <c r="U157" s="3">
        <v>3</v>
      </c>
      <c r="V157" s="3">
        <v>3</v>
      </c>
      <c r="W157" s="4" t="s">
        <v>2145</v>
      </c>
      <c r="X157" s="4" t="s">
        <v>2145</v>
      </c>
      <c r="Y157" s="4" t="s">
        <v>1726</v>
      </c>
      <c r="Z157" s="4" t="s">
        <v>1726</v>
      </c>
      <c r="AA157" s="3">
        <v>24</v>
      </c>
      <c r="AB157" s="3">
        <v>24</v>
      </c>
      <c r="AC157" s="3">
        <v>24</v>
      </c>
      <c r="AD157" s="3">
        <v>1</v>
      </c>
      <c r="AE157" s="3">
        <v>1</v>
      </c>
      <c r="AF157" s="3">
        <v>3</v>
      </c>
      <c r="AG157" s="3">
        <v>3</v>
      </c>
      <c r="AH157" s="3">
        <v>2</v>
      </c>
      <c r="AI157" s="3">
        <v>2</v>
      </c>
      <c r="AJ157" s="3">
        <v>1</v>
      </c>
      <c r="AK157" s="3">
        <v>1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2" t="s">
        <v>63</v>
      </c>
      <c r="AS157" s="2" t="s">
        <v>63</v>
      </c>
      <c r="AU157" s="5" t="str">
        <f>HYPERLINK("https://creighton-primo.hosted.exlibrisgroup.com/primo-explore/search?tab=default_tab&amp;search_scope=EVERYTHING&amp;vid=01CRU&amp;lang=en_US&amp;offset=0&amp;query=any,contains,991000952929702656","Catalog Record")</f>
        <v>Catalog Record</v>
      </c>
      <c r="AV157" s="5" t="str">
        <f>HYPERLINK("http://www.worldcat.org/oclc/12831981","WorldCat Record")</f>
        <v>WorldCat Record</v>
      </c>
      <c r="AW157" s="2" t="s">
        <v>2146</v>
      </c>
      <c r="AX157" s="2" t="s">
        <v>2147</v>
      </c>
      <c r="AY157" s="2" t="s">
        <v>2148</v>
      </c>
      <c r="AZ157" s="2" t="s">
        <v>2148</v>
      </c>
      <c r="BA157" s="2" t="s">
        <v>2149</v>
      </c>
      <c r="BB157" s="2" t="s">
        <v>79</v>
      </c>
      <c r="BE157" s="2" t="s">
        <v>2150</v>
      </c>
      <c r="BF157" s="2" t="s">
        <v>2151</v>
      </c>
    </row>
    <row r="158" spans="1:58" ht="46.5" customHeight="1">
      <c r="A158" s="1"/>
      <c r="B158" s="1" t="s">
        <v>58</v>
      </c>
      <c r="C158" s="1" t="s">
        <v>59</v>
      </c>
      <c r="D158" s="1" t="s">
        <v>2152</v>
      </c>
      <c r="E158" s="1" t="s">
        <v>2153</v>
      </c>
      <c r="F158" s="1" t="s">
        <v>2154</v>
      </c>
      <c r="G158" s="2" t="s">
        <v>2155</v>
      </c>
      <c r="H158" s="2" t="s">
        <v>63</v>
      </c>
      <c r="I158" s="2" t="s">
        <v>64</v>
      </c>
      <c r="J158" s="2" t="s">
        <v>63</v>
      </c>
      <c r="K158" s="2" t="s">
        <v>63</v>
      </c>
      <c r="L158" s="2" t="s">
        <v>65</v>
      </c>
      <c r="N158" s="1" t="s">
        <v>2156</v>
      </c>
      <c r="O158" s="2" t="s">
        <v>829</v>
      </c>
      <c r="Q158" s="2" t="s">
        <v>70</v>
      </c>
      <c r="R158" s="2" t="s">
        <v>277</v>
      </c>
      <c r="S158" s="1" t="s">
        <v>2157</v>
      </c>
      <c r="T158" s="2" t="s">
        <v>72</v>
      </c>
      <c r="U158" s="3">
        <v>2</v>
      </c>
      <c r="V158" s="3">
        <v>2</v>
      </c>
      <c r="W158" s="4" t="s">
        <v>2158</v>
      </c>
      <c r="X158" s="4" t="s">
        <v>2158</v>
      </c>
      <c r="Y158" s="4" t="s">
        <v>2159</v>
      </c>
      <c r="Z158" s="4" t="s">
        <v>2159</v>
      </c>
      <c r="AA158" s="3">
        <v>185</v>
      </c>
      <c r="AB158" s="3">
        <v>139</v>
      </c>
      <c r="AC158" s="3">
        <v>141</v>
      </c>
      <c r="AD158" s="3">
        <v>2</v>
      </c>
      <c r="AE158" s="3">
        <v>2</v>
      </c>
      <c r="AF158" s="3">
        <v>4</v>
      </c>
      <c r="AG158" s="3">
        <v>4</v>
      </c>
      <c r="AH158" s="3">
        <v>1</v>
      </c>
      <c r="AI158" s="3">
        <v>1</v>
      </c>
      <c r="AJ158" s="3">
        <v>0</v>
      </c>
      <c r="AK158" s="3">
        <v>0</v>
      </c>
      <c r="AL158" s="3">
        <v>2</v>
      </c>
      <c r="AM158" s="3">
        <v>2</v>
      </c>
      <c r="AN158" s="3">
        <v>1</v>
      </c>
      <c r="AO158" s="3">
        <v>1</v>
      </c>
      <c r="AP158" s="3">
        <v>0</v>
      </c>
      <c r="AQ158" s="3">
        <v>0</v>
      </c>
      <c r="AR158" s="2" t="s">
        <v>63</v>
      </c>
      <c r="AS158" s="2" t="s">
        <v>92</v>
      </c>
      <c r="AT158" s="5" t="str">
        <f>HYPERLINK("http://catalog.hathitrust.org/Record/000027971","HathiTrust Record")</f>
        <v>HathiTrust Record</v>
      </c>
      <c r="AU158" s="5" t="str">
        <f>HYPERLINK("https://creighton-primo.hosted.exlibrisgroup.com/primo-explore/search?tab=default_tab&amp;search_scope=EVERYTHING&amp;vid=01CRU&amp;lang=en_US&amp;offset=0&amp;query=any,contains,991000952869702656","Catalog Record")</f>
        <v>Catalog Record</v>
      </c>
      <c r="AV158" s="5" t="str">
        <f>HYPERLINK("http://www.worldcat.org/oclc/2586624","WorldCat Record")</f>
        <v>WorldCat Record</v>
      </c>
      <c r="AW158" s="2" t="s">
        <v>2160</v>
      </c>
      <c r="AX158" s="2" t="s">
        <v>2161</v>
      </c>
      <c r="AY158" s="2" t="s">
        <v>2162</v>
      </c>
      <c r="AZ158" s="2" t="s">
        <v>2162</v>
      </c>
      <c r="BA158" s="2" t="s">
        <v>2163</v>
      </c>
      <c r="BB158" s="2" t="s">
        <v>79</v>
      </c>
      <c r="BD158" s="2" t="s">
        <v>2164</v>
      </c>
      <c r="BE158" s="2" t="s">
        <v>2165</v>
      </c>
      <c r="BF158" s="2" t="s">
        <v>2166</v>
      </c>
    </row>
    <row r="159" spans="1:58" ht="46.5" customHeight="1">
      <c r="A159" s="1"/>
      <c r="B159" s="1" t="s">
        <v>58</v>
      </c>
      <c r="C159" s="1" t="s">
        <v>59</v>
      </c>
      <c r="D159" s="1" t="s">
        <v>2167</v>
      </c>
      <c r="E159" s="1" t="s">
        <v>2168</v>
      </c>
      <c r="F159" s="1" t="s">
        <v>2169</v>
      </c>
      <c r="G159" s="2" t="s">
        <v>2170</v>
      </c>
      <c r="H159" s="2" t="s">
        <v>63</v>
      </c>
      <c r="I159" s="2" t="s">
        <v>64</v>
      </c>
      <c r="J159" s="2" t="s">
        <v>63</v>
      </c>
      <c r="K159" s="2" t="s">
        <v>63</v>
      </c>
      <c r="L159" s="2" t="s">
        <v>65</v>
      </c>
      <c r="N159" s="1" t="s">
        <v>2171</v>
      </c>
      <c r="O159" s="2" t="s">
        <v>718</v>
      </c>
      <c r="Q159" s="2" t="s">
        <v>70</v>
      </c>
      <c r="R159" s="2" t="s">
        <v>277</v>
      </c>
      <c r="S159" s="1" t="s">
        <v>2172</v>
      </c>
      <c r="T159" s="2" t="s">
        <v>72</v>
      </c>
      <c r="U159" s="3">
        <v>17</v>
      </c>
      <c r="V159" s="3">
        <v>17</v>
      </c>
      <c r="W159" s="4" t="s">
        <v>2173</v>
      </c>
      <c r="X159" s="4" t="s">
        <v>2173</v>
      </c>
      <c r="Y159" s="4" t="s">
        <v>2159</v>
      </c>
      <c r="Z159" s="4" t="s">
        <v>2159</v>
      </c>
      <c r="AA159" s="3">
        <v>189</v>
      </c>
      <c r="AB159" s="3">
        <v>131</v>
      </c>
      <c r="AC159" s="3">
        <v>132</v>
      </c>
      <c r="AD159" s="3">
        <v>2</v>
      </c>
      <c r="AE159" s="3">
        <v>2</v>
      </c>
      <c r="AF159" s="3">
        <v>3</v>
      </c>
      <c r="AG159" s="3">
        <v>3</v>
      </c>
      <c r="AH159" s="3">
        <v>1</v>
      </c>
      <c r="AI159" s="3">
        <v>1</v>
      </c>
      <c r="AJ159" s="3">
        <v>1</v>
      </c>
      <c r="AK159" s="3">
        <v>1</v>
      </c>
      <c r="AL159" s="3">
        <v>0</v>
      </c>
      <c r="AM159" s="3">
        <v>0</v>
      </c>
      <c r="AN159" s="3">
        <v>1</v>
      </c>
      <c r="AO159" s="3">
        <v>1</v>
      </c>
      <c r="AP159" s="3">
        <v>0</v>
      </c>
      <c r="AQ159" s="3">
        <v>0</v>
      </c>
      <c r="AR159" s="2" t="s">
        <v>63</v>
      </c>
      <c r="AS159" s="2" t="s">
        <v>92</v>
      </c>
      <c r="AT159" s="5" t="str">
        <f>HYPERLINK("http://catalog.hathitrust.org/Record/000088743","HathiTrust Record")</f>
        <v>HathiTrust Record</v>
      </c>
      <c r="AU159" s="5" t="str">
        <f>HYPERLINK("https://creighton-primo.hosted.exlibrisgroup.com/primo-explore/search?tab=default_tab&amp;search_scope=EVERYTHING&amp;vid=01CRU&amp;lang=en_US&amp;offset=0&amp;query=any,contains,991000952829702656","Catalog Record")</f>
        <v>Catalog Record</v>
      </c>
      <c r="AV159" s="5" t="str">
        <f>HYPERLINK("http://www.worldcat.org/oclc/3517612","WorldCat Record")</f>
        <v>WorldCat Record</v>
      </c>
      <c r="AW159" s="2" t="s">
        <v>2174</v>
      </c>
      <c r="AX159" s="2" t="s">
        <v>2175</v>
      </c>
      <c r="AY159" s="2" t="s">
        <v>2176</v>
      </c>
      <c r="AZ159" s="2" t="s">
        <v>2176</v>
      </c>
      <c r="BA159" s="2" t="s">
        <v>2177</v>
      </c>
      <c r="BB159" s="2" t="s">
        <v>79</v>
      </c>
      <c r="BD159" s="2" t="s">
        <v>2178</v>
      </c>
      <c r="BE159" s="2" t="s">
        <v>2179</v>
      </c>
      <c r="BF159" s="2" t="s">
        <v>2180</v>
      </c>
    </row>
    <row r="160" spans="1:58" ht="46.5" customHeight="1">
      <c r="A160" s="1"/>
      <c r="B160" s="1" t="s">
        <v>58</v>
      </c>
      <c r="C160" s="1" t="s">
        <v>59</v>
      </c>
      <c r="D160" s="1" t="s">
        <v>2181</v>
      </c>
      <c r="E160" s="1" t="s">
        <v>2182</v>
      </c>
      <c r="F160" s="1" t="s">
        <v>2183</v>
      </c>
      <c r="G160" s="2" t="s">
        <v>2184</v>
      </c>
      <c r="H160" s="2" t="s">
        <v>63</v>
      </c>
      <c r="I160" s="2" t="s">
        <v>64</v>
      </c>
      <c r="J160" s="2" t="s">
        <v>63</v>
      </c>
      <c r="K160" s="2" t="s">
        <v>63</v>
      </c>
      <c r="L160" s="2" t="s">
        <v>65</v>
      </c>
      <c r="N160" s="1" t="s">
        <v>2185</v>
      </c>
      <c r="O160" s="2" t="s">
        <v>119</v>
      </c>
      <c r="Q160" s="2" t="s">
        <v>70</v>
      </c>
      <c r="R160" s="2" t="s">
        <v>89</v>
      </c>
      <c r="S160" s="1" t="s">
        <v>2186</v>
      </c>
      <c r="T160" s="2" t="s">
        <v>72</v>
      </c>
      <c r="U160" s="3">
        <v>8</v>
      </c>
      <c r="V160" s="3">
        <v>8</v>
      </c>
      <c r="W160" s="4" t="s">
        <v>2187</v>
      </c>
      <c r="X160" s="4" t="s">
        <v>2187</v>
      </c>
      <c r="Y160" s="4" t="s">
        <v>262</v>
      </c>
      <c r="Z160" s="4" t="s">
        <v>262</v>
      </c>
      <c r="AA160" s="3">
        <v>236</v>
      </c>
      <c r="AB160" s="3">
        <v>179</v>
      </c>
      <c r="AC160" s="3">
        <v>181</v>
      </c>
      <c r="AD160" s="3">
        <v>1</v>
      </c>
      <c r="AE160" s="3">
        <v>1</v>
      </c>
      <c r="AF160" s="3">
        <v>6</v>
      </c>
      <c r="AG160" s="3">
        <v>6</v>
      </c>
      <c r="AH160" s="3">
        <v>1</v>
      </c>
      <c r="AI160" s="3">
        <v>1</v>
      </c>
      <c r="AJ160" s="3">
        <v>2</v>
      </c>
      <c r="AK160" s="3">
        <v>2</v>
      </c>
      <c r="AL160" s="3">
        <v>5</v>
      </c>
      <c r="AM160" s="3">
        <v>5</v>
      </c>
      <c r="AN160" s="3">
        <v>0</v>
      </c>
      <c r="AO160" s="3">
        <v>0</v>
      </c>
      <c r="AP160" s="3">
        <v>0</v>
      </c>
      <c r="AQ160" s="3">
        <v>0</v>
      </c>
      <c r="AR160" s="2" t="s">
        <v>63</v>
      </c>
      <c r="AS160" s="2" t="s">
        <v>92</v>
      </c>
      <c r="AT160" s="5" t="str">
        <f>HYPERLINK("http://catalog.hathitrust.org/Record/000766258","HathiTrust Record")</f>
        <v>HathiTrust Record</v>
      </c>
      <c r="AU160" s="5" t="str">
        <f>HYPERLINK("https://creighton-primo.hosted.exlibrisgroup.com/primo-explore/search?tab=default_tab&amp;search_scope=EVERYTHING&amp;vid=01CRU&amp;lang=en_US&amp;offset=0&amp;query=any,contains,991000747689702656","Catalog Record")</f>
        <v>Catalog Record</v>
      </c>
      <c r="AV160" s="5" t="str">
        <f>HYPERLINK("http://www.worldcat.org/oclc/8169519","WorldCat Record")</f>
        <v>WorldCat Record</v>
      </c>
      <c r="AW160" s="2" t="s">
        <v>2188</v>
      </c>
      <c r="AX160" s="2" t="s">
        <v>2189</v>
      </c>
      <c r="AY160" s="2" t="s">
        <v>2190</v>
      </c>
      <c r="AZ160" s="2" t="s">
        <v>2190</v>
      </c>
      <c r="BA160" s="2" t="s">
        <v>2191</v>
      </c>
      <c r="BB160" s="2" t="s">
        <v>79</v>
      </c>
      <c r="BD160" s="2" t="s">
        <v>2192</v>
      </c>
      <c r="BE160" s="2" t="s">
        <v>2193</v>
      </c>
      <c r="BF160" s="2" t="s">
        <v>2194</v>
      </c>
    </row>
    <row r="161" spans="1:58" ht="46.5" customHeight="1">
      <c r="A161" s="1"/>
      <c r="B161" s="1" t="s">
        <v>58</v>
      </c>
      <c r="C161" s="1" t="s">
        <v>59</v>
      </c>
      <c r="D161" s="1" t="s">
        <v>2195</v>
      </c>
      <c r="E161" s="1" t="s">
        <v>2196</v>
      </c>
      <c r="F161" s="1" t="s">
        <v>2197</v>
      </c>
      <c r="H161" s="2" t="s">
        <v>63</v>
      </c>
      <c r="I161" s="2" t="s">
        <v>64</v>
      </c>
      <c r="J161" s="2" t="s">
        <v>63</v>
      </c>
      <c r="K161" s="2" t="s">
        <v>63</v>
      </c>
      <c r="L161" s="2" t="s">
        <v>65</v>
      </c>
      <c r="N161" s="1" t="s">
        <v>2198</v>
      </c>
      <c r="O161" s="2" t="s">
        <v>554</v>
      </c>
      <c r="Q161" s="2" t="s">
        <v>70</v>
      </c>
      <c r="R161" s="2" t="s">
        <v>470</v>
      </c>
      <c r="T161" s="2" t="s">
        <v>72</v>
      </c>
      <c r="U161" s="3">
        <v>25</v>
      </c>
      <c r="V161" s="3">
        <v>25</v>
      </c>
      <c r="W161" s="4" t="s">
        <v>2199</v>
      </c>
      <c r="X161" s="4" t="s">
        <v>2199</v>
      </c>
      <c r="Y161" s="4" t="s">
        <v>2200</v>
      </c>
      <c r="Z161" s="4" t="s">
        <v>2200</v>
      </c>
      <c r="AA161" s="3">
        <v>10</v>
      </c>
      <c r="AB161" s="3">
        <v>10</v>
      </c>
      <c r="AC161" s="3">
        <v>12</v>
      </c>
      <c r="AD161" s="3">
        <v>1</v>
      </c>
      <c r="AE161" s="3">
        <v>1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2" t="s">
        <v>63</v>
      </c>
      <c r="AS161" s="2" t="s">
        <v>92</v>
      </c>
      <c r="AT161" s="5" t="str">
        <f>HYPERLINK("http://catalog.hathitrust.org/Record/002966645","HathiTrust Record")</f>
        <v>HathiTrust Record</v>
      </c>
      <c r="AU161" s="5" t="str">
        <f>HYPERLINK("https://creighton-primo.hosted.exlibrisgroup.com/primo-explore/search?tab=default_tab&amp;search_scope=EVERYTHING&amp;vid=01CRU&amp;lang=en_US&amp;offset=0&amp;query=any,contains,991000687609702656","Catalog Record")</f>
        <v>Catalog Record</v>
      </c>
      <c r="AV161" s="5" t="str">
        <f>HYPERLINK("http://www.worldcat.org/oclc/31594309","WorldCat Record")</f>
        <v>WorldCat Record</v>
      </c>
      <c r="AW161" s="2" t="s">
        <v>2201</v>
      </c>
      <c r="AX161" s="2" t="s">
        <v>2202</v>
      </c>
      <c r="AY161" s="2" t="s">
        <v>2203</v>
      </c>
      <c r="AZ161" s="2" t="s">
        <v>2203</v>
      </c>
      <c r="BA161" s="2" t="s">
        <v>2204</v>
      </c>
      <c r="BB161" s="2" t="s">
        <v>79</v>
      </c>
      <c r="BE161" s="2" t="s">
        <v>2205</v>
      </c>
      <c r="BF161" s="2" t="s">
        <v>2206</v>
      </c>
    </row>
    <row r="162" spans="1:58" ht="46.5" customHeight="1">
      <c r="A162" s="1"/>
      <c r="B162" s="1" t="s">
        <v>58</v>
      </c>
      <c r="C162" s="1" t="s">
        <v>59</v>
      </c>
      <c r="D162" s="1" t="s">
        <v>2207</v>
      </c>
      <c r="E162" s="1" t="s">
        <v>2208</v>
      </c>
      <c r="F162" s="1" t="s">
        <v>2209</v>
      </c>
      <c r="H162" s="2" t="s">
        <v>63</v>
      </c>
      <c r="I162" s="2" t="s">
        <v>64</v>
      </c>
      <c r="J162" s="2" t="s">
        <v>63</v>
      </c>
      <c r="K162" s="2" t="s">
        <v>63</v>
      </c>
      <c r="L162" s="2" t="s">
        <v>65</v>
      </c>
      <c r="N162" s="1" t="s">
        <v>2210</v>
      </c>
      <c r="O162" s="2" t="s">
        <v>198</v>
      </c>
      <c r="Q162" s="2" t="s">
        <v>70</v>
      </c>
      <c r="R162" s="2" t="s">
        <v>89</v>
      </c>
      <c r="S162" s="1" t="s">
        <v>2211</v>
      </c>
      <c r="T162" s="2" t="s">
        <v>72</v>
      </c>
      <c r="U162" s="3">
        <v>8</v>
      </c>
      <c r="V162" s="3">
        <v>8</v>
      </c>
      <c r="W162" s="4" t="s">
        <v>2212</v>
      </c>
      <c r="X162" s="4" t="s">
        <v>2212</v>
      </c>
      <c r="Y162" s="4" t="s">
        <v>2213</v>
      </c>
      <c r="Z162" s="4" t="s">
        <v>2213</v>
      </c>
      <c r="AA162" s="3">
        <v>158</v>
      </c>
      <c r="AB162" s="3">
        <v>111</v>
      </c>
      <c r="AC162" s="3">
        <v>111</v>
      </c>
      <c r="AD162" s="3">
        <v>1</v>
      </c>
      <c r="AE162" s="3">
        <v>1</v>
      </c>
      <c r="AF162" s="3">
        <v>4</v>
      </c>
      <c r="AG162" s="3">
        <v>4</v>
      </c>
      <c r="AH162" s="3">
        <v>3</v>
      </c>
      <c r="AI162" s="3">
        <v>3</v>
      </c>
      <c r="AJ162" s="3">
        <v>2</v>
      </c>
      <c r="AK162" s="3">
        <v>2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2" t="s">
        <v>63</v>
      </c>
      <c r="AS162" s="2" t="s">
        <v>63</v>
      </c>
      <c r="AU162" s="5" t="str">
        <f>HYPERLINK("https://creighton-primo.hosted.exlibrisgroup.com/primo-explore/search?tab=default_tab&amp;search_scope=EVERYTHING&amp;vid=01CRU&amp;lang=en_US&amp;offset=0&amp;query=any,contains,991000948169702656","Catalog Record")</f>
        <v>Catalog Record</v>
      </c>
      <c r="AV162" s="5" t="str">
        <f>HYPERLINK("http://www.worldcat.org/oclc/23973699","WorldCat Record")</f>
        <v>WorldCat Record</v>
      </c>
      <c r="AW162" s="2" t="s">
        <v>2214</v>
      </c>
      <c r="AX162" s="2" t="s">
        <v>2215</v>
      </c>
      <c r="AY162" s="2" t="s">
        <v>2216</v>
      </c>
      <c r="AZ162" s="2" t="s">
        <v>2216</v>
      </c>
      <c r="BA162" s="2" t="s">
        <v>2217</v>
      </c>
      <c r="BB162" s="2" t="s">
        <v>79</v>
      </c>
      <c r="BD162" s="2" t="s">
        <v>2218</v>
      </c>
      <c r="BE162" s="2" t="s">
        <v>2219</v>
      </c>
      <c r="BF162" s="2" t="s">
        <v>2220</v>
      </c>
    </row>
    <row r="163" spans="1:58" ht="46.5" customHeight="1">
      <c r="A163" s="1"/>
      <c r="B163" s="1" t="s">
        <v>58</v>
      </c>
      <c r="C163" s="1" t="s">
        <v>59</v>
      </c>
      <c r="D163" s="1" t="s">
        <v>2221</v>
      </c>
      <c r="E163" s="1" t="s">
        <v>2222</v>
      </c>
      <c r="F163" s="1" t="s">
        <v>2223</v>
      </c>
      <c r="H163" s="2" t="s">
        <v>63</v>
      </c>
      <c r="I163" s="2" t="s">
        <v>64</v>
      </c>
      <c r="J163" s="2" t="s">
        <v>63</v>
      </c>
      <c r="K163" s="2" t="s">
        <v>63</v>
      </c>
      <c r="L163" s="2" t="s">
        <v>65</v>
      </c>
      <c r="N163" s="1" t="s">
        <v>2224</v>
      </c>
      <c r="O163" s="2" t="s">
        <v>362</v>
      </c>
      <c r="P163" s="1" t="s">
        <v>157</v>
      </c>
      <c r="Q163" s="2" t="s">
        <v>70</v>
      </c>
      <c r="R163" s="2" t="s">
        <v>1541</v>
      </c>
      <c r="S163" s="1" t="s">
        <v>2225</v>
      </c>
      <c r="T163" s="2" t="s">
        <v>72</v>
      </c>
      <c r="U163" s="3">
        <v>8</v>
      </c>
      <c r="V163" s="3">
        <v>8</v>
      </c>
      <c r="W163" s="4" t="s">
        <v>2226</v>
      </c>
      <c r="X163" s="4" t="s">
        <v>2226</v>
      </c>
      <c r="Y163" s="4" t="s">
        <v>2227</v>
      </c>
      <c r="Z163" s="4" t="s">
        <v>2227</v>
      </c>
      <c r="AA163" s="3">
        <v>139</v>
      </c>
      <c r="AB163" s="3">
        <v>91</v>
      </c>
      <c r="AC163" s="3">
        <v>184</v>
      </c>
      <c r="AD163" s="3">
        <v>1</v>
      </c>
      <c r="AE163" s="3">
        <v>1</v>
      </c>
      <c r="AF163" s="3">
        <v>3</v>
      </c>
      <c r="AG163" s="3">
        <v>6</v>
      </c>
      <c r="AH163" s="3">
        <v>0</v>
      </c>
      <c r="AI163" s="3">
        <v>2</v>
      </c>
      <c r="AJ163" s="3">
        <v>2</v>
      </c>
      <c r="AK163" s="3">
        <v>3</v>
      </c>
      <c r="AL163" s="3">
        <v>1</v>
      </c>
      <c r="AM163" s="3">
        <v>2</v>
      </c>
      <c r="AN163" s="3">
        <v>0</v>
      </c>
      <c r="AO163" s="3">
        <v>0</v>
      </c>
      <c r="AP163" s="3">
        <v>0</v>
      </c>
      <c r="AQ163" s="3">
        <v>0</v>
      </c>
      <c r="AR163" s="2" t="s">
        <v>63</v>
      </c>
      <c r="AS163" s="2" t="s">
        <v>63</v>
      </c>
      <c r="AU163" s="5" t="str">
        <f>HYPERLINK("https://creighton-primo.hosted.exlibrisgroup.com/primo-explore/search?tab=default_tab&amp;search_scope=EVERYTHING&amp;vid=01CRU&amp;lang=en_US&amp;offset=0&amp;query=any,contains,991000472619702656","Catalog Record")</f>
        <v>Catalog Record</v>
      </c>
      <c r="AV163" s="5" t="str">
        <f>HYPERLINK("http://www.worldcat.org/oclc/60825584","WorldCat Record")</f>
        <v>WorldCat Record</v>
      </c>
      <c r="AW163" s="2" t="s">
        <v>2228</v>
      </c>
      <c r="AX163" s="2" t="s">
        <v>2229</v>
      </c>
      <c r="AY163" s="2" t="s">
        <v>2230</v>
      </c>
      <c r="AZ163" s="2" t="s">
        <v>2230</v>
      </c>
      <c r="BA163" s="2" t="s">
        <v>2231</v>
      </c>
      <c r="BB163" s="2" t="s">
        <v>79</v>
      </c>
      <c r="BD163" s="2" t="s">
        <v>2232</v>
      </c>
      <c r="BE163" s="2" t="s">
        <v>2233</v>
      </c>
      <c r="BF163" s="2" t="s">
        <v>2234</v>
      </c>
    </row>
    <row r="164" spans="1:58" ht="46.5" customHeight="1">
      <c r="A164" s="1"/>
      <c r="B164" s="1" t="s">
        <v>58</v>
      </c>
      <c r="C164" s="1" t="s">
        <v>59</v>
      </c>
      <c r="D164" s="1" t="s">
        <v>2235</v>
      </c>
      <c r="E164" s="1" t="s">
        <v>2236</v>
      </c>
      <c r="F164" s="1" t="s">
        <v>2237</v>
      </c>
      <c r="H164" s="2" t="s">
        <v>63</v>
      </c>
      <c r="I164" s="2" t="s">
        <v>64</v>
      </c>
      <c r="J164" s="2" t="s">
        <v>63</v>
      </c>
      <c r="K164" s="2" t="s">
        <v>63</v>
      </c>
      <c r="L164" s="2" t="s">
        <v>65</v>
      </c>
      <c r="N164" s="1" t="s">
        <v>2238</v>
      </c>
      <c r="O164" s="2" t="s">
        <v>554</v>
      </c>
      <c r="P164" s="1" t="s">
        <v>259</v>
      </c>
      <c r="Q164" s="2" t="s">
        <v>70</v>
      </c>
      <c r="R164" s="2" t="s">
        <v>470</v>
      </c>
      <c r="T164" s="2" t="s">
        <v>72</v>
      </c>
      <c r="U164" s="3">
        <v>8</v>
      </c>
      <c r="V164" s="3">
        <v>8</v>
      </c>
      <c r="W164" s="4" t="s">
        <v>2239</v>
      </c>
      <c r="X164" s="4" t="s">
        <v>2239</v>
      </c>
      <c r="Y164" s="4" t="s">
        <v>2240</v>
      </c>
      <c r="Z164" s="4" t="s">
        <v>2240</v>
      </c>
      <c r="AA164" s="3">
        <v>171</v>
      </c>
      <c r="AB164" s="3">
        <v>126</v>
      </c>
      <c r="AC164" s="3">
        <v>224</v>
      </c>
      <c r="AD164" s="3">
        <v>1</v>
      </c>
      <c r="AE164" s="3">
        <v>1</v>
      </c>
      <c r="AF164" s="3">
        <v>3</v>
      </c>
      <c r="AG164" s="3">
        <v>6</v>
      </c>
      <c r="AH164" s="3">
        <v>2</v>
      </c>
      <c r="AI164" s="3">
        <v>3</v>
      </c>
      <c r="AJ164" s="3">
        <v>2</v>
      </c>
      <c r="AK164" s="3">
        <v>3</v>
      </c>
      <c r="AL164" s="3">
        <v>0</v>
      </c>
      <c r="AM164" s="3">
        <v>1</v>
      </c>
      <c r="AN164" s="3">
        <v>0</v>
      </c>
      <c r="AO164" s="3">
        <v>0</v>
      </c>
      <c r="AP164" s="3">
        <v>0</v>
      </c>
      <c r="AQ164" s="3">
        <v>0</v>
      </c>
      <c r="AR164" s="2" t="s">
        <v>63</v>
      </c>
      <c r="AS164" s="2" t="s">
        <v>63</v>
      </c>
      <c r="AU164" s="5" t="str">
        <f>HYPERLINK("https://creighton-primo.hosted.exlibrisgroup.com/primo-explore/search?tab=default_tab&amp;search_scope=EVERYTHING&amp;vid=01CRU&amp;lang=en_US&amp;offset=0&amp;query=any,contains,991000649389702656","Catalog Record")</f>
        <v>Catalog Record</v>
      </c>
      <c r="AV164" s="5" t="str">
        <f>HYPERLINK("http://www.worldcat.org/oclc/28678521","WorldCat Record")</f>
        <v>WorldCat Record</v>
      </c>
      <c r="AW164" s="2" t="s">
        <v>2241</v>
      </c>
      <c r="AX164" s="2" t="s">
        <v>2242</v>
      </c>
      <c r="AY164" s="2" t="s">
        <v>2243</v>
      </c>
      <c r="AZ164" s="2" t="s">
        <v>2243</v>
      </c>
      <c r="BA164" s="2" t="s">
        <v>2244</v>
      </c>
      <c r="BB164" s="2" t="s">
        <v>79</v>
      </c>
      <c r="BD164" s="2" t="s">
        <v>2245</v>
      </c>
      <c r="BE164" s="2" t="s">
        <v>2246</v>
      </c>
      <c r="BF164" s="2" t="s">
        <v>2247</v>
      </c>
    </row>
    <row r="165" spans="1:58" ht="46.5" customHeight="1">
      <c r="A165" s="1"/>
      <c r="B165" s="1" t="s">
        <v>58</v>
      </c>
      <c r="C165" s="1" t="s">
        <v>59</v>
      </c>
      <c r="D165" s="1" t="s">
        <v>2248</v>
      </c>
      <c r="E165" s="1" t="s">
        <v>2249</v>
      </c>
      <c r="F165" s="1" t="s">
        <v>2250</v>
      </c>
      <c r="G165" s="2" t="s">
        <v>1552</v>
      </c>
      <c r="H165" s="2" t="s">
        <v>92</v>
      </c>
      <c r="I165" s="2" t="s">
        <v>64</v>
      </c>
      <c r="J165" s="2" t="s">
        <v>63</v>
      </c>
      <c r="K165" s="2" t="s">
        <v>63</v>
      </c>
      <c r="L165" s="2" t="s">
        <v>65</v>
      </c>
      <c r="N165" s="1" t="s">
        <v>2251</v>
      </c>
      <c r="O165" s="2" t="s">
        <v>1031</v>
      </c>
      <c r="Q165" s="2" t="s">
        <v>70</v>
      </c>
      <c r="R165" s="2" t="s">
        <v>1364</v>
      </c>
      <c r="T165" s="2" t="s">
        <v>72</v>
      </c>
      <c r="U165" s="3">
        <v>2</v>
      </c>
      <c r="V165" s="3">
        <v>6</v>
      </c>
      <c r="W165" s="4" t="s">
        <v>2252</v>
      </c>
      <c r="X165" s="4" t="s">
        <v>2252</v>
      </c>
      <c r="Y165" s="4" t="s">
        <v>2253</v>
      </c>
      <c r="Z165" s="4" t="s">
        <v>2254</v>
      </c>
      <c r="AA165" s="3">
        <v>138</v>
      </c>
      <c r="AB165" s="3">
        <v>118</v>
      </c>
      <c r="AC165" s="3">
        <v>121</v>
      </c>
      <c r="AD165" s="3">
        <v>1</v>
      </c>
      <c r="AE165" s="3">
        <v>1</v>
      </c>
      <c r="AF165" s="3">
        <v>3</v>
      </c>
      <c r="AG165" s="3">
        <v>3</v>
      </c>
      <c r="AH165" s="3">
        <v>1</v>
      </c>
      <c r="AI165" s="3">
        <v>1</v>
      </c>
      <c r="AJ165" s="3">
        <v>1</v>
      </c>
      <c r="AK165" s="3">
        <v>1</v>
      </c>
      <c r="AL165" s="3">
        <v>1</v>
      </c>
      <c r="AM165" s="3">
        <v>1</v>
      </c>
      <c r="AN165" s="3">
        <v>0</v>
      </c>
      <c r="AO165" s="3">
        <v>0</v>
      </c>
      <c r="AP165" s="3">
        <v>0</v>
      </c>
      <c r="AQ165" s="3">
        <v>0</v>
      </c>
      <c r="AR165" s="2" t="s">
        <v>63</v>
      </c>
      <c r="AS165" s="2" t="s">
        <v>92</v>
      </c>
      <c r="AT165" s="5" t="str">
        <f>HYPERLINK("http://catalog.hathitrust.org/Record/000188097","HathiTrust Record")</f>
        <v>HathiTrust Record</v>
      </c>
      <c r="AU165" s="5" t="str">
        <f>HYPERLINK("https://creighton-primo.hosted.exlibrisgroup.com/primo-explore/search?tab=default_tab&amp;search_scope=EVERYTHING&amp;vid=01CRU&amp;lang=en_US&amp;offset=0&amp;query=any,contains,991001254869702656","Catalog Record")</f>
        <v>Catalog Record</v>
      </c>
      <c r="AV165" s="5" t="str">
        <f>HYPERLINK("http://www.worldcat.org/oclc/3710703","WorldCat Record")</f>
        <v>WorldCat Record</v>
      </c>
      <c r="AW165" s="2" t="s">
        <v>2255</v>
      </c>
      <c r="AX165" s="2" t="s">
        <v>2256</v>
      </c>
      <c r="AY165" s="2" t="s">
        <v>2257</v>
      </c>
      <c r="AZ165" s="2" t="s">
        <v>2257</v>
      </c>
      <c r="BA165" s="2" t="s">
        <v>2258</v>
      </c>
      <c r="BB165" s="2" t="s">
        <v>79</v>
      </c>
      <c r="BD165" s="2" t="s">
        <v>2259</v>
      </c>
      <c r="BE165" s="2" t="s">
        <v>2260</v>
      </c>
      <c r="BF165" s="2" t="s">
        <v>2261</v>
      </c>
    </row>
    <row r="166" spans="1:58" ht="46.5" customHeight="1">
      <c r="A166" s="1"/>
      <c r="B166" s="1" t="s">
        <v>58</v>
      </c>
      <c r="C166" s="1" t="s">
        <v>59</v>
      </c>
      <c r="D166" s="1" t="s">
        <v>2248</v>
      </c>
      <c r="E166" s="1" t="s">
        <v>2249</v>
      </c>
      <c r="F166" s="1" t="s">
        <v>2250</v>
      </c>
      <c r="G166" s="2" t="s">
        <v>1538</v>
      </c>
      <c r="H166" s="2" t="s">
        <v>92</v>
      </c>
      <c r="I166" s="2" t="s">
        <v>64</v>
      </c>
      <c r="J166" s="2" t="s">
        <v>63</v>
      </c>
      <c r="K166" s="2" t="s">
        <v>63</v>
      </c>
      <c r="L166" s="2" t="s">
        <v>65</v>
      </c>
      <c r="N166" s="1" t="s">
        <v>2251</v>
      </c>
      <c r="O166" s="2" t="s">
        <v>1031</v>
      </c>
      <c r="Q166" s="2" t="s">
        <v>70</v>
      </c>
      <c r="R166" s="2" t="s">
        <v>1364</v>
      </c>
      <c r="T166" s="2" t="s">
        <v>72</v>
      </c>
      <c r="U166" s="3">
        <v>1</v>
      </c>
      <c r="V166" s="3">
        <v>6</v>
      </c>
      <c r="W166" s="4" t="s">
        <v>2252</v>
      </c>
      <c r="X166" s="4" t="s">
        <v>2252</v>
      </c>
      <c r="Y166" s="4" t="s">
        <v>2253</v>
      </c>
      <c r="Z166" s="4" t="s">
        <v>2254</v>
      </c>
      <c r="AA166" s="3">
        <v>138</v>
      </c>
      <c r="AB166" s="3">
        <v>118</v>
      </c>
      <c r="AC166" s="3">
        <v>121</v>
      </c>
      <c r="AD166" s="3">
        <v>1</v>
      </c>
      <c r="AE166" s="3">
        <v>1</v>
      </c>
      <c r="AF166" s="3">
        <v>3</v>
      </c>
      <c r="AG166" s="3">
        <v>3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1</v>
      </c>
      <c r="AN166" s="3">
        <v>0</v>
      </c>
      <c r="AO166" s="3">
        <v>0</v>
      </c>
      <c r="AP166" s="3">
        <v>0</v>
      </c>
      <c r="AQ166" s="3">
        <v>0</v>
      </c>
      <c r="AR166" s="2" t="s">
        <v>63</v>
      </c>
      <c r="AS166" s="2" t="s">
        <v>92</v>
      </c>
      <c r="AT166" s="5" t="str">
        <f>HYPERLINK("http://catalog.hathitrust.org/Record/000188097","HathiTrust Record")</f>
        <v>HathiTrust Record</v>
      </c>
      <c r="AU166" s="5" t="str">
        <f>HYPERLINK("https://creighton-primo.hosted.exlibrisgroup.com/primo-explore/search?tab=default_tab&amp;search_scope=EVERYTHING&amp;vid=01CRU&amp;lang=en_US&amp;offset=0&amp;query=any,contains,991001254869702656","Catalog Record")</f>
        <v>Catalog Record</v>
      </c>
      <c r="AV166" s="5" t="str">
        <f>HYPERLINK("http://www.worldcat.org/oclc/3710703","WorldCat Record")</f>
        <v>WorldCat Record</v>
      </c>
      <c r="AW166" s="2" t="s">
        <v>2255</v>
      </c>
      <c r="AX166" s="2" t="s">
        <v>2256</v>
      </c>
      <c r="AY166" s="2" t="s">
        <v>2257</v>
      </c>
      <c r="AZ166" s="2" t="s">
        <v>2257</v>
      </c>
      <c r="BA166" s="2" t="s">
        <v>2258</v>
      </c>
      <c r="BB166" s="2" t="s">
        <v>79</v>
      </c>
      <c r="BD166" s="2" t="s">
        <v>2259</v>
      </c>
      <c r="BE166" s="2" t="s">
        <v>2262</v>
      </c>
      <c r="BF166" s="2" t="s">
        <v>2263</v>
      </c>
    </row>
    <row r="167" spans="1:58" ht="46.5" customHeight="1">
      <c r="A167" s="1"/>
      <c r="B167" s="1" t="s">
        <v>58</v>
      </c>
      <c r="C167" s="1" t="s">
        <v>59</v>
      </c>
      <c r="D167" s="1" t="s">
        <v>2248</v>
      </c>
      <c r="E167" s="1" t="s">
        <v>2249</v>
      </c>
      <c r="F167" s="1" t="s">
        <v>2250</v>
      </c>
      <c r="G167" s="2" t="s">
        <v>2264</v>
      </c>
      <c r="H167" s="2" t="s">
        <v>92</v>
      </c>
      <c r="I167" s="2" t="s">
        <v>64</v>
      </c>
      <c r="J167" s="2" t="s">
        <v>63</v>
      </c>
      <c r="K167" s="2" t="s">
        <v>63</v>
      </c>
      <c r="L167" s="2" t="s">
        <v>65</v>
      </c>
      <c r="N167" s="1" t="s">
        <v>2251</v>
      </c>
      <c r="O167" s="2" t="s">
        <v>1031</v>
      </c>
      <c r="Q167" s="2" t="s">
        <v>70</v>
      </c>
      <c r="R167" s="2" t="s">
        <v>1364</v>
      </c>
      <c r="T167" s="2" t="s">
        <v>72</v>
      </c>
      <c r="U167" s="3">
        <v>3</v>
      </c>
      <c r="V167" s="3">
        <v>6</v>
      </c>
      <c r="W167" s="4" t="s">
        <v>2252</v>
      </c>
      <c r="X167" s="4" t="s">
        <v>2252</v>
      </c>
      <c r="Y167" s="4" t="s">
        <v>2254</v>
      </c>
      <c r="Z167" s="4" t="s">
        <v>2254</v>
      </c>
      <c r="AA167" s="3">
        <v>138</v>
      </c>
      <c r="AB167" s="3">
        <v>118</v>
      </c>
      <c r="AC167" s="3">
        <v>121</v>
      </c>
      <c r="AD167" s="3">
        <v>1</v>
      </c>
      <c r="AE167" s="3">
        <v>1</v>
      </c>
      <c r="AF167" s="3">
        <v>3</v>
      </c>
      <c r="AG167" s="3">
        <v>3</v>
      </c>
      <c r="AH167" s="3">
        <v>1</v>
      </c>
      <c r="AI167" s="3">
        <v>1</v>
      </c>
      <c r="AJ167" s="3">
        <v>1</v>
      </c>
      <c r="AK167" s="3">
        <v>1</v>
      </c>
      <c r="AL167" s="3">
        <v>1</v>
      </c>
      <c r="AM167" s="3">
        <v>1</v>
      </c>
      <c r="AN167" s="3">
        <v>0</v>
      </c>
      <c r="AO167" s="3">
        <v>0</v>
      </c>
      <c r="AP167" s="3">
        <v>0</v>
      </c>
      <c r="AQ167" s="3">
        <v>0</v>
      </c>
      <c r="AR167" s="2" t="s">
        <v>63</v>
      </c>
      <c r="AS167" s="2" t="s">
        <v>92</v>
      </c>
      <c r="AT167" s="5" t="str">
        <f>HYPERLINK("http://catalog.hathitrust.org/Record/000188097","HathiTrust Record")</f>
        <v>HathiTrust Record</v>
      </c>
      <c r="AU167" s="5" t="str">
        <f>HYPERLINK("https://creighton-primo.hosted.exlibrisgroup.com/primo-explore/search?tab=default_tab&amp;search_scope=EVERYTHING&amp;vid=01CRU&amp;lang=en_US&amp;offset=0&amp;query=any,contains,991001254869702656","Catalog Record")</f>
        <v>Catalog Record</v>
      </c>
      <c r="AV167" s="5" t="str">
        <f>HYPERLINK("http://www.worldcat.org/oclc/3710703","WorldCat Record")</f>
        <v>WorldCat Record</v>
      </c>
      <c r="AW167" s="2" t="s">
        <v>2255</v>
      </c>
      <c r="AX167" s="2" t="s">
        <v>2256</v>
      </c>
      <c r="AY167" s="2" t="s">
        <v>2257</v>
      </c>
      <c r="AZ167" s="2" t="s">
        <v>2257</v>
      </c>
      <c r="BA167" s="2" t="s">
        <v>2258</v>
      </c>
      <c r="BB167" s="2" t="s">
        <v>79</v>
      </c>
      <c r="BD167" s="2" t="s">
        <v>2259</v>
      </c>
      <c r="BE167" s="2" t="s">
        <v>2265</v>
      </c>
      <c r="BF167" s="2" t="s">
        <v>2266</v>
      </c>
    </row>
    <row r="168" spans="1:58" ht="46.5" customHeight="1">
      <c r="A168" s="1"/>
      <c r="B168" s="1" t="s">
        <v>58</v>
      </c>
      <c r="C168" s="1" t="s">
        <v>59</v>
      </c>
      <c r="D168" s="1" t="s">
        <v>2267</v>
      </c>
      <c r="E168" s="1" t="s">
        <v>2268</v>
      </c>
      <c r="F168" s="1" t="s">
        <v>2269</v>
      </c>
      <c r="H168" s="2" t="s">
        <v>63</v>
      </c>
      <c r="I168" s="2" t="s">
        <v>64</v>
      </c>
      <c r="J168" s="2" t="s">
        <v>63</v>
      </c>
      <c r="K168" s="2" t="s">
        <v>63</v>
      </c>
      <c r="L168" s="2" t="s">
        <v>65</v>
      </c>
      <c r="M168" s="1" t="s">
        <v>2270</v>
      </c>
      <c r="N168" s="1" t="s">
        <v>2271</v>
      </c>
      <c r="O168" s="2" t="s">
        <v>1031</v>
      </c>
      <c r="Q168" s="2" t="s">
        <v>70</v>
      </c>
      <c r="R168" s="2" t="s">
        <v>277</v>
      </c>
      <c r="T168" s="2" t="s">
        <v>72</v>
      </c>
      <c r="U168" s="3">
        <v>3</v>
      </c>
      <c r="V168" s="3">
        <v>3</v>
      </c>
      <c r="W168" s="4" t="s">
        <v>2272</v>
      </c>
      <c r="X168" s="4" t="s">
        <v>2272</v>
      </c>
      <c r="Y168" s="4" t="s">
        <v>2159</v>
      </c>
      <c r="Z168" s="4" t="s">
        <v>2159</v>
      </c>
      <c r="AA168" s="3">
        <v>25</v>
      </c>
      <c r="AB168" s="3">
        <v>21</v>
      </c>
      <c r="AC168" s="3">
        <v>21</v>
      </c>
      <c r="AD168" s="3">
        <v>1</v>
      </c>
      <c r="AE168" s="3">
        <v>1</v>
      </c>
      <c r="AF168" s="3">
        <v>3</v>
      </c>
      <c r="AG168" s="3">
        <v>3</v>
      </c>
      <c r="AH168" s="3">
        <v>2</v>
      </c>
      <c r="AI168" s="3">
        <v>2</v>
      </c>
      <c r="AJ168" s="3">
        <v>2</v>
      </c>
      <c r="AK168" s="3">
        <v>2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2" t="s">
        <v>63</v>
      </c>
      <c r="AS168" s="2" t="s">
        <v>63</v>
      </c>
      <c r="AU168" s="5" t="str">
        <f>HYPERLINK("https://creighton-primo.hosted.exlibrisgroup.com/primo-explore/search?tab=default_tab&amp;search_scope=EVERYTHING&amp;vid=01CRU&amp;lang=en_US&amp;offset=0&amp;query=any,contains,991000952749702656","Catalog Record")</f>
        <v>Catalog Record</v>
      </c>
      <c r="AV168" s="5" t="str">
        <f>HYPERLINK("http://www.worldcat.org/oclc/3304014","WorldCat Record")</f>
        <v>WorldCat Record</v>
      </c>
      <c r="AW168" s="2" t="s">
        <v>2273</v>
      </c>
      <c r="AX168" s="2" t="s">
        <v>2274</v>
      </c>
      <c r="AY168" s="2" t="s">
        <v>2275</v>
      </c>
      <c r="AZ168" s="2" t="s">
        <v>2275</v>
      </c>
      <c r="BA168" s="2" t="s">
        <v>2276</v>
      </c>
      <c r="BB168" s="2" t="s">
        <v>79</v>
      </c>
      <c r="BE168" s="2" t="s">
        <v>2277</v>
      </c>
      <c r="BF168" s="2" t="s">
        <v>2278</v>
      </c>
    </row>
    <row r="169" spans="1:58" ht="46.5" customHeight="1">
      <c r="A169" s="1"/>
      <c r="B169" s="1" t="s">
        <v>58</v>
      </c>
      <c r="C169" s="1" t="s">
        <v>59</v>
      </c>
      <c r="D169" s="1" t="s">
        <v>2279</v>
      </c>
      <c r="E169" s="1" t="s">
        <v>2280</v>
      </c>
      <c r="F169" s="1" t="s">
        <v>2281</v>
      </c>
      <c r="H169" s="2" t="s">
        <v>63</v>
      </c>
      <c r="I169" s="2" t="s">
        <v>64</v>
      </c>
      <c r="J169" s="2" t="s">
        <v>63</v>
      </c>
      <c r="K169" s="2" t="s">
        <v>63</v>
      </c>
      <c r="L169" s="2" t="s">
        <v>65</v>
      </c>
      <c r="N169" s="1" t="s">
        <v>2282</v>
      </c>
      <c r="O169" s="2" t="s">
        <v>423</v>
      </c>
      <c r="P169" s="1" t="s">
        <v>2283</v>
      </c>
      <c r="Q169" s="2" t="s">
        <v>70</v>
      </c>
      <c r="R169" s="2" t="s">
        <v>2284</v>
      </c>
      <c r="T169" s="2" t="s">
        <v>72</v>
      </c>
      <c r="U169" s="3">
        <v>55</v>
      </c>
      <c r="V169" s="3">
        <v>55</v>
      </c>
      <c r="W169" s="4" t="s">
        <v>2285</v>
      </c>
      <c r="X169" s="4" t="s">
        <v>2285</v>
      </c>
      <c r="Y169" s="4" t="s">
        <v>2286</v>
      </c>
      <c r="Z169" s="4" t="s">
        <v>2286</v>
      </c>
      <c r="AA169" s="3">
        <v>125</v>
      </c>
      <c r="AB169" s="3">
        <v>73</v>
      </c>
      <c r="AC169" s="3">
        <v>226</v>
      </c>
      <c r="AD169" s="3">
        <v>1</v>
      </c>
      <c r="AE169" s="3">
        <v>2</v>
      </c>
      <c r="AF169" s="3">
        <v>2</v>
      </c>
      <c r="AG169" s="3">
        <v>12</v>
      </c>
      <c r="AH169" s="3">
        <v>0</v>
      </c>
      <c r="AI169" s="3">
        <v>5</v>
      </c>
      <c r="AJ169" s="3">
        <v>1</v>
      </c>
      <c r="AK169" s="3">
        <v>3</v>
      </c>
      <c r="AL169" s="3">
        <v>1</v>
      </c>
      <c r="AM169" s="3">
        <v>4</v>
      </c>
      <c r="AN169" s="3">
        <v>0</v>
      </c>
      <c r="AO169" s="3">
        <v>1</v>
      </c>
      <c r="AP169" s="3">
        <v>0</v>
      </c>
      <c r="AQ169" s="3">
        <v>0</v>
      </c>
      <c r="AR169" s="2" t="s">
        <v>63</v>
      </c>
      <c r="AS169" s="2" t="s">
        <v>92</v>
      </c>
      <c r="AT169" s="5" t="str">
        <f>HYPERLINK("http://catalog.hathitrust.org/Record/001839821","HathiTrust Record")</f>
        <v>HathiTrust Record</v>
      </c>
      <c r="AU169" s="5" t="str">
        <f>HYPERLINK("https://creighton-primo.hosted.exlibrisgroup.com/primo-explore/search?tab=default_tab&amp;search_scope=EVERYTHING&amp;vid=01CRU&amp;lang=en_US&amp;offset=0&amp;query=any,contains,991001367579702656","Catalog Record")</f>
        <v>Catalog Record</v>
      </c>
      <c r="AV169" s="5" t="str">
        <f>HYPERLINK("http://www.worldcat.org/oclc/20161509","WorldCat Record")</f>
        <v>WorldCat Record</v>
      </c>
      <c r="AW169" s="2" t="s">
        <v>2287</v>
      </c>
      <c r="AX169" s="2" t="s">
        <v>2288</v>
      </c>
      <c r="AY169" s="2" t="s">
        <v>2289</v>
      </c>
      <c r="AZ169" s="2" t="s">
        <v>2289</v>
      </c>
      <c r="BA169" s="2" t="s">
        <v>2290</v>
      </c>
      <c r="BB169" s="2" t="s">
        <v>79</v>
      </c>
      <c r="BD169" s="2" t="s">
        <v>2291</v>
      </c>
      <c r="BE169" s="2" t="s">
        <v>2292</v>
      </c>
      <c r="BF169" s="2" t="s">
        <v>2293</v>
      </c>
    </row>
    <row r="170" spans="1:58" ht="46.5" customHeight="1">
      <c r="A170" s="1"/>
      <c r="B170" s="1" t="s">
        <v>58</v>
      </c>
      <c r="C170" s="1" t="s">
        <v>59</v>
      </c>
      <c r="D170" s="1" t="s">
        <v>2294</v>
      </c>
      <c r="E170" s="1" t="s">
        <v>2295</v>
      </c>
      <c r="F170" s="1" t="s">
        <v>2296</v>
      </c>
      <c r="H170" s="2" t="s">
        <v>63</v>
      </c>
      <c r="I170" s="2" t="s">
        <v>64</v>
      </c>
      <c r="J170" s="2" t="s">
        <v>63</v>
      </c>
      <c r="K170" s="2" t="s">
        <v>63</v>
      </c>
      <c r="L170" s="2" t="s">
        <v>65</v>
      </c>
      <c r="N170" s="1" t="s">
        <v>2297</v>
      </c>
      <c r="O170" s="2" t="s">
        <v>407</v>
      </c>
      <c r="P170" s="1" t="s">
        <v>2298</v>
      </c>
      <c r="Q170" s="2" t="s">
        <v>70</v>
      </c>
      <c r="R170" s="2" t="s">
        <v>89</v>
      </c>
      <c r="T170" s="2" t="s">
        <v>72</v>
      </c>
      <c r="U170" s="3">
        <v>33</v>
      </c>
      <c r="V170" s="3">
        <v>33</v>
      </c>
      <c r="W170" s="4" t="s">
        <v>2299</v>
      </c>
      <c r="X170" s="4" t="s">
        <v>2299</v>
      </c>
      <c r="Y170" s="4" t="s">
        <v>1047</v>
      </c>
      <c r="Z170" s="4" t="s">
        <v>1047</v>
      </c>
      <c r="AA170" s="3">
        <v>327</v>
      </c>
      <c r="AB170" s="3">
        <v>193</v>
      </c>
      <c r="AC170" s="3">
        <v>539</v>
      </c>
      <c r="AD170" s="3">
        <v>1</v>
      </c>
      <c r="AE170" s="3">
        <v>3</v>
      </c>
      <c r="AF170" s="3">
        <v>3</v>
      </c>
      <c r="AG170" s="3">
        <v>16</v>
      </c>
      <c r="AH170" s="3">
        <v>2</v>
      </c>
      <c r="AI170" s="3">
        <v>7</v>
      </c>
      <c r="AJ170" s="3">
        <v>2</v>
      </c>
      <c r="AK170" s="3">
        <v>2</v>
      </c>
      <c r="AL170" s="3">
        <v>0</v>
      </c>
      <c r="AM170" s="3">
        <v>7</v>
      </c>
      <c r="AN170" s="3">
        <v>0</v>
      </c>
      <c r="AO170" s="3">
        <v>2</v>
      </c>
      <c r="AP170" s="3">
        <v>0</v>
      </c>
      <c r="AQ170" s="3">
        <v>0</v>
      </c>
      <c r="AR170" s="2" t="s">
        <v>63</v>
      </c>
      <c r="AS170" s="2" t="s">
        <v>92</v>
      </c>
      <c r="AT170" s="5" t="str">
        <f>HYPERLINK("http://catalog.hathitrust.org/Record/002170831","HathiTrust Record")</f>
        <v>HathiTrust Record</v>
      </c>
      <c r="AU170" s="5" t="str">
        <f>HYPERLINK("https://creighton-primo.hosted.exlibrisgroup.com/primo-explore/search?tab=default_tab&amp;search_scope=EVERYTHING&amp;vid=01CRU&amp;lang=en_US&amp;offset=0&amp;query=any,contains,991000821779702656","Catalog Record")</f>
        <v>Catalog Record</v>
      </c>
      <c r="AV170" s="5" t="str">
        <f>HYPERLINK("http://www.worldcat.org/oclc/21226640","WorldCat Record")</f>
        <v>WorldCat Record</v>
      </c>
      <c r="AW170" s="2" t="s">
        <v>2300</v>
      </c>
      <c r="AX170" s="2" t="s">
        <v>2301</v>
      </c>
      <c r="AY170" s="2" t="s">
        <v>2302</v>
      </c>
      <c r="AZ170" s="2" t="s">
        <v>2302</v>
      </c>
      <c r="BA170" s="2" t="s">
        <v>2303</v>
      </c>
      <c r="BB170" s="2" t="s">
        <v>79</v>
      </c>
      <c r="BD170" s="2" t="s">
        <v>2304</v>
      </c>
      <c r="BE170" s="2" t="s">
        <v>2305</v>
      </c>
      <c r="BF170" s="2" t="s">
        <v>2306</v>
      </c>
    </row>
    <row r="171" spans="1:58" ht="46.5" customHeight="1">
      <c r="A171" s="1"/>
      <c r="B171" s="1" t="s">
        <v>58</v>
      </c>
      <c r="C171" s="1" t="s">
        <v>59</v>
      </c>
      <c r="D171" s="1" t="s">
        <v>2307</v>
      </c>
      <c r="E171" s="1" t="s">
        <v>2308</v>
      </c>
      <c r="F171" s="1" t="s">
        <v>2309</v>
      </c>
      <c r="G171" s="2" t="s">
        <v>2310</v>
      </c>
      <c r="H171" s="2" t="s">
        <v>63</v>
      </c>
      <c r="I171" s="2" t="s">
        <v>64</v>
      </c>
      <c r="J171" s="2" t="s">
        <v>63</v>
      </c>
      <c r="K171" s="2" t="s">
        <v>63</v>
      </c>
      <c r="L171" s="2" t="s">
        <v>65</v>
      </c>
      <c r="N171" s="1" t="s">
        <v>2311</v>
      </c>
      <c r="O171" s="2" t="s">
        <v>829</v>
      </c>
      <c r="Q171" s="2" t="s">
        <v>70</v>
      </c>
      <c r="R171" s="2" t="s">
        <v>277</v>
      </c>
      <c r="S171" s="1" t="s">
        <v>2312</v>
      </c>
      <c r="T171" s="2" t="s">
        <v>72</v>
      </c>
      <c r="U171" s="3">
        <v>21</v>
      </c>
      <c r="V171" s="3">
        <v>21</v>
      </c>
      <c r="W171" s="4" t="s">
        <v>2313</v>
      </c>
      <c r="X171" s="4" t="s">
        <v>2313</v>
      </c>
      <c r="Y171" s="4" t="s">
        <v>2314</v>
      </c>
      <c r="Z171" s="4" t="s">
        <v>2314</v>
      </c>
      <c r="AA171" s="3">
        <v>100</v>
      </c>
      <c r="AB171" s="3">
        <v>77</v>
      </c>
      <c r="AC171" s="3">
        <v>79</v>
      </c>
      <c r="AD171" s="3">
        <v>2</v>
      </c>
      <c r="AE171" s="3">
        <v>2</v>
      </c>
      <c r="AF171" s="3">
        <v>5</v>
      </c>
      <c r="AG171" s="3">
        <v>5</v>
      </c>
      <c r="AH171" s="3">
        <v>2</v>
      </c>
      <c r="AI171" s="3">
        <v>2</v>
      </c>
      <c r="AJ171" s="3">
        <v>2</v>
      </c>
      <c r="AK171" s="3">
        <v>2</v>
      </c>
      <c r="AL171" s="3">
        <v>2</v>
      </c>
      <c r="AM171" s="3">
        <v>2</v>
      </c>
      <c r="AN171" s="3">
        <v>1</v>
      </c>
      <c r="AO171" s="3">
        <v>1</v>
      </c>
      <c r="AP171" s="3">
        <v>0</v>
      </c>
      <c r="AQ171" s="3">
        <v>0</v>
      </c>
      <c r="AR171" s="2" t="s">
        <v>63</v>
      </c>
      <c r="AS171" s="2" t="s">
        <v>92</v>
      </c>
      <c r="AT171" s="5" t="str">
        <f>HYPERLINK("http://catalog.hathitrust.org/Record/000242161","HathiTrust Record")</f>
        <v>HathiTrust Record</v>
      </c>
      <c r="AU171" s="5" t="str">
        <f>HYPERLINK("https://creighton-primo.hosted.exlibrisgroup.com/primo-explore/search?tab=default_tab&amp;search_scope=EVERYTHING&amp;vid=01CRU&amp;lang=en_US&amp;offset=0&amp;query=any,contains,991000984879702656","Catalog Record")</f>
        <v>Catalog Record</v>
      </c>
      <c r="AV171" s="5" t="str">
        <f>HYPERLINK("http://www.worldcat.org/oclc/2486308","WorldCat Record")</f>
        <v>WorldCat Record</v>
      </c>
      <c r="AW171" s="2" t="s">
        <v>2315</v>
      </c>
      <c r="AX171" s="2" t="s">
        <v>2316</v>
      </c>
      <c r="AY171" s="2" t="s">
        <v>2317</v>
      </c>
      <c r="AZ171" s="2" t="s">
        <v>2317</v>
      </c>
      <c r="BA171" s="2" t="s">
        <v>2318</v>
      </c>
      <c r="BB171" s="2" t="s">
        <v>79</v>
      </c>
      <c r="BD171" s="2" t="s">
        <v>2319</v>
      </c>
      <c r="BE171" s="2" t="s">
        <v>2320</v>
      </c>
      <c r="BF171" s="2" t="s">
        <v>2321</v>
      </c>
    </row>
    <row r="172" spans="1:58" ht="46.5" customHeight="1">
      <c r="A172" s="1"/>
      <c r="B172" s="1" t="s">
        <v>58</v>
      </c>
      <c r="C172" s="1" t="s">
        <v>59</v>
      </c>
      <c r="D172" s="1" t="s">
        <v>2322</v>
      </c>
      <c r="E172" s="1" t="s">
        <v>2323</v>
      </c>
      <c r="F172" s="1" t="s">
        <v>2324</v>
      </c>
      <c r="G172" s="2" t="s">
        <v>2325</v>
      </c>
      <c r="H172" s="2" t="s">
        <v>63</v>
      </c>
      <c r="I172" s="2" t="s">
        <v>64</v>
      </c>
      <c r="J172" s="2" t="s">
        <v>63</v>
      </c>
      <c r="K172" s="2" t="s">
        <v>63</v>
      </c>
      <c r="L172" s="2" t="s">
        <v>65</v>
      </c>
      <c r="N172" s="1" t="s">
        <v>2326</v>
      </c>
      <c r="O172" s="2" t="s">
        <v>407</v>
      </c>
      <c r="Q172" s="2" t="s">
        <v>70</v>
      </c>
      <c r="R172" s="2" t="s">
        <v>89</v>
      </c>
      <c r="S172" s="1" t="s">
        <v>2327</v>
      </c>
      <c r="T172" s="2" t="s">
        <v>72</v>
      </c>
      <c r="U172" s="3">
        <v>10</v>
      </c>
      <c r="V172" s="3">
        <v>10</v>
      </c>
      <c r="W172" s="4" t="s">
        <v>2328</v>
      </c>
      <c r="X172" s="4" t="s">
        <v>2328</v>
      </c>
      <c r="Y172" s="4" t="s">
        <v>2329</v>
      </c>
      <c r="Z172" s="4" t="s">
        <v>2329</v>
      </c>
      <c r="AA172" s="3">
        <v>75</v>
      </c>
      <c r="AB172" s="3">
        <v>58</v>
      </c>
      <c r="AC172" s="3">
        <v>59</v>
      </c>
      <c r="AD172" s="3">
        <v>1</v>
      </c>
      <c r="AE172" s="3">
        <v>1</v>
      </c>
      <c r="AF172" s="3">
        <v>3</v>
      </c>
      <c r="AG172" s="3">
        <v>3</v>
      </c>
      <c r="AH172" s="3">
        <v>2</v>
      </c>
      <c r="AI172" s="3">
        <v>2</v>
      </c>
      <c r="AJ172" s="3">
        <v>0</v>
      </c>
      <c r="AK172" s="3">
        <v>0</v>
      </c>
      <c r="AL172" s="3">
        <v>1</v>
      </c>
      <c r="AM172" s="3">
        <v>1</v>
      </c>
      <c r="AN172" s="3">
        <v>0</v>
      </c>
      <c r="AO172" s="3">
        <v>0</v>
      </c>
      <c r="AP172" s="3">
        <v>0</v>
      </c>
      <c r="AQ172" s="3">
        <v>0</v>
      </c>
      <c r="AR172" s="2" t="s">
        <v>63</v>
      </c>
      <c r="AS172" s="2" t="s">
        <v>63</v>
      </c>
      <c r="AU172" s="5" t="str">
        <f>HYPERLINK("https://creighton-primo.hosted.exlibrisgroup.com/primo-explore/search?tab=default_tab&amp;search_scope=EVERYTHING&amp;vid=01CRU&amp;lang=en_US&amp;offset=0&amp;query=any,contains,991001451099702656","Catalog Record")</f>
        <v>Catalog Record</v>
      </c>
      <c r="AV172" s="5" t="str">
        <f>HYPERLINK("http://www.worldcat.org/oclc/20491813","WorldCat Record")</f>
        <v>WorldCat Record</v>
      </c>
      <c r="AW172" s="2" t="s">
        <v>2330</v>
      </c>
      <c r="AX172" s="2" t="s">
        <v>2331</v>
      </c>
      <c r="AY172" s="2" t="s">
        <v>2332</v>
      </c>
      <c r="AZ172" s="2" t="s">
        <v>2332</v>
      </c>
      <c r="BA172" s="2" t="s">
        <v>2333</v>
      </c>
      <c r="BB172" s="2" t="s">
        <v>79</v>
      </c>
      <c r="BD172" s="2" t="s">
        <v>2334</v>
      </c>
      <c r="BE172" s="2" t="s">
        <v>2335</v>
      </c>
      <c r="BF172" s="2" t="s">
        <v>2336</v>
      </c>
    </row>
    <row r="173" spans="1:58" ht="46.5" customHeight="1">
      <c r="A173" s="1"/>
      <c r="B173" s="1" t="s">
        <v>58</v>
      </c>
      <c r="C173" s="1" t="s">
        <v>59</v>
      </c>
      <c r="D173" s="1" t="s">
        <v>2337</v>
      </c>
      <c r="E173" s="1" t="s">
        <v>2338</v>
      </c>
      <c r="F173" s="1" t="s">
        <v>2339</v>
      </c>
      <c r="H173" s="2" t="s">
        <v>63</v>
      </c>
      <c r="I173" s="2" t="s">
        <v>64</v>
      </c>
      <c r="J173" s="2" t="s">
        <v>63</v>
      </c>
      <c r="K173" s="2" t="s">
        <v>63</v>
      </c>
      <c r="L173" s="2" t="s">
        <v>65</v>
      </c>
      <c r="N173" s="1" t="s">
        <v>2340</v>
      </c>
      <c r="O173" s="2" t="s">
        <v>814</v>
      </c>
      <c r="Q173" s="2" t="s">
        <v>70</v>
      </c>
      <c r="R173" s="2" t="s">
        <v>1739</v>
      </c>
      <c r="S173" s="1" t="s">
        <v>2341</v>
      </c>
      <c r="T173" s="2" t="s">
        <v>72</v>
      </c>
      <c r="U173" s="3">
        <v>13</v>
      </c>
      <c r="V173" s="3">
        <v>13</v>
      </c>
      <c r="W173" s="4" t="s">
        <v>2342</v>
      </c>
      <c r="X173" s="4" t="s">
        <v>2342</v>
      </c>
      <c r="Y173" s="4" t="s">
        <v>2343</v>
      </c>
      <c r="Z173" s="4" t="s">
        <v>2343</v>
      </c>
      <c r="AA173" s="3">
        <v>206</v>
      </c>
      <c r="AB173" s="3">
        <v>133</v>
      </c>
      <c r="AC173" s="3">
        <v>181</v>
      </c>
      <c r="AD173" s="3">
        <v>2</v>
      </c>
      <c r="AE173" s="3">
        <v>3</v>
      </c>
      <c r="AF173" s="3">
        <v>2</v>
      </c>
      <c r="AG173" s="3">
        <v>4</v>
      </c>
      <c r="AH173" s="3">
        <v>0</v>
      </c>
      <c r="AI173" s="3">
        <v>1</v>
      </c>
      <c r="AJ173" s="3">
        <v>0</v>
      </c>
      <c r="AK173" s="3">
        <v>0</v>
      </c>
      <c r="AL173" s="3">
        <v>1</v>
      </c>
      <c r="AM173" s="3">
        <v>1</v>
      </c>
      <c r="AN173" s="3">
        <v>1</v>
      </c>
      <c r="AO173" s="3">
        <v>2</v>
      </c>
      <c r="AP173" s="3">
        <v>0</v>
      </c>
      <c r="AQ173" s="3">
        <v>0</v>
      </c>
      <c r="AR173" s="2" t="s">
        <v>63</v>
      </c>
      <c r="AS173" s="2" t="s">
        <v>63</v>
      </c>
      <c r="AU173" s="5" t="str">
        <f>HYPERLINK("https://creighton-primo.hosted.exlibrisgroup.com/primo-explore/search?tab=default_tab&amp;search_scope=EVERYTHING&amp;vid=01CRU&amp;lang=en_US&amp;offset=0&amp;query=any,contains,991001406419702656","Catalog Record")</f>
        <v>Catalog Record</v>
      </c>
      <c r="AV173" s="5" t="str">
        <f>HYPERLINK("http://www.worldcat.org/oclc/40120334","WorldCat Record")</f>
        <v>WorldCat Record</v>
      </c>
      <c r="AW173" s="2" t="s">
        <v>2344</v>
      </c>
      <c r="AX173" s="2" t="s">
        <v>2345</v>
      </c>
      <c r="AY173" s="2" t="s">
        <v>2346</v>
      </c>
      <c r="AZ173" s="2" t="s">
        <v>2346</v>
      </c>
      <c r="BA173" s="2" t="s">
        <v>2347</v>
      </c>
      <c r="BB173" s="2" t="s">
        <v>79</v>
      </c>
      <c r="BD173" s="2" t="s">
        <v>2348</v>
      </c>
      <c r="BE173" s="2" t="s">
        <v>2349</v>
      </c>
      <c r="BF173" s="2" t="s">
        <v>2350</v>
      </c>
    </row>
    <row r="174" spans="1:58" ht="46.5" customHeight="1">
      <c r="A174" s="1"/>
      <c r="B174" s="1" t="s">
        <v>58</v>
      </c>
      <c r="C174" s="1" t="s">
        <v>59</v>
      </c>
      <c r="D174" s="1" t="s">
        <v>2351</v>
      </c>
      <c r="E174" s="1" t="s">
        <v>2352</v>
      </c>
      <c r="F174" s="1" t="s">
        <v>2353</v>
      </c>
      <c r="H174" s="2" t="s">
        <v>63</v>
      </c>
      <c r="I174" s="2" t="s">
        <v>64</v>
      </c>
      <c r="J174" s="2" t="s">
        <v>63</v>
      </c>
      <c r="K174" s="2" t="s">
        <v>63</v>
      </c>
      <c r="L174" s="2" t="s">
        <v>65</v>
      </c>
      <c r="N174" s="1" t="s">
        <v>2354</v>
      </c>
      <c r="O174" s="2" t="s">
        <v>1201</v>
      </c>
      <c r="Q174" s="2" t="s">
        <v>70</v>
      </c>
      <c r="R174" s="2" t="s">
        <v>277</v>
      </c>
      <c r="T174" s="2" t="s">
        <v>72</v>
      </c>
      <c r="U174" s="3">
        <v>9</v>
      </c>
      <c r="V174" s="3">
        <v>9</v>
      </c>
      <c r="W174" s="4" t="s">
        <v>2173</v>
      </c>
      <c r="X174" s="4" t="s">
        <v>2173</v>
      </c>
      <c r="Y174" s="4" t="s">
        <v>2355</v>
      </c>
      <c r="Z174" s="4" t="s">
        <v>2355</v>
      </c>
      <c r="AA174" s="3">
        <v>303</v>
      </c>
      <c r="AB174" s="3">
        <v>246</v>
      </c>
      <c r="AC174" s="3">
        <v>248</v>
      </c>
      <c r="AD174" s="3">
        <v>3</v>
      </c>
      <c r="AE174" s="3">
        <v>3</v>
      </c>
      <c r="AF174" s="3">
        <v>9</v>
      </c>
      <c r="AG174" s="3">
        <v>9</v>
      </c>
      <c r="AH174" s="3">
        <v>1</v>
      </c>
      <c r="AI174" s="3">
        <v>1</v>
      </c>
      <c r="AJ174" s="3">
        <v>3</v>
      </c>
      <c r="AK174" s="3">
        <v>3</v>
      </c>
      <c r="AL174" s="3">
        <v>5</v>
      </c>
      <c r="AM174" s="3">
        <v>5</v>
      </c>
      <c r="AN174" s="3">
        <v>2</v>
      </c>
      <c r="AO174" s="3">
        <v>2</v>
      </c>
      <c r="AP174" s="3">
        <v>0</v>
      </c>
      <c r="AQ174" s="3">
        <v>0</v>
      </c>
      <c r="AR174" s="2" t="s">
        <v>63</v>
      </c>
      <c r="AS174" s="2" t="s">
        <v>92</v>
      </c>
      <c r="AT174" s="5" t="str">
        <f>HYPERLINK("http://catalog.hathitrust.org/Record/000030269","HathiTrust Record")</f>
        <v>HathiTrust Record</v>
      </c>
      <c r="AU174" s="5" t="str">
        <f>HYPERLINK("https://creighton-primo.hosted.exlibrisgroup.com/primo-explore/search?tab=default_tab&amp;search_scope=EVERYTHING&amp;vid=01CRU&amp;lang=en_US&amp;offset=0&amp;query=any,contains,991000952719702656","Catalog Record")</f>
        <v>Catalog Record</v>
      </c>
      <c r="AV174" s="5" t="str">
        <f>HYPERLINK("http://www.worldcat.org/oclc/4503551","WorldCat Record")</f>
        <v>WorldCat Record</v>
      </c>
      <c r="AW174" s="2" t="s">
        <v>2356</v>
      </c>
      <c r="AX174" s="2" t="s">
        <v>2357</v>
      </c>
      <c r="AY174" s="2" t="s">
        <v>2358</v>
      </c>
      <c r="AZ174" s="2" t="s">
        <v>2358</v>
      </c>
      <c r="BA174" s="2" t="s">
        <v>2359</v>
      </c>
      <c r="BB174" s="2" t="s">
        <v>79</v>
      </c>
      <c r="BD174" s="2" t="s">
        <v>2360</v>
      </c>
      <c r="BE174" s="2" t="s">
        <v>2361</v>
      </c>
      <c r="BF174" s="2" t="s">
        <v>2362</v>
      </c>
    </row>
    <row r="175" spans="1:58" ht="46.5" customHeight="1">
      <c r="A175" s="1"/>
      <c r="B175" s="1" t="s">
        <v>58</v>
      </c>
      <c r="C175" s="1" t="s">
        <v>59</v>
      </c>
      <c r="D175" s="1" t="s">
        <v>2363</v>
      </c>
      <c r="E175" s="1" t="s">
        <v>2364</v>
      </c>
      <c r="F175" s="1" t="s">
        <v>2365</v>
      </c>
      <c r="H175" s="2" t="s">
        <v>63</v>
      </c>
      <c r="I175" s="2" t="s">
        <v>64</v>
      </c>
      <c r="J175" s="2" t="s">
        <v>63</v>
      </c>
      <c r="K175" s="2" t="s">
        <v>92</v>
      </c>
      <c r="L175" s="2" t="s">
        <v>65</v>
      </c>
      <c r="M175" s="1" t="s">
        <v>2366</v>
      </c>
      <c r="N175" s="1" t="s">
        <v>2367</v>
      </c>
      <c r="O175" s="2" t="s">
        <v>1856</v>
      </c>
      <c r="P175" s="1" t="s">
        <v>157</v>
      </c>
      <c r="Q175" s="2" t="s">
        <v>70</v>
      </c>
      <c r="R175" s="2" t="s">
        <v>892</v>
      </c>
      <c r="T175" s="2" t="s">
        <v>72</v>
      </c>
      <c r="U175" s="3">
        <v>31</v>
      </c>
      <c r="V175" s="3">
        <v>31</v>
      </c>
      <c r="W175" s="4" t="s">
        <v>2368</v>
      </c>
      <c r="X175" s="4" t="s">
        <v>2368</v>
      </c>
      <c r="Y175" s="4" t="s">
        <v>2159</v>
      </c>
      <c r="Z175" s="4" t="s">
        <v>2159</v>
      </c>
      <c r="AA175" s="3">
        <v>82</v>
      </c>
      <c r="AB175" s="3">
        <v>63</v>
      </c>
      <c r="AC175" s="3">
        <v>264</v>
      </c>
      <c r="AD175" s="3">
        <v>1</v>
      </c>
      <c r="AE175" s="3">
        <v>2</v>
      </c>
      <c r="AF175" s="3">
        <v>0</v>
      </c>
      <c r="AG175" s="3">
        <v>12</v>
      </c>
      <c r="AH175" s="3">
        <v>0</v>
      </c>
      <c r="AI175" s="3">
        <v>8</v>
      </c>
      <c r="AJ175" s="3">
        <v>0</v>
      </c>
      <c r="AK175" s="3">
        <v>3</v>
      </c>
      <c r="AL175" s="3">
        <v>0</v>
      </c>
      <c r="AM175" s="3">
        <v>3</v>
      </c>
      <c r="AN175" s="3">
        <v>0</v>
      </c>
      <c r="AO175" s="3">
        <v>1</v>
      </c>
      <c r="AP175" s="3">
        <v>0</v>
      </c>
      <c r="AQ175" s="3">
        <v>0</v>
      </c>
      <c r="AR175" s="2" t="s">
        <v>63</v>
      </c>
      <c r="AS175" s="2" t="s">
        <v>92</v>
      </c>
      <c r="AT175" s="5" t="str">
        <f>HYPERLINK("http://catalog.hathitrust.org/Record/000182270","HathiTrust Record")</f>
        <v>HathiTrust Record</v>
      </c>
      <c r="AU175" s="5" t="str">
        <f>HYPERLINK("https://creighton-primo.hosted.exlibrisgroup.com/primo-explore/search?tab=default_tab&amp;search_scope=EVERYTHING&amp;vid=01CRU&amp;lang=en_US&amp;offset=0&amp;query=any,contains,991000952679702656","Catalog Record")</f>
        <v>Catalog Record</v>
      </c>
      <c r="AV175" s="5" t="str">
        <f>HYPERLINK("http://www.worldcat.org/oclc/8051174","WorldCat Record")</f>
        <v>WorldCat Record</v>
      </c>
      <c r="AW175" s="2" t="s">
        <v>2369</v>
      </c>
      <c r="AX175" s="2" t="s">
        <v>2370</v>
      </c>
      <c r="AY175" s="2" t="s">
        <v>2371</v>
      </c>
      <c r="AZ175" s="2" t="s">
        <v>2371</v>
      </c>
      <c r="BA175" s="2" t="s">
        <v>2372</v>
      </c>
      <c r="BB175" s="2" t="s">
        <v>79</v>
      </c>
      <c r="BD175" s="2" t="s">
        <v>2373</v>
      </c>
      <c r="BE175" s="2" t="s">
        <v>2374</v>
      </c>
      <c r="BF175" s="2" t="s">
        <v>2375</v>
      </c>
    </row>
    <row r="176" spans="1:58" ht="46.5" customHeight="1">
      <c r="A176" s="1"/>
      <c r="B176" s="1" t="s">
        <v>58</v>
      </c>
      <c r="C176" s="1" t="s">
        <v>59</v>
      </c>
      <c r="D176" s="1" t="s">
        <v>2376</v>
      </c>
      <c r="E176" s="1" t="s">
        <v>2377</v>
      </c>
      <c r="F176" s="1" t="s">
        <v>2378</v>
      </c>
      <c r="H176" s="2" t="s">
        <v>63</v>
      </c>
      <c r="I176" s="2" t="s">
        <v>64</v>
      </c>
      <c r="J176" s="2" t="s">
        <v>63</v>
      </c>
      <c r="K176" s="2" t="s">
        <v>92</v>
      </c>
      <c r="L176" s="2" t="s">
        <v>65</v>
      </c>
      <c r="M176" s="1" t="s">
        <v>2379</v>
      </c>
      <c r="N176" s="1" t="s">
        <v>2380</v>
      </c>
      <c r="O176" s="2" t="s">
        <v>1884</v>
      </c>
      <c r="P176" s="1" t="s">
        <v>88</v>
      </c>
      <c r="Q176" s="2" t="s">
        <v>70</v>
      </c>
      <c r="R176" s="2" t="s">
        <v>260</v>
      </c>
      <c r="T176" s="2" t="s">
        <v>72</v>
      </c>
      <c r="U176" s="3">
        <v>18</v>
      </c>
      <c r="V176" s="3">
        <v>18</v>
      </c>
      <c r="W176" s="4" t="s">
        <v>2381</v>
      </c>
      <c r="X176" s="4" t="s">
        <v>2381</v>
      </c>
      <c r="Y176" s="4" t="s">
        <v>2382</v>
      </c>
      <c r="Z176" s="4" t="s">
        <v>2382</v>
      </c>
      <c r="AA176" s="3">
        <v>149</v>
      </c>
      <c r="AB176" s="3">
        <v>113</v>
      </c>
      <c r="AC176" s="3">
        <v>526</v>
      </c>
      <c r="AD176" s="3">
        <v>1</v>
      </c>
      <c r="AE176" s="3">
        <v>3</v>
      </c>
      <c r="AF176" s="3">
        <v>4</v>
      </c>
      <c r="AG176" s="3">
        <v>13</v>
      </c>
      <c r="AH176" s="3">
        <v>3</v>
      </c>
      <c r="AI176" s="3">
        <v>5</v>
      </c>
      <c r="AJ176" s="3">
        <v>1</v>
      </c>
      <c r="AK176" s="3">
        <v>4</v>
      </c>
      <c r="AL176" s="3">
        <v>1</v>
      </c>
      <c r="AM176" s="3">
        <v>6</v>
      </c>
      <c r="AN176" s="3">
        <v>0</v>
      </c>
      <c r="AO176" s="3">
        <v>2</v>
      </c>
      <c r="AP176" s="3">
        <v>0</v>
      </c>
      <c r="AQ176" s="3">
        <v>0</v>
      </c>
      <c r="AR176" s="2" t="s">
        <v>63</v>
      </c>
      <c r="AS176" s="2" t="s">
        <v>92</v>
      </c>
      <c r="AT176" s="5" t="str">
        <f>HYPERLINK("http://catalog.hathitrust.org/Record/004068947","HathiTrust Record")</f>
        <v>HathiTrust Record</v>
      </c>
      <c r="AU176" s="5" t="str">
        <f>HYPERLINK("https://creighton-primo.hosted.exlibrisgroup.com/primo-explore/search?tab=default_tab&amp;search_scope=EVERYTHING&amp;vid=01CRU&amp;lang=en_US&amp;offset=0&amp;query=any,contains,991001412279702656","Catalog Record")</f>
        <v>Catalog Record</v>
      </c>
      <c r="AV176" s="5" t="str">
        <f>HYPERLINK("http://www.worldcat.org/oclc/41326409","WorldCat Record")</f>
        <v>WorldCat Record</v>
      </c>
      <c r="AW176" s="2" t="s">
        <v>596</v>
      </c>
      <c r="AX176" s="2" t="s">
        <v>2383</v>
      </c>
      <c r="AY176" s="2" t="s">
        <v>2384</v>
      </c>
      <c r="AZ176" s="2" t="s">
        <v>2384</v>
      </c>
      <c r="BA176" s="2" t="s">
        <v>2385</v>
      </c>
      <c r="BB176" s="2" t="s">
        <v>79</v>
      </c>
      <c r="BD176" s="2" t="s">
        <v>2386</v>
      </c>
      <c r="BE176" s="2" t="s">
        <v>2387</v>
      </c>
      <c r="BF176" s="2" t="s">
        <v>2388</v>
      </c>
    </row>
    <row r="177" spans="1:58" ht="46.5" customHeight="1">
      <c r="A177" s="1"/>
      <c r="B177" s="1" t="s">
        <v>58</v>
      </c>
      <c r="C177" s="1" t="s">
        <v>59</v>
      </c>
      <c r="D177" s="1" t="s">
        <v>2389</v>
      </c>
      <c r="E177" s="1" t="s">
        <v>2390</v>
      </c>
      <c r="F177" s="1" t="s">
        <v>2391</v>
      </c>
      <c r="H177" s="2" t="s">
        <v>63</v>
      </c>
      <c r="I177" s="2" t="s">
        <v>64</v>
      </c>
      <c r="J177" s="2" t="s">
        <v>63</v>
      </c>
      <c r="K177" s="2" t="s">
        <v>63</v>
      </c>
      <c r="L177" s="2" t="s">
        <v>65</v>
      </c>
      <c r="M177" s="1" t="s">
        <v>2392</v>
      </c>
      <c r="N177" s="1" t="s">
        <v>2393</v>
      </c>
      <c r="O177" s="2" t="s">
        <v>423</v>
      </c>
      <c r="Q177" s="2" t="s">
        <v>70</v>
      </c>
      <c r="R177" s="2" t="s">
        <v>89</v>
      </c>
      <c r="T177" s="2" t="s">
        <v>72</v>
      </c>
      <c r="U177" s="3">
        <v>12</v>
      </c>
      <c r="V177" s="3">
        <v>12</v>
      </c>
      <c r="W177" s="4" t="s">
        <v>2394</v>
      </c>
      <c r="X177" s="4" t="s">
        <v>2394</v>
      </c>
      <c r="Y177" s="4" t="s">
        <v>2395</v>
      </c>
      <c r="Z177" s="4" t="s">
        <v>2395</v>
      </c>
      <c r="AA177" s="3">
        <v>315</v>
      </c>
      <c r="AB177" s="3">
        <v>277</v>
      </c>
      <c r="AC177" s="3">
        <v>310</v>
      </c>
      <c r="AD177" s="3">
        <v>4</v>
      </c>
      <c r="AE177" s="3">
        <v>4</v>
      </c>
      <c r="AF177" s="3">
        <v>10</v>
      </c>
      <c r="AG177" s="3">
        <v>11</v>
      </c>
      <c r="AH177" s="3">
        <v>3</v>
      </c>
      <c r="AI177" s="3">
        <v>4</v>
      </c>
      <c r="AJ177" s="3">
        <v>3</v>
      </c>
      <c r="AK177" s="3">
        <v>3</v>
      </c>
      <c r="AL177" s="3">
        <v>3</v>
      </c>
      <c r="AM177" s="3">
        <v>4</v>
      </c>
      <c r="AN177" s="3">
        <v>2</v>
      </c>
      <c r="AO177" s="3">
        <v>2</v>
      </c>
      <c r="AP177" s="3">
        <v>0</v>
      </c>
      <c r="AQ177" s="3">
        <v>0</v>
      </c>
      <c r="AR177" s="2" t="s">
        <v>63</v>
      </c>
      <c r="AS177" s="2" t="s">
        <v>92</v>
      </c>
      <c r="AT177" s="5" t="str">
        <f>HYPERLINK("http://catalog.hathitrust.org/Record/000944555","HathiTrust Record")</f>
        <v>HathiTrust Record</v>
      </c>
      <c r="AU177" s="5" t="str">
        <f>HYPERLINK("https://creighton-primo.hosted.exlibrisgroup.com/primo-explore/search?tab=default_tab&amp;search_scope=EVERYTHING&amp;vid=01CRU&amp;lang=en_US&amp;offset=0&amp;query=any,contains,991001121329702656","Catalog Record")</f>
        <v>Catalog Record</v>
      </c>
      <c r="AV177" s="5" t="str">
        <f>HYPERLINK("http://www.worldcat.org/oclc/17650456","WorldCat Record")</f>
        <v>WorldCat Record</v>
      </c>
      <c r="AW177" s="2" t="s">
        <v>2396</v>
      </c>
      <c r="AX177" s="2" t="s">
        <v>2397</v>
      </c>
      <c r="AY177" s="2" t="s">
        <v>2398</v>
      </c>
      <c r="AZ177" s="2" t="s">
        <v>2398</v>
      </c>
      <c r="BA177" s="2" t="s">
        <v>2399</v>
      </c>
      <c r="BB177" s="2" t="s">
        <v>79</v>
      </c>
      <c r="BD177" s="2" t="s">
        <v>2400</v>
      </c>
      <c r="BE177" s="2" t="s">
        <v>2401</v>
      </c>
      <c r="BF177" s="2" t="s">
        <v>2402</v>
      </c>
    </row>
    <row r="178" spans="1:58" ht="46.5" customHeight="1">
      <c r="A178" s="1"/>
      <c r="B178" s="1" t="s">
        <v>58</v>
      </c>
      <c r="C178" s="1" t="s">
        <v>59</v>
      </c>
      <c r="D178" s="1" t="s">
        <v>2403</v>
      </c>
      <c r="E178" s="1" t="s">
        <v>2404</v>
      </c>
      <c r="F178" s="1" t="s">
        <v>2405</v>
      </c>
      <c r="H178" s="2" t="s">
        <v>63</v>
      </c>
      <c r="I178" s="2" t="s">
        <v>64</v>
      </c>
      <c r="J178" s="2" t="s">
        <v>63</v>
      </c>
      <c r="K178" s="2" t="s">
        <v>63</v>
      </c>
      <c r="L178" s="2" t="s">
        <v>65</v>
      </c>
      <c r="M178" s="1" t="s">
        <v>2406</v>
      </c>
      <c r="N178" s="1" t="s">
        <v>2407</v>
      </c>
      <c r="O178" s="2" t="s">
        <v>423</v>
      </c>
      <c r="Q178" s="2" t="s">
        <v>70</v>
      </c>
      <c r="R178" s="2" t="s">
        <v>377</v>
      </c>
      <c r="T178" s="2" t="s">
        <v>72</v>
      </c>
      <c r="U178" s="3">
        <v>22</v>
      </c>
      <c r="V178" s="3">
        <v>22</v>
      </c>
      <c r="W178" s="4" t="s">
        <v>2408</v>
      </c>
      <c r="X178" s="4" t="s">
        <v>2408</v>
      </c>
      <c r="Y178" s="4" t="s">
        <v>1857</v>
      </c>
      <c r="Z178" s="4" t="s">
        <v>1857</v>
      </c>
      <c r="AA178" s="3">
        <v>69</v>
      </c>
      <c r="AB178" s="3">
        <v>42</v>
      </c>
      <c r="AC178" s="3">
        <v>46</v>
      </c>
      <c r="AD178" s="3">
        <v>1</v>
      </c>
      <c r="AE178" s="3">
        <v>1</v>
      </c>
      <c r="AF178" s="3">
        <v>1</v>
      </c>
      <c r="AG178" s="3">
        <v>1</v>
      </c>
      <c r="AH178" s="3">
        <v>1</v>
      </c>
      <c r="AI178" s="3">
        <v>1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2" t="s">
        <v>63</v>
      </c>
      <c r="AS178" s="2" t="s">
        <v>92</v>
      </c>
      <c r="AT178" s="5" t="str">
        <f>HYPERLINK("http://catalog.hathitrust.org/Record/002233084","HathiTrust Record")</f>
        <v>HathiTrust Record</v>
      </c>
      <c r="AU178" s="5" t="str">
        <f>HYPERLINK("https://creighton-primo.hosted.exlibrisgroup.com/primo-explore/search?tab=default_tab&amp;search_scope=EVERYTHING&amp;vid=01CRU&amp;lang=en_US&amp;offset=0&amp;query=any,contains,991001361149702656","Catalog Record")</f>
        <v>Catalog Record</v>
      </c>
      <c r="AV178" s="5" t="str">
        <f>HYPERLINK("http://www.worldcat.org/oclc/18833905","WorldCat Record")</f>
        <v>WorldCat Record</v>
      </c>
      <c r="AW178" s="2" t="s">
        <v>2409</v>
      </c>
      <c r="AX178" s="2" t="s">
        <v>2410</v>
      </c>
      <c r="AY178" s="2" t="s">
        <v>2411</v>
      </c>
      <c r="AZ178" s="2" t="s">
        <v>2411</v>
      </c>
      <c r="BA178" s="2" t="s">
        <v>2412</v>
      </c>
      <c r="BB178" s="2" t="s">
        <v>79</v>
      </c>
      <c r="BD178" s="2" t="s">
        <v>2413</v>
      </c>
      <c r="BE178" s="2" t="s">
        <v>2414</v>
      </c>
      <c r="BF178" s="2" t="s">
        <v>2415</v>
      </c>
    </row>
    <row r="179" spans="1:58" ht="46.5" customHeight="1">
      <c r="A179" s="1"/>
      <c r="B179" s="1" t="s">
        <v>58</v>
      </c>
      <c r="C179" s="1" t="s">
        <v>59</v>
      </c>
      <c r="D179" s="1" t="s">
        <v>2416</v>
      </c>
      <c r="E179" s="1" t="s">
        <v>2417</v>
      </c>
      <c r="F179" s="1" t="s">
        <v>2418</v>
      </c>
      <c r="H179" s="2" t="s">
        <v>63</v>
      </c>
      <c r="I179" s="2" t="s">
        <v>64</v>
      </c>
      <c r="J179" s="2" t="s">
        <v>63</v>
      </c>
      <c r="K179" s="2" t="s">
        <v>63</v>
      </c>
      <c r="L179" s="2" t="s">
        <v>65</v>
      </c>
      <c r="N179" s="1" t="s">
        <v>2419</v>
      </c>
      <c r="O179" s="2" t="s">
        <v>307</v>
      </c>
      <c r="Q179" s="2" t="s">
        <v>70</v>
      </c>
      <c r="R179" s="2" t="s">
        <v>555</v>
      </c>
      <c r="T179" s="2" t="s">
        <v>72</v>
      </c>
      <c r="U179" s="3">
        <v>10</v>
      </c>
      <c r="V179" s="3">
        <v>10</v>
      </c>
      <c r="W179" s="4" t="s">
        <v>2420</v>
      </c>
      <c r="X179" s="4" t="s">
        <v>2420</v>
      </c>
      <c r="Y179" s="4" t="s">
        <v>2159</v>
      </c>
      <c r="Z179" s="4" t="s">
        <v>2159</v>
      </c>
      <c r="AA179" s="3">
        <v>145</v>
      </c>
      <c r="AB179" s="3">
        <v>116</v>
      </c>
      <c r="AC179" s="3">
        <v>118</v>
      </c>
      <c r="AD179" s="3">
        <v>1</v>
      </c>
      <c r="AE179" s="3">
        <v>1</v>
      </c>
      <c r="AF179" s="3">
        <v>3</v>
      </c>
      <c r="AG179" s="3">
        <v>3</v>
      </c>
      <c r="AH179" s="3">
        <v>1</v>
      </c>
      <c r="AI179" s="3">
        <v>1</v>
      </c>
      <c r="AJ179" s="3">
        <v>2</v>
      </c>
      <c r="AK179" s="3">
        <v>2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2" t="s">
        <v>63</v>
      </c>
      <c r="AS179" s="2" t="s">
        <v>92</v>
      </c>
      <c r="AT179" s="5" t="str">
        <f>HYPERLINK("http://catalog.hathitrust.org/Record/000376174","HathiTrust Record")</f>
        <v>HathiTrust Record</v>
      </c>
      <c r="AU179" s="5" t="str">
        <f>HYPERLINK("https://creighton-primo.hosted.exlibrisgroup.com/primo-explore/search?tab=default_tab&amp;search_scope=EVERYTHING&amp;vid=01CRU&amp;lang=en_US&amp;offset=0&amp;query=any,contains,991000952639702656","Catalog Record")</f>
        <v>Catalog Record</v>
      </c>
      <c r="AV179" s="5" t="str">
        <f>HYPERLINK("http://www.worldcat.org/oclc/12852855","WorldCat Record")</f>
        <v>WorldCat Record</v>
      </c>
      <c r="AW179" s="2" t="s">
        <v>2421</v>
      </c>
      <c r="AX179" s="2" t="s">
        <v>2422</v>
      </c>
      <c r="AY179" s="2" t="s">
        <v>2423</v>
      </c>
      <c r="AZ179" s="2" t="s">
        <v>2423</v>
      </c>
      <c r="BA179" s="2" t="s">
        <v>2424</v>
      </c>
      <c r="BB179" s="2" t="s">
        <v>79</v>
      </c>
      <c r="BD179" s="2" t="s">
        <v>2425</v>
      </c>
      <c r="BE179" s="2" t="s">
        <v>2426</v>
      </c>
      <c r="BF179" s="2" t="s">
        <v>2427</v>
      </c>
    </row>
    <row r="180" spans="1:58" ht="46.5" customHeight="1">
      <c r="A180" s="1"/>
      <c r="B180" s="1" t="s">
        <v>58</v>
      </c>
      <c r="C180" s="1" t="s">
        <v>59</v>
      </c>
      <c r="D180" s="1" t="s">
        <v>2428</v>
      </c>
      <c r="E180" s="1" t="s">
        <v>2429</v>
      </c>
      <c r="F180" s="1" t="s">
        <v>2430</v>
      </c>
      <c r="H180" s="2" t="s">
        <v>63</v>
      </c>
      <c r="I180" s="2" t="s">
        <v>64</v>
      </c>
      <c r="J180" s="2" t="s">
        <v>63</v>
      </c>
      <c r="K180" s="2" t="s">
        <v>92</v>
      </c>
      <c r="L180" s="2" t="s">
        <v>273</v>
      </c>
      <c r="M180" s="1" t="s">
        <v>2431</v>
      </c>
      <c r="N180" s="1" t="s">
        <v>1070</v>
      </c>
      <c r="O180" s="2" t="s">
        <v>104</v>
      </c>
      <c r="P180" s="1" t="s">
        <v>157</v>
      </c>
      <c r="Q180" s="2" t="s">
        <v>70</v>
      </c>
      <c r="R180" s="2" t="s">
        <v>89</v>
      </c>
      <c r="T180" s="2" t="s">
        <v>72</v>
      </c>
      <c r="U180" s="3">
        <v>43</v>
      </c>
      <c r="V180" s="3">
        <v>43</v>
      </c>
      <c r="W180" s="4" t="s">
        <v>2432</v>
      </c>
      <c r="X180" s="4" t="s">
        <v>2432</v>
      </c>
      <c r="Y180" s="4" t="s">
        <v>262</v>
      </c>
      <c r="Z180" s="4" t="s">
        <v>262</v>
      </c>
      <c r="AA180" s="3">
        <v>114</v>
      </c>
      <c r="AB180" s="3">
        <v>82</v>
      </c>
      <c r="AC180" s="3">
        <v>326</v>
      </c>
      <c r="AD180" s="3">
        <v>1</v>
      </c>
      <c r="AE180" s="3">
        <v>4</v>
      </c>
      <c r="AF180" s="3">
        <v>4</v>
      </c>
      <c r="AG180" s="3">
        <v>14</v>
      </c>
      <c r="AH180" s="3">
        <v>1</v>
      </c>
      <c r="AI180" s="3">
        <v>7</v>
      </c>
      <c r="AJ180" s="3">
        <v>2</v>
      </c>
      <c r="AK180" s="3">
        <v>3</v>
      </c>
      <c r="AL180" s="3">
        <v>1</v>
      </c>
      <c r="AM180" s="3">
        <v>4</v>
      </c>
      <c r="AN180" s="3">
        <v>0</v>
      </c>
      <c r="AO180" s="3">
        <v>3</v>
      </c>
      <c r="AP180" s="3">
        <v>0</v>
      </c>
      <c r="AQ180" s="3">
        <v>0</v>
      </c>
      <c r="AR180" s="2" t="s">
        <v>63</v>
      </c>
      <c r="AS180" s="2" t="s">
        <v>92</v>
      </c>
      <c r="AT180" s="5" t="str">
        <f>HYPERLINK("http://catalog.hathitrust.org/Record/000650518","HathiTrust Record")</f>
        <v>HathiTrust Record</v>
      </c>
      <c r="AU180" s="5" t="str">
        <f>HYPERLINK("https://creighton-primo.hosted.exlibrisgroup.com/primo-explore/search?tab=default_tab&amp;search_scope=EVERYTHING&amp;vid=01CRU&amp;lang=en_US&amp;offset=0&amp;query=any,contains,991000747719702656","Catalog Record")</f>
        <v>Catalog Record</v>
      </c>
      <c r="AV180" s="5" t="str">
        <f>HYPERLINK("http://www.worldcat.org/oclc/11677391","WorldCat Record")</f>
        <v>WorldCat Record</v>
      </c>
      <c r="AW180" s="2" t="s">
        <v>2433</v>
      </c>
      <c r="AX180" s="2" t="s">
        <v>2434</v>
      </c>
      <c r="AY180" s="2" t="s">
        <v>2435</v>
      </c>
      <c r="AZ180" s="2" t="s">
        <v>2435</v>
      </c>
      <c r="BA180" s="2" t="s">
        <v>2436</v>
      </c>
      <c r="BB180" s="2" t="s">
        <v>79</v>
      </c>
      <c r="BD180" s="2" t="s">
        <v>2437</v>
      </c>
      <c r="BE180" s="2" t="s">
        <v>2438</v>
      </c>
      <c r="BF180" s="2" t="s">
        <v>2439</v>
      </c>
    </row>
    <row r="181" spans="1:58" ht="46.5" customHeight="1">
      <c r="A181" s="1"/>
      <c r="B181" s="1" t="s">
        <v>58</v>
      </c>
      <c r="C181" s="1" t="s">
        <v>59</v>
      </c>
      <c r="D181" s="1" t="s">
        <v>2440</v>
      </c>
      <c r="E181" s="1" t="s">
        <v>2441</v>
      </c>
      <c r="F181" s="1" t="s">
        <v>2442</v>
      </c>
      <c r="H181" s="2" t="s">
        <v>63</v>
      </c>
      <c r="I181" s="2" t="s">
        <v>64</v>
      </c>
      <c r="J181" s="2" t="s">
        <v>63</v>
      </c>
      <c r="K181" s="2" t="s">
        <v>63</v>
      </c>
      <c r="L181" s="2" t="s">
        <v>65</v>
      </c>
      <c r="M181" s="1" t="s">
        <v>2443</v>
      </c>
      <c r="N181" s="1" t="s">
        <v>2444</v>
      </c>
      <c r="O181" s="2" t="s">
        <v>1585</v>
      </c>
      <c r="Q181" s="2" t="s">
        <v>70</v>
      </c>
      <c r="R181" s="2" t="s">
        <v>1364</v>
      </c>
      <c r="T181" s="2" t="s">
        <v>72</v>
      </c>
      <c r="U181" s="3">
        <v>4</v>
      </c>
      <c r="V181" s="3">
        <v>4</v>
      </c>
      <c r="W181" s="4" t="s">
        <v>2445</v>
      </c>
      <c r="X181" s="4" t="s">
        <v>2445</v>
      </c>
      <c r="Y181" s="4" t="s">
        <v>2159</v>
      </c>
      <c r="Z181" s="4" t="s">
        <v>2159</v>
      </c>
      <c r="AA181" s="3">
        <v>88</v>
      </c>
      <c r="AB181" s="3">
        <v>60</v>
      </c>
      <c r="AC181" s="3">
        <v>60</v>
      </c>
      <c r="AD181" s="3">
        <v>1</v>
      </c>
      <c r="AE181" s="3">
        <v>1</v>
      </c>
      <c r="AF181" s="3">
        <v>1</v>
      </c>
      <c r="AG181" s="3">
        <v>1</v>
      </c>
      <c r="AH181" s="3">
        <v>0</v>
      </c>
      <c r="AI181" s="3">
        <v>0</v>
      </c>
      <c r="AJ181" s="3">
        <v>1</v>
      </c>
      <c r="AK181" s="3">
        <v>1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2" t="s">
        <v>63</v>
      </c>
      <c r="AS181" s="2" t="s">
        <v>63</v>
      </c>
      <c r="AU181" s="5" t="str">
        <f>HYPERLINK("https://creighton-primo.hosted.exlibrisgroup.com/primo-explore/search?tab=default_tab&amp;search_scope=EVERYTHING&amp;vid=01CRU&amp;lang=en_US&amp;offset=0&amp;query=any,contains,991000952999702656","Catalog Record")</f>
        <v>Catalog Record</v>
      </c>
      <c r="AV181" s="5" t="str">
        <f>HYPERLINK("http://www.worldcat.org/oclc/3255329","WorldCat Record")</f>
        <v>WorldCat Record</v>
      </c>
      <c r="AW181" s="2" t="s">
        <v>2446</v>
      </c>
      <c r="AX181" s="2" t="s">
        <v>2447</v>
      </c>
      <c r="AY181" s="2" t="s">
        <v>2448</v>
      </c>
      <c r="AZ181" s="2" t="s">
        <v>2448</v>
      </c>
      <c r="BA181" s="2" t="s">
        <v>2449</v>
      </c>
      <c r="BB181" s="2" t="s">
        <v>79</v>
      </c>
      <c r="BE181" s="2" t="s">
        <v>2450</v>
      </c>
      <c r="BF181" s="2" t="s">
        <v>2451</v>
      </c>
    </row>
    <row r="182" spans="1:58" ht="46.5" customHeight="1">
      <c r="A182" s="1"/>
      <c r="B182" s="1" t="s">
        <v>58</v>
      </c>
      <c r="C182" s="1" t="s">
        <v>59</v>
      </c>
      <c r="D182" s="1" t="s">
        <v>2452</v>
      </c>
      <c r="E182" s="1" t="s">
        <v>2453</v>
      </c>
      <c r="F182" s="1" t="s">
        <v>2454</v>
      </c>
      <c r="H182" s="2" t="s">
        <v>63</v>
      </c>
      <c r="I182" s="2" t="s">
        <v>64</v>
      </c>
      <c r="J182" s="2" t="s">
        <v>63</v>
      </c>
      <c r="K182" s="2" t="s">
        <v>63</v>
      </c>
      <c r="L182" s="2" t="s">
        <v>65</v>
      </c>
      <c r="N182" s="1" t="s">
        <v>2455</v>
      </c>
      <c r="O182" s="2" t="s">
        <v>132</v>
      </c>
      <c r="Q182" s="2" t="s">
        <v>70</v>
      </c>
      <c r="R182" s="2" t="s">
        <v>277</v>
      </c>
      <c r="S182" s="1" t="s">
        <v>2456</v>
      </c>
      <c r="T182" s="2" t="s">
        <v>72</v>
      </c>
      <c r="U182" s="3">
        <v>6</v>
      </c>
      <c r="V182" s="3">
        <v>6</v>
      </c>
      <c r="W182" s="4" t="s">
        <v>2457</v>
      </c>
      <c r="X182" s="4" t="s">
        <v>2457</v>
      </c>
      <c r="Y182" s="4" t="s">
        <v>979</v>
      </c>
      <c r="Z182" s="4" t="s">
        <v>979</v>
      </c>
      <c r="AA182" s="3">
        <v>101</v>
      </c>
      <c r="AB182" s="3">
        <v>70</v>
      </c>
      <c r="AC182" s="3">
        <v>97</v>
      </c>
      <c r="AD182" s="3">
        <v>1</v>
      </c>
      <c r="AE182" s="3">
        <v>1</v>
      </c>
      <c r="AF182" s="3">
        <v>0</v>
      </c>
      <c r="AG182" s="3">
        <v>1</v>
      </c>
      <c r="AH182" s="3">
        <v>0</v>
      </c>
      <c r="AI182" s="3">
        <v>1</v>
      </c>
      <c r="AJ182" s="3">
        <v>0</v>
      </c>
      <c r="AK182" s="3">
        <v>0</v>
      </c>
      <c r="AL182" s="3">
        <v>0</v>
      </c>
      <c r="AM182" s="3">
        <v>1</v>
      </c>
      <c r="AN182" s="3">
        <v>0</v>
      </c>
      <c r="AO182" s="3">
        <v>0</v>
      </c>
      <c r="AP182" s="3">
        <v>0</v>
      </c>
      <c r="AQ182" s="3">
        <v>0</v>
      </c>
      <c r="AR182" s="2" t="s">
        <v>63</v>
      </c>
      <c r="AS182" s="2" t="s">
        <v>63</v>
      </c>
      <c r="AU182" s="5" t="str">
        <f>HYPERLINK("https://creighton-primo.hosted.exlibrisgroup.com/primo-explore/search?tab=default_tab&amp;search_scope=EVERYTHING&amp;vid=01CRU&amp;lang=en_US&amp;offset=0&amp;query=any,contains,991001511379702656","Catalog Record")</f>
        <v>Catalog Record</v>
      </c>
      <c r="AV182" s="5" t="str">
        <f>HYPERLINK("http://www.worldcat.org/oclc/27227749","WorldCat Record")</f>
        <v>WorldCat Record</v>
      </c>
      <c r="AW182" s="2" t="s">
        <v>2458</v>
      </c>
      <c r="AX182" s="2" t="s">
        <v>2459</v>
      </c>
      <c r="AY182" s="2" t="s">
        <v>2460</v>
      </c>
      <c r="AZ182" s="2" t="s">
        <v>2460</v>
      </c>
      <c r="BA182" s="2" t="s">
        <v>2461</v>
      </c>
      <c r="BB182" s="2" t="s">
        <v>79</v>
      </c>
      <c r="BD182" s="2" t="s">
        <v>2462</v>
      </c>
      <c r="BE182" s="2" t="s">
        <v>2463</v>
      </c>
      <c r="BF182" s="2" t="s">
        <v>2464</v>
      </c>
    </row>
    <row r="183" spans="1:58" ht="46.5" customHeight="1">
      <c r="A183" s="1"/>
      <c r="B183" s="1" t="s">
        <v>58</v>
      </c>
      <c r="C183" s="1" t="s">
        <v>59</v>
      </c>
      <c r="D183" s="1" t="s">
        <v>2465</v>
      </c>
      <c r="E183" s="1" t="s">
        <v>2466</v>
      </c>
      <c r="F183" s="1" t="s">
        <v>2467</v>
      </c>
      <c r="H183" s="2" t="s">
        <v>63</v>
      </c>
      <c r="I183" s="2" t="s">
        <v>64</v>
      </c>
      <c r="J183" s="2" t="s">
        <v>63</v>
      </c>
      <c r="K183" s="2" t="s">
        <v>92</v>
      </c>
      <c r="L183" s="2" t="s">
        <v>65</v>
      </c>
      <c r="N183" s="1" t="s">
        <v>2468</v>
      </c>
      <c r="O183" s="2" t="s">
        <v>104</v>
      </c>
      <c r="P183" s="1" t="s">
        <v>259</v>
      </c>
      <c r="Q183" s="2" t="s">
        <v>70</v>
      </c>
      <c r="R183" s="2" t="s">
        <v>377</v>
      </c>
      <c r="S183" s="1" t="s">
        <v>2469</v>
      </c>
      <c r="T183" s="2" t="s">
        <v>72</v>
      </c>
      <c r="U183" s="3">
        <v>16</v>
      </c>
      <c r="V183" s="3">
        <v>16</v>
      </c>
      <c r="W183" s="4" t="s">
        <v>2470</v>
      </c>
      <c r="X183" s="4" t="s">
        <v>2470</v>
      </c>
      <c r="Y183" s="4" t="s">
        <v>2471</v>
      </c>
      <c r="Z183" s="4" t="s">
        <v>2471</v>
      </c>
      <c r="AA183" s="3">
        <v>235</v>
      </c>
      <c r="AB183" s="3">
        <v>159</v>
      </c>
      <c r="AC183" s="3">
        <v>307</v>
      </c>
      <c r="AD183" s="3">
        <v>1</v>
      </c>
      <c r="AE183" s="3">
        <v>1</v>
      </c>
      <c r="AF183" s="3">
        <v>2</v>
      </c>
      <c r="AG183" s="3">
        <v>7</v>
      </c>
      <c r="AH183" s="3">
        <v>1</v>
      </c>
      <c r="AI183" s="3">
        <v>3</v>
      </c>
      <c r="AJ183" s="3">
        <v>0</v>
      </c>
      <c r="AK183" s="3">
        <v>1</v>
      </c>
      <c r="AL183" s="3">
        <v>1</v>
      </c>
      <c r="AM183" s="3">
        <v>2</v>
      </c>
      <c r="AN183" s="3">
        <v>0</v>
      </c>
      <c r="AO183" s="3">
        <v>0</v>
      </c>
      <c r="AP183" s="3">
        <v>0</v>
      </c>
      <c r="AQ183" s="3">
        <v>1</v>
      </c>
      <c r="AR183" s="2" t="s">
        <v>63</v>
      </c>
      <c r="AS183" s="2" t="s">
        <v>92</v>
      </c>
      <c r="AT183" s="5" t="str">
        <f>HYPERLINK("http://catalog.hathitrust.org/Record/000537243","HathiTrust Record")</f>
        <v>HathiTrust Record</v>
      </c>
      <c r="AU183" s="5" t="str">
        <f>HYPERLINK("https://creighton-primo.hosted.exlibrisgroup.com/primo-explore/search?tab=default_tab&amp;search_scope=EVERYTHING&amp;vid=01CRU&amp;lang=en_US&amp;offset=0&amp;query=any,contains,991001241209702656","Catalog Record")</f>
        <v>Catalog Record</v>
      </c>
      <c r="AV183" s="5" t="str">
        <f>HYPERLINK("http://www.worldcat.org/oclc/12558288","WorldCat Record")</f>
        <v>WorldCat Record</v>
      </c>
      <c r="AW183" s="2" t="s">
        <v>2472</v>
      </c>
      <c r="AX183" s="2" t="s">
        <v>2473</v>
      </c>
      <c r="AY183" s="2" t="s">
        <v>2474</v>
      </c>
      <c r="AZ183" s="2" t="s">
        <v>2474</v>
      </c>
      <c r="BA183" s="2" t="s">
        <v>2475</v>
      </c>
      <c r="BB183" s="2" t="s">
        <v>79</v>
      </c>
      <c r="BD183" s="2" t="s">
        <v>2476</v>
      </c>
      <c r="BE183" s="2" t="s">
        <v>2477</v>
      </c>
      <c r="BF183" s="2" t="s">
        <v>2478</v>
      </c>
    </row>
    <row r="184" spans="1:58" ht="46.5" customHeight="1">
      <c r="A184" s="1"/>
      <c r="B184" s="1" t="s">
        <v>58</v>
      </c>
      <c r="C184" s="1" t="s">
        <v>59</v>
      </c>
      <c r="D184" s="1" t="s">
        <v>2479</v>
      </c>
      <c r="E184" s="1" t="s">
        <v>2480</v>
      </c>
      <c r="F184" s="1" t="s">
        <v>2467</v>
      </c>
      <c r="H184" s="2" t="s">
        <v>63</v>
      </c>
      <c r="I184" s="2" t="s">
        <v>64</v>
      </c>
      <c r="J184" s="2" t="s">
        <v>63</v>
      </c>
      <c r="K184" s="2" t="s">
        <v>92</v>
      </c>
      <c r="L184" s="2" t="s">
        <v>65</v>
      </c>
      <c r="N184" s="1" t="s">
        <v>2481</v>
      </c>
      <c r="O184" s="2" t="s">
        <v>198</v>
      </c>
      <c r="P184" s="1" t="s">
        <v>230</v>
      </c>
      <c r="Q184" s="2" t="s">
        <v>70</v>
      </c>
      <c r="R184" s="2" t="s">
        <v>377</v>
      </c>
      <c r="S184" s="1" t="s">
        <v>2469</v>
      </c>
      <c r="T184" s="2" t="s">
        <v>72</v>
      </c>
      <c r="U184" s="3">
        <v>22</v>
      </c>
      <c r="V184" s="3">
        <v>22</v>
      </c>
      <c r="W184" s="4" t="s">
        <v>2482</v>
      </c>
      <c r="X184" s="4" t="s">
        <v>2482</v>
      </c>
      <c r="Y184" s="4" t="s">
        <v>2483</v>
      </c>
      <c r="Z184" s="4" t="s">
        <v>2483</v>
      </c>
      <c r="AA184" s="3">
        <v>162</v>
      </c>
      <c r="AB184" s="3">
        <v>102</v>
      </c>
      <c r="AC184" s="3">
        <v>307</v>
      </c>
      <c r="AD184" s="3">
        <v>1</v>
      </c>
      <c r="AE184" s="3">
        <v>1</v>
      </c>
      <c r="AF184" s="3">
        <v>2</v>
      </c>
      <c r="AG184" s="3">
        <v>7</v>
      </c>
      <c r="AH184" s="3">
        <v>1</v>
      </c>
      <c r="AI184" s="3">
        <v>3</v>
      </c>
      <c r="AJ184" s="3">
        <v>1</v>
      </c>
      <c r="AK184" s="3">
        <v>1</v>
      </c>
      <c r="AL184" s="3">
        <v>0</v>
      </c>
      <c r="AM184" s="3">
        <v>2</v>
      </c>
      <c r="AN184" s="3">
        <v>0</v>
      </c>
      <c r="AO184" s="3">
        <v>0</v>
      </c>
      <c r="AP184" s="3">
        <v>0</v>
      </c>
      <c r="AQ184" s="3">
        <v>1</v>
      </c>
      <c r="AR184" s="2" t="s">
        <v>63</v>
      </c>
      <c r="AS184" s="2" t="s">
        <v>92</v>
      </c>
      <c r="AT184" s="5" t="str">
        <f>HYPERLINK("http://catalog.hathitrust.org/Record/002495628","HathiTrust Record")</f>
        <v>HathiTrust Record</v>
      </c>
      <c r="AU184" s="5" t="str">
        <f>HYPERLINK("https://creighton-primo.hosted.exlibrisgroup.com/primo-explore/search?tab=default_tab&amp;search_scope=EVERYTHING&amp;vid=01CRU&amp;lang=en_US&amp;offset=0&amp;query=any,contains,991001021049702656","Catalog Record")</f>
        <v>Catalog Record</v>
      </c>
      <c r="AV184" s="5" t="str">
        <f>HYPERLINK("http://www.worldcat.org/oclc/26128781","WorldCat Record")</f>
        <v>WorldCat Record</v>
      </c>
      <c r="AW184" s="2" t="s">
        <v>2472</v>
      </c>
      <c r="AX184" s="2" t="s">
        <v>2484</v>
      </c>
      <c r="AY184" s="2" t="s">
        <v>2485</v>
      </c>
      <c r="AZ184" s="2" t="s">
        <v>2485</v>
      </c>
      <c r="BA184" s="2" t="s">
        <v>2486</v>
      </c>
      <c r="BB184" s="2" t="s">
        <v>79</v>
      </c>
      <c r="BD184" s="2" t="s">
        <v>2487</v>
      </c>
      <c r="BE184" s="2" t="s">
        <v>2488</v>
      </c>
      <c r="BF184" s="2" t="s">
        <v>2489</v>
      </c>
    </row>
    <row r="185" spans="1:58" ht="46.5" customHeight="1">
      <c r="A185" s="1"/>
      <c r="B185" s="1" t="s">
        <v>58</v>
      </c>
      <c r="C185" s="1" t="s">
        <v>59</v>
      </c>
      <c r="D185" s="1" t="s">
        <v>2490</v>
      </c>
      <c r="E185" s="1" t="s">
        <v>2491</v>
      </c>
      <c r="F185" s="1" t="s">
        <v>2492</v>
      </c>
      <c r="H185" s="2" t="s">
        <v>63</v>
      </c>
      <c r="I185" s="2" t="s">
        <v>64</v>
      </c>
      <c r="J185" s="2" t="s">
        <v>63</v>
      </c>
      <c r="K185" s="2" t="s">
        <v>63</v>
      </c>
      <c r="L185" s="2" t="s">
        <v>65</v>
      </c>
      <c r="M185" s="1" t="s">
        <v>2493</v>
      </c>
      <c r="N185" s="1" t="s">
        <v>2494</v>
      </c>
      <c r="O185" s="2" t="s">
        <v>172</v>
      </c>
      <c r="Q185" s="2" t="s">
        <v>70</v>
      </c>
      <c r="R185" s="2" t="s">
        <v>89</v>
      </c>
      <c r="S185" s="1" t="s">
        <v>2495</v>
      </c>
      <c r="T185" s="2" t="s">
        <v>72</v>
      </c>
      <c r="U185" s="3">
        <v>21</v>
      </c>
      <c r="V185" s="3">
        <v>21</v>
      </c>
      <c r="W185" s="4" t="s">
        <v>2496</v>
      </c>
      <c r="X185" s="4" t="s">
        <v>2496</v>
      </c>
      <c r="Y185" s="4" t="s">
        <v>2159</v>
      </c>
      <c r="Z185" s="4" t="s">
        <v>2159</v>
      </c>
      <c r="AA185" s="3">
        <v>106</v>
      </c>
      <c r="AB185" s="3">
        <v>69</v>
      </c>
      <c r="AC185" s="3">
        <v>69</v>
      </c>
      <c r="AD185" s="3">
        <v>1</v>
      </c>
      <c r="AE185" s="3">
        <v>1</v>
      </c>
      <c r="AF185" s="3">
        <v>1</v>
      </c>
      <c r="AG185" s="3">
        <v>1</v>
      </c>
      <c r="AH185" s="3">
        <v>1</v>
      </c>
      <c r="AI185" s="3">
        <v>1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2" t="s">
        <v>63</v>
      </c>
      <c r="AS185" s="2" t="s">
        <v>63</v>
      </c>
      <c r="AU185" s="5" t="str">
        <f>HYPERLINK("https://creighton-primo.hosted.exlibrisgroup.com/primo-explore/search?tab=default_tab&amp;search_scope=EVERYTHING&amp;vid=01CRU&amp;lang=en_US&amp;offset=0&amp;query=any,contains,991000953069702656","Catalog Record")</f>
        <v>Catalog Record</v>
      </c>
      <c r="AV185" s="5" t="str">
        <f>HYPERLINK("http://www.worldcat.org/oclc/8846301","WorldCat Record")</f>
        <v>WorldCat Record</v>
      </c>
      <c r="AW185" s="2" t="s">
        <v>2497</v>
      </c>
      <c r="AX185" s="2" t="s">
        <v>2498</v>
      </c>
      <c r="AY185" s="2" t="s">
        <v>2499</v>
      </c>
      <c r="AZ185" s="2" t="s">
        <v>2499</v>
      </c>
      <c r="BA185" s="2" t="s">
        <v>2500</v>
      </c>
      <c r="BB185" s="2" t="s">
        <v>79</v>
      </c>
      <c r="BD185" s="2" t="s">
        <v>2501</v>
      </c>
      <c r="BE185" s="2" t="s">
        <v>2502</v>
      </c>
      <c r="BF185" s="2" t="s">
        <v>2503</v>
      </c>
    </row>
    <row r="186" spans="1:58" ht="46.5" customHeight="1">
      <c r="A186" s="1"/>
      <c r="B186" s="1" t="s">
        <v>58</v>
      </c>
      <c r="C186" s="1" t="s">
        <v>59</v>
      </c>
      <c r="D186" s="1" t="s">
        <v>2504</v>
      </c>
      <c r="E186" s="1" t="s">
        <v>2505</v>
      </c>
      <c r="F186" s="1" t="s">
        <v>2506</v>
      </c>
      <c r="H186" s="2" t="s">
        <v>63</v>
      </c>
      <c r="I186" s="2" t="s">
        <v>64</v>
      </c>
      <c r="J186" s="2" t="s">
        <v>63</v>
      </c>
      <c r="K186" s="2" t="s">
        <v>92</v>
      </c>
      <c r="L186" s="2" t="s">
        <v>65</v>
      </c>
      <c r="M186" s="1" t="s">
        <v>2507</v>
      </c>
      <c r="N186" s="1" t="s">
        <v>2508</v>
      </c>
      <c r="O186" s="2" t="s">
        <v>554</v>
      </c>
      <c r="P186" s="1" t="s">
        <v>259</v>
      </c>
      <c r="Q186" s="2" t="s">
        <v>70</v>
      </c>
      <c r="R186" s="2" t="s">
        <v>2509</v>
      </c>
      <c r="T186" s="2" t="s">
        <v>72</v>
      </c>
      <c r="U186" s="3">
        <v>63</v>
      </c>
      <c r="V186" s="3">
        <v>63</v>
      </c>
      <c r="W186" s="4" t="s">
        <v>2510</v>
      </c>
      <c r="X186" s="4" t="s">
        <v>2510</v>
      </c>
      <c r="Y186" s="4" t="s">
        <v>2511</v>
      </c>
      <c r="Z186" s="4" t="s">
        <v>2511</v>
      </c>
      <c r="AA186" s="3">
        <v>97</v>
      </c>
      <c r="AB186" s="3">
        <v>66</v>
      </c>
      <c r="AC186" s="3">
        <v>242</v>
      </c>
      <c r="AD186" s="3">
        <v>1</v>
      </c>
      <c r="AE186" s="3">
        <v>3</v>
      </c>
      <c r="AF186" s="3">
        <v>2</v>
      </c>
      <c r="AG186" s="3">
        <v>11</v>
      </c>
      <c r="AH186" s="3">
        <v>1</v>
      </c>
      <c r="AI186" s="3">
        <v>6</v>
      </c>
      <c r="AJ186" s="3">
        <v>1</v>
      </c>
      <c r="AK186" s="3">
        <v>3</v>
      </c>
      <c r="AL186" s="3">
        <v>0</v>
      </c>
      <c r="AM186" s="3">
        <v>2</v>
      </c>
      <c r="AN186" s="3">
        <v>0</v>
      </c>
      <c r="AO186" s="3">
        <v>2</v>
      </c>
      <c r="AP186" s="3">
        <v>0</v>
      </c>
      <c r="AQ186" s="3">
        <v>0</v>
      </c>
      <c r="AR186" s="2" t="s">
        <v>63</v>
      </c>
      <c r="AS186" s="2" t="s">
        <v>92</v>
      </c>
      <c r="AT186" s="5" t="str">
        <f>HYPERLINK("http://catalog.hathitrust.org/Record/002875626","HathiTrust Record")</f>
        <v>HathiTrust Record</v>
      </c>
      <c r="AU186" s="5" t="str">
        <f>HYPERLINK("https://creighton-primo.hosted.exlibrisgroup.com/primo-explore/search?tab=default_tab&amp;search_scope=EVERYTHING&amp;vid=01CRU&amp;lang=en_US&amp;offset=0&amp;query=any,contains,991000684219702656","Catalog Record")</f>
        <v>Catalog Record</v>
      </c>
      <c r="AV186" s="5" t="str">
        <f>HYPERLINK("http://www.worldcat.org/oclc/30964072","WorldCat Record")</f>
        <v>WorldCat Record</v>
      </c>
      <c r="AW186" s="2" t="s">
        <v>2512</v>
      </c>
      <c r="AX186" s="2" t="s">
        <v>2513</v>
      </c>
      <c r="AY186" s="2" t="s">
        <v>2514</v>
      </c>
      <c r="AZ186" s="2" t="s">
        <v>2514</v>
      </c>
      <c r="BA186" s="2" t="s">
        <v>2515</v>
      </c>
      <c r="BB186" s="2" t="s">
        <v>79</v>
      </c>
      <c r="BD186" s="2" t="s">
        <v>2516</v>
      </c>
      <c r="BE186" s="2" t="s">
        <v>2517</v>
      </c>
      <c r="BF186" s="2" t="s">
        <v>2518</v>
      </c>
    </row>
    <row r="187" spans="1:58" ht="46.5" customHeight="1">
      <c r="A187" s="1"/>
      <c r="B187" s="1" t="s">
        <v>58</v>
      </c>
      <c r="C187" s="1" t="s">
        <v>59</v>
      </c>
      <c r="D187" s="1" t="s">
        <v>2519</v>
      </c>
      <c r="E187" s="1" t="s">
        <v>2520</v>
      </c>
      <c r="F187" s="1" t="s">
        <v>2521</v>
      </c>
      <c r="H187" s="2" t="s">
        <v>63</v>
      </c>
      <c r="I187" s="2" t="s">
        <v>64</v>
      </c>
      <c r="J187" s="2" t="s">
        <v>63</v>
      </c>
      <c r="K187" s="2" t="s">
        <v>63</v>
      </c>
      <c r="L187" s="2" t="s">
        <v>65</v>
      </c>
      <c r="M187" s="1" t="s">
        <v>2522</v>
      </c>
      <c r="N187" s="1" t="s">
        <v>2523</v>
      </c>
      <c r="O187" s="2" t="s">
        <v>718</v>
      </c>
      <c r="Q187" s="2" t="s">
        <v>70</v>
      </c>
      <c r="R187" s="2" t="s">
        <v>277</v>
      </c>
      <c r="S187" s="1" t="s">
        <v>1215</v>
      </c>
      <c r="T187" s="2" t="s">
        <v>72</v>
      </c>
      <c r="U187" s="3">
        <v>6</v>
      </c>
      <c r="V187" s="3">
        <v>6</v>
      </c>
      <c r="W187" s="4" t="s">
        <v>2524</v>
      </c>
      <c r="X187" s="4" t="s">
        <v>2524</v>
      </c>
      <c r="Y187" s="4" t="s">
        <v>2525</v>
      </c>
      <c r="Z187" s="4" t="s">
        <v>2525</v>
      </c>
      <c r="AA187" s="3">
        <v>205</v>
      </c>
      <c r="AB187" s="3">
        <v>136</v>
      </c>
      <c r="AC187" s="3">
        <v>197</v>
      </c>
      <c r="AD187" s="3">
        <v>2</v>
      </c>
      <c r="AE187" s="3">
        <v>3</v>
      </c>
      <c r="AF187" s="3">
        <v>4</v>
      </c>
      <c r="AG187" s="3">
        <v>8</v>
      </c>
      <c r="AH187" s="3">
        <v>1</v>
      </c>
      <c r="AI187" s="3">
        <v>3</v>
      </c>
      <c r="AJ187" s="3">
        <v>1</v>
      </c>
      <c r="AK187" s="3">
        <v>2</v>
      </c>
      <c r="AL187" s="3">
        <v>1</v>
      </c>
      <c r="AM187" s="3">
        <v>2</v>
      </c>
      <c r="AN187" s="3">
        <v>1</v>
      </c>
      <c r="AO187" s="3">
        <v>2</v>
      </c>
      <c r="AP187" s="3">
        <v>0</v>
      </c>
      <c r="AQ187" s="3">
        <v>0</v>
      </c>
      <c r="AR187" s="2" t="s">
        <v>63</v>
      </c>
      <c r="AS187" s="2" t="s">
        <v>92</v>
      </c>
      <c r="AT187" s="5" t="str">
        <f>HYPERLINK("http://catalog.hathitrust.org/Record/000092840","HathiTrust Record")</f>
        <v>HathiTrust Record</v>
      </c>
      <c r="AU187" s="5" t="str">
        <f>HYPERLINK("https://creighton-primo.hosted.exlibrisgroup.com/primo-explore/search?tab=default_tab&amp;search_scope=EVERYTHING&amp;vid=01CRU&amp;lang=en_US&amp;offset=0&amp;query=any,contains,991001483269702656","Catalog Record")</f>
        <v>Catalog Record</v>
      </c>
      <c r="AV187" s="5" t="str">
        <f>HYPERLINK("http://www.worldcat.org/oclc/3649703","WorldCat Record")</f>
        <v>WorldCat Record</v>
      </c>
      <c r="AW187" s="2" t="s">
        <v>2526</v>
      </c>
      <c r="AX187" s="2" t="s">
        <v>2527</v>
      </c>
      <c r="AY187" s="2" t="s">
        <v>2528</v>
      </c>
      <c r="AZ187" s="2" t="s">
        <v>2528</v>
      </c>
      <c r="BA187" s="2" t="s">
        <v>2529</v>
      </c>
      <c r="BB187" s="2" t="s">
        <v>79</v>
      </c>
      <c r="BD187" s="2" t="s">
        <v>2530</v>
      </c>
      <c r="BE187" s="2" t="s">
        <v>2531</v>
      </c>
      <c r="BF187" s="2" t="s">
        <v>2532</v>
      </c>
    </row>
    <row r="188" spans="1:58" ht="46.5" customHeight="1">
      <c r="A188" s="1"/>
      <c r="B188" s="1" t="s">
        <v>58</v>
      </c>
      <c r="C188" s="1" t="s">
        <v>59</v>
      </c>
      <c r="D188" s="1" t="s">
        <v>2533</v>
      </c>
      <c r="E188" s="1" t="s">
        <v>2534</v>
      </c>
      <c r="F188" s="1" t="s">
        <v>2535</v>
      </c>
      <c r="H188" s="2" t="s">
        <v>63</v>
      </c>
      <c r="I188" s="2" t="s">
        <v>64</v>
      </c>
      <c r="J188" s="2" t="s">
        <v>63</v>
      </c>
      <c r="K188" s="2" t="s">
        <v>63</v>
      </c>
      <c r="L188" s="2" t="s">
        <v>64</v>
      </c>
      <c r="M188" s="1" t="s">
        <v>2536</v>
      </c>
      <c r="N188" s="1" t="s">
        <v>2537</v>
      </c>
      <c r="O188" s="2" t="s">
        <v>454</v>
      </c>
      <c r="Q188" s="2" t="s">
        <v>70</v>
      </c>
      <c r="R188" s="2" t="s">
        <v>377</v>
      </c>
      <c r="S188" s="1" t="s">
        <v>2538</v>
      </c>
      <c r="T188" s="2" t="s">
        <v>72</v>
      </c>
      <c r="U188" s="3">
        <v>0</v>
      </c>
      <c r="V188" s="3">
        <v>0</v>
      </c>
      <c r="W188" s="4" t="s">
        <v>2539</v>
      </c>
      <c r="X188" s="4" t="s">
        <v>2539</v>
      </c>
      <c r="Y188" s="4" t="s">
        <v>2540</v>
      </c>
      <c r="Z188" s="4" t="s">
        <v>2540</v>
      </c>
      <c r="AA188" s="3">
        <v>41</v>
      </c>
      <c r="AB188" s="3">
        <v>20</v>
      </c>
      <c r="AC188" s="3">
        <v>747</v>
      </c>
      <c r="AD188" s="3">
        <v>1</v>
      </c>
      <c r="AE188" s="3">
        <v>12</v>
      </c>
      <c r="AF188" s="3">
        <v>1</v>
      </c>
      <c r="AG188" s="3">
        <v>35</v>
      </c>
      <c r="AH188" s="3">
        <v>0</v>
      </c>
      <c r="AI188" s="3">
        <v>10</v>
      </c>
      <c r="AJ188" s="3">
        <v>0</v>
      </c>
      <c r="AK188" s="3">
        <v>9</v>
      </c>
      <c r="AL188" s="3">
        <v>1</v>
      </c>
      <c r="AM188" s="3">
        <v>10</v>
      </c>
      <c r="AN188" s="3">
        <v>0</v>
      </c>
      <c r="AO188" s="3">
        <v>10</v>
      </c>
      <c r="AP188" s="3">
        <v>0</v>
      </c>
      <c r="AQ188" s="3">
        <v>1</v>
      </c>
      <c r="AR188" s="2" t="s">
        <v>63</v>
      </c>
      <c r="AS188" s="2" t="s">
        <v>63</v>
      </c>
      <c r="AU188" s="5" t="str">
        <f>HYPERLINK("https://creighton-primo.hosted.exlibrisgroup.com/primo-explore/search?tab=default_tab&amp;search_scope=EVERYTHING&amp;vid=01CRU&amp;lang=en_US&amp;offset=0&amp;query=any,contains,991001474979702656","Catalog Record")</f>
        <v>Catalog Record</v>
      </c>
      <c r="AV188" s="5" t="str">
        <f>HYPERLINK("http://www.worldcat.org/oclc/180195560","WorldCat Record")</f>
        <v>WorldCat Record</v>
      </c>
      <c r="AW188" s="2" t="s">
        <v>2541</v>
      </c>
      <c r="AX188" s="2" t="s">
        <v>2542</v>
      </c>
      <c r="AY188" s="2" t="s">
        <v>2543</v>
      </c>
      <c r="AZ188" s="2" t="s">
        <v>2543</v>
      </c>
      <c r="BA188" s="2" t="s">
        <v>2544</v>
      </c>
      <c r="BB188" s="2" t="s">
        <v>79</v>
      </c>
      <c r="BD188" s="2" t="s">
        <v>2545</v>
      </c>
      <c r="BE188" s="2" t="s">
        <v>2546</v>
      </c>
      <c r="BF188" s="2" t="s">
        <v>2547</v>
      </c>
    </row>
    <row r="189" spans="1:58" ht="46.5" customHeight="1">
      <c r="A189" s="1"/>
      <c r="B189" s="1" t="s">
        <v>58</v>
      </c>
      <c r="C189" s="1" t="s">
        <v>59</v>
      </c>
      <c r="D189" s="1" t="s">
        <v>2548</v>
      </c>
      <c r="E189" s="1" t="s">
        <v>2549</v>
      </c>
      <c r="F189" s="1" t="s">
        <v>2550</v>
      </c>
      <c r="H189" s="2" t="s">
        <v>63</v>
      </c>
      <c r="I189" s="2" t="s">
        <v>64</v>
      </c>
      <c r="J189" s="2" t="s">
        <v>63</v>
      </c>
      <c r="K189" s="2" t="s">
        <v>92</v>
      </c>
      <c r="L189" s="2" t="s">
        <v>65</v>
      </c>
      <c r="M189" s="1" t="s">
        <v>170</v>
      </c>
      <c r="N189" s="1" t="s">
        <v>2551</v>
      </c>
      <c r="O189" s="2" t="s">
        <v>104</v>
      </c>
      <c r="P189" s="1" t="s">
        <v>157</v>
      </c>
      <c r="Q189" s="2" t="s">
        <v>70</v>
      </c>
      <c r="R189" s="2" t="s">
        <v>89</v>
      </c>
      <c r="S189" s="1" t="s">
        <v>173</v>
      </c>
      <c r="T189" s="2" t="s">
        <v>72</v>
      </c>
      <c r="U189" s="3">
        <v>11</v>
      </c>
      <c r="V189" s="3">
        <v>11</v>
      </c>
      <c r="W189" s="4" t="s">
        <v>2552</v>
      </c>
      <c r="X189" s="4" t="s">
        <v>2552</v>
      </c>
      <c r="Y189" s="4" t="s">
        <v>2553</v>
      </c>
      <c r="Z189" s="4" t="s">
        <v>2553</v>
      </c>
      <c r="AA189" s="3">
        <v>64</v>
      </c>
      <c r="AB189" s="3">
        <v>58</v>
      </c>
      <c r="AC189" s="3">
        <v>77</v>
      </c>
      <c r="AD189" s="3">
        <v>1</v>
      </c>
      <c r="AE189" s="3">
        <v>1</v>
      </c>
      <c r="AF189" s="3">
        <v>1</v>
      </c>
      <c r="AG189" s="3">
        <v>1</v>
      </c>
      <c r="AH189" s="3">
        <v>1</v>
      </c>
      <c r="AI189" s="3">
        <v>1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2" t="s">
        <v>63</v>
      </c>
      <c r="AS189" s="2" t="s">
        <v>92</v>
      </c>
      <c r="AT189" s="5" t="str">
        <f>HYPERLINK("http://catalog.hathitrust.org/Record/000482251","HathiTrust Record")</f>
        <v>HathiTrust Record</v>
      </c>
      <c r="AU189" s="5" t="str">
        <f>HYPERLINK("https://creighton-primo.hosted.exlibrisgroup.com/primo-explore/search?tab=default_tab&amp;search_scope=EVERYTHING&amp;vid=01CRU&amp;lang=en_US&amp;offset=0&amp;query=any,contains,991000914749702656","Catalog Record")</f>
        <v>Catalog Record</v>
      </c>
      <c r="AV189" s="5" t="str">
        <f>HYPERLINK("http://www.worldcat.org/oclc/12082491","WorldCat Record")</f>
        <v>WorldCat Record</v>
      </c>
      <c r="AW189" s="2" t="s">
        <v>175</v>
      </c>
      <c r="AX189" s="2" t="s">
        <v>2554</v>
      </c>
      <c r="AY189" s="2" t="s">
        <v>2555</v>
      </c>
      <c r="AZ189" s="2" t="s">
        <v>2555</v>
      </c>
      <c r="BA189" s="2" t="s">
        <v>2556</v>
      </c>
      <c r="BB189" s="2" t="s">
        <v>79</v>
      </c>
      <c r="BD189" s="2" t="s">
        <v>2557</v>
      </c>
      <c r="BE189" s="2" t="s">
        <v>2558</v>
      </c>
      <c r="BF189" s="2" t="s">
        <v>2559</v>
      </c>
    </row>
    <row r="190" spans="1:58" ht="46.5" customHeight="1">
      <c r="A190" s="1"/>
      <c r="B190" s="1" t="s">
        <v>58</v>
      </c>
      <c r="C190" s="1" t="s">
        <v>59</v>
      </c>
      <c r="D190" s="1" t="s">
        <v>2560</v>
      </c>
      <c r="E190" s="1" t="s">
        <v>2561</v>
      </c>
      <c r="F190" s="1" t="s">
        <v>2562</v>
      </c>
      <c r="H190" s="2" t="s">
        <v>63</v>
      </c>
      <c r="I190" s="2" t="s">
        <v>64</v>
      </c>
      <c r="J190" s="2" t="s">
        <v>63</v>
      </c>
      <c r="K190" s="2" t="s">
        <v>92</v>
      </c>
      <c r="L190" s="2" t="s">
        <v>65</v>
      </c>
      <c r="M190" s="1" t="s">
        <v>2563</v>
      </c>
      <c r="N190" s="1" t="s">
        <v>2564</v>
      </c>
      <c r="O190" s="2" t="s">
        <v>814</v>
      </c>
      <c r="Q190" s="2" t="s">
        <v>70</v>
      </c>
      <c r="R190" s="2" t="s">
        <v>200</v>
      </c>
      <c r="T190" s="2" t="s">
        <v>72</v>
      </c>
      <c r="U190" s="3">
        <v>10</v>
      </c>
      <c r="V190" s="3">
        <v>10</v>
      </c>
      <c r="W190" s="4" t="s">
        <v>2565</v>
      </c>
      <c r="X190" s="4" t="s">
        <v>2565</v>
      </c>
      <c r="Y190" s="4" t="s">
        <v>2566</v>
      </c>
      <c r="Z190" s="4" t="s">
        <v>2566</v>
      </c>
      <c r="AA190" s="3">
        <v>110</v>
      </c>
      <c r="AB190" s="3">
        <v>75</v>
      </c>
      <c r="AC190" s="3">
        <v>316</v>
      </c>
      <c r="AD190" s="3">
        <v>2</v>
      </c>
      <c r="AE190" s="3">
        <v>4</v>
      </c>
      <c r="AF190" s="3">
        <v>4</v>
      </c>
      <c r="AG190" s="3">
        <v>7</v>
      </c>
      <c r="AH190" s="3">
        <v>0</v>
      </c>
      <c r="AI190" s="3">
        <v>0</v>
      </c>
      <c r="AJ190" s="3">
        <v>2</v>
      </c>
      <c r="AK190" s="3">
        <v>3</v>
      </c>
      <c r="AL190" s="3">
        <v>2</v>
      </c>
      <c r="AM190" s="3">
        <v>2</v>
      </c>
      <c r="AN190" s="3">
        <v>1</v>
      </c>
      <c r="AO190" s="3">
        <v>3</v>
      </c>
      <c r="AP190" s="3">
        <v>0</v>
      </c>
      <c r="AQ190" s="3">
        <v>0</v>
      </c>
      <c r="AR190" s="2" t="s">
        <v>63</v>
      </c>
      <c r="AS190" s="2" t="s">
        <v>92</v>
      </c>
      <c r="AT190" s="5" t="str">
        <f>HYPERLINK("http://catalog.hathitrust.org/Record/003314902","HathiTrust Record")</f>
        <v>HathiTrust Record</v>
      </c>
      <c r="AU190" s="5" t="str">
        <f>HYPERLINK("https://creighton-primo.hosted.exlibrisgroup.com/primo-explore/search?tab=default_tab&amp;search_scope=EVERYTHING&amp;vid=01CRU&amp;lang=en_US&amp;offset=0&amp;query=any,contains,991001564959702656","Catalog Record")</f>
        <v>Catalog Record</v>
      </c>
      <c r="AV190" s="5" t="str">
        <f>HYPERLINK("http://www.worldcat.org/oclc/39282366","WorldCat Record")</f>
        <v>WorldCat Record</v>
      </c>
      <c r="AW190" s="2" t="s">
        <v>2567</v>
      </c>
      <c r="AX190" s="2" t="s">
        <v>2568</v>
      </c>
      <c r="AY190" s="2" t="s">
        <v>2569</v>
      </c>
      <c r="AZ190" s="2" t="s">
        <v>2569</v>
      </c>
      <c r="BA190" s="2" t="s">
        <v>2570</v>
      </c>
      <c r="BB190" s="2" t="s">
        <v>79</v>
      </c>
      <c r="BD190" s="2" t="s">
        <v>2571</v>
      </c>
      <c r="BE190" s="2" t="s">
        <v>2572</v>
      </c>
      <c r="BF190" s="2" t="s">
        <v>2573</v>
      </c>
    </row>
    <row r="191" spans="1:58" ht="46.5" customHeight="1">
      <c r="A191" s="1"/>
      <c r="B191" s="1" t="s">
        <v>58</v>
      </c>
      <c r="C191" s="1" t="s">
        <v>59</v>
      </c>
      <c r="D191" s="1" t="s">
        <v>2574</v>
      </c>
      <c r="E191" s="1" t="s">
        <v>2575</v>
      </c>
      <c r="F191" s="1" t="s">
        <v>2576</v>
      </c>
      <c r="H191" s="2" t="s">
        <v>63</v>
      </c>
      <c r="I191" s="2" t="s">
        <v>64</v>
      </c>
      <c r="J191" s="2" t="s">
        <v>63</v>
      </c>
      <c r="K191" s="2" t="s">
        <v>92</v>
      </c>
      <c r="L191" s="2" t="s">
        <v>65</v>
      </c>
      <c r="M191" s="1" t="s">
        <v>2563</v>
      </c>
      <c r="N191" s="1" t="s">
        <v>2577</v>
      </c>
      <c r="O191" s="2" t="s">
        <v>440</v>
      </c>
      <c r="P191" s="1" t="s">
        <v>157</v>
      </c>
      <c r="Q191" s="2" t="s">
        <v>70</v>
      </c>
      <c r="R191" s="2" t="s">
        <v>200</v>
      </c>
      <c r="T191" s="2" t="s">
        <v>72</v>
      </c>
      <c r="U191" s="3">
        <v>5</v>
      </c>
      <c r="V191" s="3">
        <v>5</v>
      </c>
      <c r="W191" s="4" t="s">
        <v>2578</v>
      </c>
      <c r="X191" s="4" t="s">
        <v>2578</v>
      </c>
      <c r="Y191" s="4" t="s">
        <v>294</v>
      </c>
      <c r="Z191" s="4" t="s">
        <v>294</v>
      </c>
      <c r="AA191" s="3">
        <v>121</v>
      </c>
      <c r="AB191" s="3">
        <v>89</v>
      </c>
      <c r="AC191" s="3">
        <v>316</v>
      </c>
      <c r="AD191" s="3">
        <v>2</v>
      </c>
      <c r="AE191" s="3">
        <v>4</v>
      </c>
      <c r="AF191" s="3">
        <v>3</v>
      </c>
      <c r="AG191" s="3">
        <v>7</v>
      </c>
      <c r="AH191" s="3">
        <v>0</v>
      </c>
      <c r="AI191" s="3">
        <v>0</v>
      </c>
      <c r="AJ191" s="3">
        <v>1</v>
      </c>
      <c r="AK191" s="3">
        <v>3</v>
      </c>
      <c r="AL191" s="3">
        <v>2</v>
      </c>
      <c r="AM191" s="3">
        <v>2</v>
      </c>
      <c r="AN191" s="3">
        <v>1</v>
      </c>
      <c r="AO191" s="3">
        <v>3</v>
      </c>
      <c r="AP191" s="3">
        <v>0</v>
      </c>
      <c r="AQ191" s="3">
        <v>0</v>
      </c>
      <c r="AR191" s="2" t="s">
        <v>63</v>
      </c>
      <c r="AS191" s="2" t="s">
        <v>92</v>
      </c>
      <c r="AT191" s="5" t="str">
        <f>HYPERLINK("http://catalog.hathitrust.org/Record/004338276","HathiTrust Record")</f>
        <v>HathiTrust Record</v>
      </c>
      <c r="AU191" s="5" t="str">
        <f>HYPERLINK("https://creighton-primo.hosted.exlibrisgroup.com/primo-explore/search?tab=default_tab&amp;search_scope=EVERYTHING&amp;vid=01CRU&amp;lang=en_US&amp;offset=0&amp;query=any,contains,991000377319702656","Catalog Record")</f>
        <v>Catalog Record</v>
      </c>
      <c r="AV191" s="5" t="str">
        <f>HYPERLINK("http://www.worldcat.org/oclc/51811294","WorldCat Record")</f>
        <v>WorldCat Record</v>
      </c>
      <c r="AW191" s="2" t="s">
        <v>2567</v>
      </c>
      <c r="AX191" s="2" t="s">
        <v>2579</v>
      </c>
      <c r="AY191" s="2" t="s">
        <v>2580</v>
      </c>
      <c r="AZ191" s="2" t="s">
        <v>2580</v>
      </c>
      <c r="BA191" s="2" t="s">
        <v>2581</v>
      </c>
      <c r="BB191" s="2" t="s">
        <v>79</v>
      </c>
      <c r="BD191" s="2" t="s">
        <v>2582</v>
      </c>
      <c r="BE191" s="2" t="s">
        <v>2583</v>
      </c>
      <c r="BF191" s="2" t="s">
        <v>2584</v>
      </c>
    </row>
    <row r="192" spans="1:58" ht="46.5" customHeight="1">
      <c r="A192" s="1"/>
      <c r="B192" s="1" t="s">
        <v>58</v>
      </c>
      <c r="C192" s="1" t="s">
        <v>59</v>
      </c>
      <c r="D192" s="1" t="s">
        <v>2585</v>
      </c>
      <c r="E192" s="1" t="s">
        <v>2586</v>
      </c>
      <c r="F192" s="1" t="s">
        <v>2587</v>
      </c>
      <c r="H192" s="2" t="s">
        <v>63</v>
      </c>
      <c r="I192" s="2" t="s">
        <v>64</v>
      </c>
      <c r="J192" s="2" t="s">
        <v>63</v>
      </c>
      <c r="K192" s="2" t="s">
        <v>63</v>
      </c>
      <c r="L192" s="2" t="s">
        <v>65</v>
      </c>
      <c r="N192" s="1" t="s">
        <v>2588</v>
      </c>
      <c r="O192" s="2" t="s">
        <v>292</v>
      </c>
      <c r="Q192" s="2" t="s">
        <v>70</v>
      </c>
      <c r="R192" s="2" t="s">
        <v>133</v>
      </c>
      <c r="S192" s="1" t="s">
        <v>2589</v>
      </c>
      <c r="T192" s="2" t="s">
        <v>72</v>
      </c>
      <c r="U192" s="3">
        <v>1</v>
      </c>
      <c r="V192" s="3">
        <v>1</v>
      </c>
      <c r="W192" s="4" t="s">
        <v>2590</v>
      </c>
      <c r="X192" s="4" t="s">
        <v>2590</v>
      </c>
      <c r="Y192" s="4" t="s">
        <v>2591</v>
      </c>
      <c r="Z192" s="4" t="s">
        <v>2591</v>
      </c>
      <c r="AA192" s="3">
        <v>53</v>
      </c>
      <c r="AB192" s="3">
        <v>42</v>
      </c>
      <c r="AC192" s="3">
        <v>43</v>
      </c>
      <c r="AD192" s="3">
        <v>1</v>
      </c>
      <c r="AE192" s="3">
        <v>1</v>
      </c>
      <c r="AF192" s="3">
        <v>1</v>
      </c>
      <c r="AG192" s="3">
        <v>1</v>
      </c>
      <c r="AH192" s="3">
        <v>1</v>
      </c>
      <c r="AI192" s="3">
        <v>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2" t="s">
        <v>63</v>
      </c>
      <c r="AS192" s="2" t="s">
        <v>63</v>
      </c>
      <c r="AU192" s="5" t="str">
        <f>HYPERLINK("https://creighton-primo.hosted.exlibrisgroup.com/primo-explore/search?tab=default_tab&amp;search_scope=EVERYTHING&amp;vid=01CRU&amp;lang=en_US&amp;offset=0&amp;query=any,contains,991001117079702656","Catalog Record")</f>
        <v>Catalog Record</v>
      </c>
      <c r="AV192" s="5" t="str">
        <f>HYPERLINK("http://www.worldcat.org/oclc/17727920","WorldCat Record")</f>
        <v>WorldCat Record</v>
      </c>
      <c r="AW192" s="2" t="s">
        <v>2592</v>
      </c>
      <c r="AX192" s="2" t="s">
        <v>2593</v>
      </c>
      <c r="AY192" s="2" t="s">
        <v>2594</v>
      </c>
      <c r="AZ192" s="2" t="s">
        <v>2594</v>
      </c>
      <c r="BA192" s="2" t="s">
        <v>2595</v>
      </c>
      <c r="BB192" s="2" t="s">
        <v>79</v>
      </c>
      <c r="BE192" s="2" t="s">
        <v>2596</v>
      </c>
      <c r="BF192" s="2" t="s">
        <v>2597</v>
      </c>
    </row>
    <row r="193" spans="1:58" ht="46.5" customHeight="1">
      <c r="A193" s="1"/>
      <c r="B193" s="1" t="s">
        <v>58</v>
      </c>
      <c r="C193" s="1" t="s">
        <v>59</v>
      </c>
      <c r="D193" s="1" t="s">
        <v>2598</v>
      </c>
      <c r="E193" s="1" t="s">
        <v>2599</v>
      </c>
      <c r="F193" s="1" t="s">
        <v>2600</v>
      </c>
      <c r="H193" s="2" t="s">
        <v>63</v>
      </c>
      <c r="I193" s="2" t="s">
        <v>64</v>
      </c>
      <c r="J193" s="2" t="s">
        <v>63</v>
      </c>
      <c r="K193" s="2" t="s">
        <v>63</v>
      </c>
      <c r="L193" s="2" t="s">
        <v>65</v>
      </c>
      <c r="M193" s="1" t="s">
        <v>2601</v>
      </c>
      <c r="N193" s="1" t="s">
        <v>1666</v>
      </c>
      <c r="O193" s="2" t="s">
        <v>132</v>
      </c>
      <c r="P193" s="1" t="s">
        <v>1228</v>
      </c>
      <c r="Q193" s="2" t="s">
        <v>70</v>
      </c>
      <c r="R193" s="2" t="s">
        <v>89</v>
      </c>
      <c r="T193" s="2" t="s">
        <v>72</v>
      </c>
      <c r="U193" s="3">
        <v>7</v>
      </c>
      <c r="V193" s="3">
        <v>7</v>
      </c>
      <c r="W193" s="4" t="s">
        <v>1899</v>
      </c>
      <c r="X193" s="4" t="s">
        <v>1899</v>
      </c>
      <c r="Y193" s="4" t="s">
        <v>1560</v>
      </c>
      <c r="Z193" s="4" t="s">
        <v>1560</v>
      </c>
      <c r="AA193" s="3">
        <v>208</v>
      </c>
      <c r="AB193" s="3">
        <v>169</v>
      </c>
      <c r="AC193" s="3">
        <v>504</v>
      </c>
      <c r="AD193" s="3">
        <v>1</v>
      </c>
      <c r="AE193" s="3">
        <v>1</v>
      </c>
      <c r="AF193" s="3">
        <v>2</v>
      </c>
      <c r="AG193" s="3">
        <v>9</v>
      </c>
      <c r="AH193" s="3">
        <v>1</v>
      </c>
      <c r="AI193" s="3">
        <v>6</v>
      </c>
      <c r="AJ193" s="3">
        <v>1</v>
      </c>
      <c r="AK193" s="3">
        <v>3</v>
      </c>
      <c r="AL193" s="3">
        <v>0</v>
      </c>
      <c r="AM193" s="3">
        <v>3</v>
      </c>
      <c r="AN193" s="3">
        <v>0</v>
      </c>
      <c r="AO193" s="3">
        <v>0</v>
      </c>
      <c r="AP193" s="3">
        <v>0</v>
      </c>
      <c r="AQ193" s="3">
        <v>0</v>
      </c>
      <c r="AR193" s="2" t="s">
        <v>63</v>
      </c>
      <c r="AS193" s="2" t="s">
        <v>92</v>
      </c>
      <c r="AT193" s="5" t="str">
        <f>HYPERLINK("http://catalog.hathitrust.org/Record/002525429","HathiTrust Record")</f>
        <v>HathiTrust Record</v>
      </c>
      <c r="AU193" s="5" t="str">
        <f>HYPERLINK("https://creighton-primo.hosted.exlibrisgroup.com/primo-explore/search?tab=default_tab&amp;search_scope=EVERYTHING&amp;vid=01CRU&amp;lang=en_US&amp;offset=0&amp;query=any,contains,991001301279702656","Catalog Record")</f>
        <v>Catalog Record</v>
      </c>
      <c r="AV193" s="5" t="str">
        <f>HYPERLINK("http://www.worldcat.org/oclc/24068929","WorldCat Record")</f>
        <v>WorldCat Record</v>
      </c>
      <c r="AW193" s="2" t="s">
        <v>2602</v>
      </c>
      <c r="AX193" s="2" t="s">
        <v>2603</v>
      </c>
      <c r="AY193" s="2" t="s">
        <v>2604</v>
      </c>
      <c r="AZ193" s="2" t="s">
        <v>2604</v>
      </c>
      <c r="BA193" s="2" t="s">
        <v>2605</v>
      </c>
      <c r="BB193" s="2" t="s">
        <v>79</v>
      </c>
      <c r="BD193" s="2" t="s">
        <v>2606</v>
      </c>
      <c r="BE193" s="2" t="s">
        <v>2607</v>
      </c>
      <c r="BF193" s="2" t="s">
        <v>2608</v>
      </c>
    </row>
    <row r="194" spans="1:58" ht="46.5" customHeight="1">
      <c r="A194" s="1"/>
      <c r="B194" s="1" t="s">
        <v>58</v>
      </c>
      <c r="C194" s="1" t="s">
        <v>59</v>
      </c>
      <c r="D194" s="1" t="s">
        <v>2609</v>
      </c>
      <c r="E194" s="1" t="s">
        <v>2610</v>
      </c>
      <c r="F194" s="1" t="s">
        <v>2611</v>
      </c>
      <c r="H194" s="2" t="s">
        <v>63</v>
      </c>
      <c r="I194" s="2" t="s">
        <v>64</v>
      </c>
      <c r="J194" s="2" t="s">
        <v>63</v>
      </c>
      <c r="K194" s="2" t="s">
        <v>92</v>
      </c>
      <c r="L194" s="2" t="s">
        <v>65</v>
      </c>
      <c r="M194" s="1" t="s">
        <v>2612</v>
      </c>
      <c r="N194" s="1" t="s">
        <v>2613</v>
      </c>
      <c r="O194" s="2" t="s">
        <v>275</v>
      </c>
      <c r="P194" s="1" t="s">
        <v>2614</v>
      </c>
      <c r="Q194" s="2" t="s">
        <v>70</v>
      </c>
      <c r="R194" s="2" t="s">
        <v>260</v>
      </c>
      <c r="T194" s="2" t="s">
        <v>72</v>
      </c>
      <c r="U194" s="3">
        <v>3</v>
      </c>
      <c r="V194" s="3">
        <v>3</v>
      </c>
      <c r="W194" s="4" t="s">
        <v>2615</v>
      </c>
      <c r="X194" s="4" t="s">
        <v>2615</v>
      </c>
      <c r="Y194" s="4" t="s">
        <v>2616</v>
      </c>
      <c r="Z194" s="4" t="s">
        <v>2616</v>
      </c>
      <c r="AA194" s="3">
        <v>27</v>
      </c>
      <c r="AB194" s="3">
        <v>25</v>
      </c>
      <c r="AC194" s="3">
        <v>158</v>
      </c>
      <c r="AD194" s="3">
        <v>1</v>
      </c>
      <c r="AE194" s="3">
        <v>1</v>
      </c>
      <c r="AF194" s="3">
        <v>0</v>
      </c>
      <c r="AG194" s="3">
        <v>2</v>
      </c>
      <c r="AH194" s="3">
        <v>0</v>
      </c>
      <c r="AI194" s="3">
        <v>2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2" t="s">
        <v>63</v>
      </c>
      <c r="AS194" s="2" t="s">
        <v>92</v>
      </c>
      <c r="AT194" s="5" t="str">
        <f>HYPERLINK("http://catalog.hathitrust.org/Record/003082615","HathiTrust Record")</f>
        <v>HathiTrust Record</v>
      </c>
      <c r="AU194" s="5" t="str">
        <f>HYPERLINK("https://creighton-primo.hosted.exlibrisgroup.com/primo-explore/search?tab=default_tab&amp;search_scope=EVERYTHING&amp;vid=01CRU&amp;lang=en_US&amp;offset=0&amp;query=any,contains,991001047479702656","Catalog Record")</f>
        <v>Catalog Record</v>
      </c>
      <c r="AV194" s="5" t="str">
        <f>HYPERLINK("http://www.worldcat.org/oclc/35112777","WorldCat Record")</f>
        <v>WorldCat Record</v>
      </c>
      <c r="AW194" s="2" t="s">
        <v>2617</v>
      </c>
      <c r="AX194" s="2" t="s">
        <v>2618</v>
      </c>
      <c r="AY194" s="2" t="s">
        <v>2619</v>
      </c>
      <c r="AZ194" s="2" t="s">
        <v>2619</v>
      </c>
      <c r="BA194" s="2" t="s">
        <v>2620</v>
      </c>
      <c r="BB194" s="2" t="s">
        <v>79</v>
      </c>
      <c r="BD194" s="2" t="s">
        <v>2621</v>
      </c>
      <c r="BE194" s="2" t="s">
        <v>2622</v>
      </c>
      <c r="BF194" s="2" t="s">
        <v>2623</v>
      </c>
    </row>
    <row r="195" spans="1:58" ht="46.5" customHeight="1">
      <c r="A195" s="1"/>
      <c r="B195" s="1" t="s">
        <v>58</v>
      </c>
      <c r="C195" s="1" t="s">
        <v>59</v>
      </c>
      <c r="D195" s="1" t="s">
        <v>2624</v>
      </c>
      <c r="E195" s="1" t="s">
        <v>2625</v>
      </c>
      <c r="F195" s="1" t="s">
        <v>2626</v>
      </c>
      <c r="H195" s="2" t="s">
        <v>63</v>
      </c>
      <c r="I195" s="2" t="s">
        <v>64</v>
      </c>
      <c r="J195" s="2" t="s">
        <v>63</v>
      </c>
      <c r="K195" s="2" t="s">
        <v>92</v>
      </c>
      <c r="L195" s="2" t="s">
        <v>65</v>
      </c>
      <c r="M195" s="1" t="s">
        <v>2627</v>
      </c>
      <c r="N195" s="1" t="s">
        <v>2628</v>
      </c>
      <c r="O195" s="2" t="s">
        <v>87</v>
      </c>
      <c r="P195" s="1" t="s">
        <v>2629</v>
      </c>
      <c r="Q195" s="2" t="s">
        <v>70</v>
      </c>
      <c r="R195" s="2" t="s">
        <v>133</v>
      </c>
      <c r="S195" s="1" t="s">
        <v>2630</v>
      </c>
      <c r="T195" s="2" t="s">
        <v>72</v>
      </c>
      <c r="U195" s="3">
        <v>32</v>
      </c>
      <c r="V195" s="3">
        <v>32</v>
      </c>
      <c r="W195" s="4" t="s">
        <v>2631</v>
      </c>
      <c r="X195" s="4" t="s">
        <v>2631</v>
      </c>
      <c r="Y195" s="4" t="s">
        <v>2632</v>
      </c>
      <c r="Z195" s="4" t="s">
        <v>2632</v>
      </c>
      <c r="AA195" s="3">
        <v>667</v>
      </c>
      <c r="AB195" s="3">
        <v>538</v>
      </c>
      <c r="AC195" s="3">
        <v>1136</v>
      </c>
      <c r="AD195" s="3">
        <v>2</v>
      </c>
      <c r="AE195" s="3">
        <v>7</v>
      </c>
      <c r="AF195" s="3">
        <v>3</v>
      </c>
      <c r="AG195" s="3">
        <v>15</v>
      </c>
      <c r="AH195" s="3">
        <v>1</v>
      </c>
      <c r="AI195" s="3">
        <v>5</v>
      </c>
      <c r="AJ195" s="3">
        <v>1</v>
      </c>
      <c r="AK195" s="3">
        <v>4</v>
      </c>
      <c r="AL195" s="3">
        <v>2</v>
      </c>
      <c r="AM195" s="3">
        <v>7</v>
      </c>
      <c r="AN195" s="3">
        <v>0</v>
      </c>
      <c r="AO195" s="3">
        <v>3</v>
      </c>
      <c r="AP195" s="3">
        <v>0</v>
      </c>
      <c r="AQ195" s="3">
        <v>0</v>
      </c>
      <c r="AR195" s="2" t="s">
        <v>63</v>
      </c>
      <c r="AS195" s="2" t="s">
        <v>92</v>
      </c>
      <c r="AT195" s="5" t="str">
        <f>HYPERLINK("http://catalog.hathitrust.org/Record/000825676","HathiTrust Record")</f>
        <v>HathiTrust Record</v>
      </c>
      <c r="AU195" s="5" t="str">
        <f>HYPERLINK("https://creighton-primo.hosted.exlibrisgroup.com/primo-explore/search?tab=default_tab&amp;search_scope=EVERYTHING&amp;vid=01CRU&amp;lang=en_US&amp;offset=0&amp;query=any,contains,991000587099702656","Catalog Record")</f>
        <v>Catalog Record</v>
      </c>
      <c r="AV195" s="5" t="str">
        <f>HYPERLINK("http://www.worldcat.org/oclc/16709934","WorldCat Record")</f>
        <v>WorldCat Record</v>
      </c>
      <c r="AW195" s="2" t="s">
        <v>2633</v>
      </c>
      <c r="AX195" s="2" t="s">
        <v>2634</v>
      </c>
      <c r="AY195" s="2" t="s">
        <v>2635</v>
      </c>
      <c r="AZ195" s="2" t="s">
        <v>2635</v>
      </c>
      <c r="BA195" s="2" t="s">
        <v>2636</v>
      </c>
      <c r="BB195" s="2" t="s">
        <v>79</v>
      </c>
      <c r="BD195" s="2" t="s">
        <v>2637</v>
      </c>
      <c r="BE195" s="2" t="s">
        <v>2638</v>
      </c>
      <c r="BF195" s="2" t="s">
        <v>2639</v>
      </c>
    </row>
    <row r="196" spans="1:58" ht="46.5" customHeight="1">
      <c r="A196" s="1"/>
      <c r="B196" s="1" t="s">
        <v>58</v>
      </c>
      <c r="C196" s="1" t="s">
        <v>59</v>
      </c>
      <c r="D196" s="1" t="s">
        <v>2640</v>
      </c>
      <c r="E196" s="1" t="s">
        <v>2641</v>
      </c>
      <c r="F196" s="1" t="s">
        <v>2642</v>
      </c>
      <c r="H196" s="2" t="s">
        <v>63</v>
      </c>
      <c r="I196" s="2" t="s">
        <v>64</v>
      </c>
      <c r="J196" s="2" t="s">
        <v>63</v>
      </c>
      <c r="K196" s="2" t="s">
        <v>63</v>
      </c>
      <c r="L196" s="2" t="s">
        <v>65</v>
      </c>
      <c r="N196" s="1" t="s">
        <v>2643</v>
      </c>
      <c r="O196" s="2" t="s">
        <v>440</v>
      </c>
      <c r="P196" s="1" t="s">
        <v>961</v>
      </c>
      <c r="Q196" s="2" t="s">
        <v>70</v>
      </c>
      <c r="R196" s="2" t="s">
        <v>2644</v>
      </c>
      <c r="S196" s="1" t="s">
        <v>2645</v>
      </c>
      <c r="T196" s="2" t="s">
        <v>72</v>
      </c>
      <c r="U196" s="3">
        <v>1</v>
      </c>
      <c r="V196" s="3">
        <v>1</v>
      </c>
      <c r="W196" s="4" t="s">
        <v>2646</v>
      </c>
      <c r="X196" s="4" t="s">
        <v>2646</v>
      </c>
      <c r="Y196" s="4" t="s">
        <v>2647</v>
      </c>
      <c r="Z196" s="4" t="s">
        <v>2647</v>
      </c>
      <c r="AA196" s="3">
        <v>15</v>
      </c>
      <c r="AB196" s="3">
        <v>13</v>
      </c>
      <c r="AC196" s="3">
        <v>56</v>
      </c>
      <c r="AD196" s="3">
        <v>1</v>
      </c>
      <c r="AE196" s="3">
        <v>1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2" t="s">
        <v>63</v>
      </c>
      <c r="AS196" s="2" t="s">
        <v>92</v>
      </c>
      <c r="AT196" s="5" t="str">
        <f>HYPERLINK("http://catalog.hathitrust.org/Record/004321156","HathiTrust Record")</f>
        <v>HathiTrust Record</v>
      </c>
      <c r="AU196" s="5" t="str">
        <f>HYPERLINK("https://creighton-primo.hosted.exlibrisgroup.com/primo-explore/search?tab=default_tab&amp;search_scope=EVERYTHING&amp;vid=01CRU&amp;lang=en_US&amp;offset=0&amp;query=any,contains,991000369619702656","Catalog Record")</f>
        <v>Catalog Record</v>
      </c>
      <c r="AV196" s="5" t="str">
        <f>HYPERLINK("http://www.worldcat.org/oclc/52256509","WorldCat Record")</f>
        <v>WorldCat Record</v>
      </c>
      <c r="AW196" s="2" t="s">
        <v>2648</v>
      </c>
      <c r="AX196" s="2" t="s">
        <v>2649</v>
      </c>
      <c r="AY196" s="2" t="s">
        <v>2650</v>
      </c>
      <c r="AZ196" s="2" t="s">
        <v>2650</v>
      </c>
      <c r="BA196" s="2" t="s">
        <v>2651</v>
      </c>
      <c r="BB196" s="2" t="s">
        <v>79</v>
      </c>
      <c r="BD196" s="2" t="s">
        <v>2652</v>
      </c>
      <c r="BE196" s="2" t="s">
        <v>2653</v>
      </c>
      <c r="BF196" s="2" t="s">
        <v>2654</v>
      </c>
    </row>
    <row r="197" spans="1:58" ht="46.5" customHeight="1">
      <c r="A197" s="1"/>
      <c r="B197" s="1" t="s">
        <v>58</v>
      </c>
      <c r="C197" s="1" t="s">
        <v>59</v>
      </c>
      <c r="D197" s="1" t="s">
        <v>2655</v>
      </c>
      <c r="E197" s="1" t="s">
        <v>2656</v>
      </c>
      <c r="F197" s="1" t="s">
        <v>2657</v>
      </c>
      <c r="H197" s="2" t="s">
        <v>63</v>
      </c>
      <c r="I197" s="2" t="s">
        <v>64</v>
      </c>
      <c r="J197" s="2" t="s">
        <v>63</v>
      </c>
      <c r="K197" s="2" t="s">
        <v>63</v>
      </c>
      <c r="L197" s="2" t="s">
        <v>65</v>
      </c>
      <c r="N197" s="1" t="s">
        <v>2658</v>
      </c>
      <c r="O197" s="2" t="s">
        <v>132</v>
      </c>
      <c r="Q197" s="2" t="s">
        <v>70</v>
      </c>
      <c r="R197" s="2" t="s">
        <v>89</v>
      </c>
      <c r="T197" s="2" t="s">
        <v>72</v>
      </c>
      <c r="U197" s="3">
        <v>20</v>
      </c>
      <c r="V197" s="3">
        <v>20</v>
      </c>
      <c r="W197" s="4" t="s">
        <v>2615</v>
      </c>
      <c r="X197" s="4" t="s">
        <v>2615</v>
      </c>
      <c r="Y197" s="4" t="s">
        <v>2659</v>
      </c>
      <c r="Z197" s="4" t="s">
        <v>2659</v>
      </c>
      <c r="AA197" s="3">
        <v>129</v>
      </c>
      <c r="AB197" s="3">
        <v>93</v>
      </c>
      <c r="AC197" s="3">
        <v>96</v>
      </c>
      <c r="AD197" s="3">
        <v>2</v>
      </c>
      <c r="AE197" s="3">
        <v>2</v>
      </c>
      <c r="AF197" s="3">
        <v>1</v>
      </c>
      <c r="AG197" s="3">
        <v>1</v>
      </c>
      <c r="AH197" s="3">
        <v>0</v>
      </c>
      <c r="AI197" s="3">
        <v>0</v>
      </c>
      <c r="AJ197" s="3">
        <v>1</v>
      </c>
      <c r="AK197" s="3">
        <v>1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2" t="s">
        <v>63</v>
      </c>
      <c r="AS197" s="2" t="s">
        <v>92</v>
      </c>
      <c r="AT197" s="5" t="str">
        <f>HYPERLINK("http://catalog.hathitrust.org/Record/002536480","HathiTrust Record")</f>
        <v>HathiTrust Record</v>
      </c>
      <c r="AU197" s="5" t="str">
        <f>HYPERLINK("https://creighton-primo.hosted.exlibrisgroup.com/primo-explore/search?tab=default_tab&amp;search_scope=EVERYTHING&amp;vid=01CRU&amp;lang=en_US&amp;offset=0&amp;query=any,contains,991001302849702656","Catalog Record")</f>
        <v>Catalog Record</v>
      </c>
      <c r="AV197" s="5" t="str">
        <f>HYPERLINK("http://www.worldcat.org/oclc/24504209","WorldCat Record")</f>
        <v>WorldCat Record</v>
      </c>
      <c r="AW197" s="2" t="s">
        <v>2660</v>
      </c>
      <c r="AX197" s="2" t="s">
        <v>2661</v>
      </c>
      <c r="AY197" s="2" t="s">
        <v>2662</v>
      </c>
      <c r="AZ197" s="2" t="s">
        <v>2662</v>
      </c>
      <c r="BA197" s="2" t="s">
        <v>2663</v>
      </c>
      <c r="BB197" s="2" t="s">
        <v>79</v>
      </c>
      <c r="BD197" s="2" t="s">
        <v>2664</v>
      </c>
      <c r="BE197" s="2" t="s">
        <v>2665</v>
      </c>
      <c r="BF197" s="2" t="s">
        <v>2666</v>
      </c>
    </row>
    <row r="198" spans="1:58" ht="46.5" customHeight="1">
      <c r="A198" s="1"/>
      <c r="B198" s="1" t="s">
        <v>58</v>
      </c>
      <c r="C198" s="1" t="s">
        <v>59</v>
      </c>
      <c r="D198" s="1" t="s">
        <v>2667</v>
      </c>
      <c r="E198" s="1" t="s">
        <v>2668</v>
      </c>
      <c r="F198" s="1" t="s">
        <v>2669</v>
      </c>
      <c r="H198" s="2" t="s">
        <v>63</v>
      </c>
      <c r="I198" s="2" t="s">
        <v>64</v>
      </c>
      <c r="J198" s="2" t="s">
        <v>63</v>
      </c>
      <c r="K198" s="2" t="s">
        <v>92</v>
      </c>
      <c r="L198" s="2" t="s">
        <v>117</v>
      </c>
      <c r="N198" s="1" t="s">
        <v>2670</v>
      </c>
      <c r="O198" s="2" t="s">
        <v>275</v>
      </c>
      <c r="Q198" s="2" t="s">
        <v>70</v>
      </c>
      <c r="R198" s="2" t="s">
        <v>133</v>
      </c>
      <c r="T198" s="2" t="s">
        <v>72</v>
      </c>
      <c r="U198" s="3">
        <v>95</v>
      </c>
      <c r="V198" s="3">
        <v>95</v>
      </c>
      <c r="W198" s="4" t="s">
        <v>2671</v>
      </c>
      <c r="X198" s="4" t="s">
        <v>2671</v>
      </c>
      <c r="Y198" s="4" t="s">
        <v>2672</v>
      </c>
      <c r="Z198" s="4" t="s">
        <v>2672</v>
      </c>
      <c r="AA198" s="3">
        <v>80</v>
      </c>
      <c r="AB198" s="3">
        <v>56</v>
      </c>
      <c r="AC198" s="3">
        <v>248</v>
      </c>
      <c r="AD198" s="3">
        <v>1</v>
      </c>
      <c r="AE198" s="3">
        <v>4</v>
      </c>
      <c r="AF198" s="3">
        <v>3</v>
      </c>
      <c r="AG198" s="3">
        <v>11</v>
      </c>
      <c r="AH198" s="3">
        <v>1</v>
      </c>
      <c r="AI198" s="3">
        <v>6</v>
      </c>
      <c r="AJ198" s="3">
        <v>2</v>
      </c>
      <c r="AK198" s="3">
        <v>3</v>
      </c>
      <c r="AL198" s="3">
        <v>0</v>
      </c>
      <c r="AM198" s="3">
        <v>2</v>
      </c>
      <c r="AN198" s="3">
        <v>0</v>
      </c>
      <c r="AO198" s="3">
        <v>2</v>
      </c>
      <c r="AP198" s="3">
        <v>0</v>
      </c>
      <c r="AQ198" s="3">
        <v>0</v>
      </c>
      <c r="AR198" s="2" t="s">
        <v>63</v>
      </c>
      <c r="AS198" s="2" t="s">
        <v>92</v>
      </c>
      <c r="AT198" s="5" t="str">
        <f>HYPERLINK("http://catalog.hathitrust.org/Record/003066062","HathiTrust Record")</f>
        <v>HathiTrust Record</v>
      </c>
      <c r="AU198" s="5" t="str">
        <f>HYPERLINK("https://creighton-primo.hosted.exlibrisgroup.com/primo-explore/search?tab=default_tab&amp;search_scope=EVERYTHING&amp;vid=01CRU&amp;lang=en_US&amp;offset=0&amp;query=any,contains,991000835219702656","Catalog Record")</f>
        <v>Catalog Record</v>
      </c>
      <c r="AV198" s="5" t="str">
        <f>HYPERLINK("http://www.worldcat.org/oclc/34903263","WorldCat Record")</f>
        <v>WorldCat Record</v>
      </c>
      <c r="AW198" s="2" t="s">
        <v>2673</v>
      </c>
      <c r="AX198" s="2" t="s">
        <v>2674</v>
      </c>
      <c r="AY198" s="2" t="s">
        <v>2675</v>
      </c>
      <c r="AZ198" s="2" t="s">
        <v>2675</v>
      </c>
      <c r="BA198" s="2" t="s">
        <v>2676</v>
      </c>
      <c r="BB198" s="2" t="s">
        <v>79</v>
      </c>
      <c r="BD198" s="2" t="s">
        <v>2677</v>
      </c>
      <c r="BE198" s="2" t="s">
        <v>2678</v>
      </c>
      <c r="BF198" s="2" t="s">
        <v>2679</v>
      </c>
    </row>
    <row r="199" spans="1:58" ht="46.5" customHeight="1">
      <c r="A199" s="1"/>
      <c r="B199" s="1" t="s">
        <v>58</v>
      </c>
      <c r="C199" s="1" t="s">
        <v>59</v>
      </c>
      <c r="D199" s="1" t="s">
        <v>2680</v>
      </c>
      <c r="E199" s="1" t="s">
        <v>2681</v>
      </c>
      <c r="F199" s="1" t="s">
        <v>2682</v>
      </c>
      <c r="H199" s="2" t="s">
        <v>63</v>
      </c>
      <c r="I199" s="2" t="s">
        <v>64</v>
      </c>
      <c r="J199" s="2" t="s">
        <v>63</v>
      </c>
      <c r="K199" s="2" t="s">
        <v>63</v>
      </c>
      <c r="L199" s="2" t="s">
        <v>65</v>
      </c>
      <c r="N199" s="1" t="s">
        <v>2683</v>
      </c>
      <c r="O199" s="2" t="s">
        <v>348</v>
      </c>
      <c r="P199" s="1" t="s">
        <v>157</v>
      </c>
      <c r="Q199" s="2" t="s">
        <v>70</v>
      </c>
      <c r="R199" s="2" t="s">
        <v>260</v>
      </c>
      <c r="T199" s="2" t="s">
        <v>72</v>
      </c>
      <c r="U199" s="3">
        <v>16</v>
      </c>
      <c r="V199" s="3">
        <v>16</v>
      </c>
      <c r="W199" s="4" t="s">
        <v>2684</v>
      </c>
      <c r="X199" s="4" t="s">
        <v>2684</v>
      </c>
      <c r="Y199" s="4" t="s">
        <v>2685</v>
      </c>
      <c r="Z199" s="4" t="s">
        <v>2685</v>
      </c>
      <c r="AA199" s="3">
        <v>229</v>
      </c>
      <c r="AB199" s="3">
        <v>177</v>
      </c>
      <c r="AC199" s="3">
        <v>184</v>
      </c>
      <c r="AD199" s="3">
        <v>2</v>
      </c>
      <c r="AE199" s="3">
        <v>2</v>
      </c>
      <c r="AF199" s="3">
        <v>4</v>
      </c>
      <c r="AG199" s="3">
        <v>4</v>
      </c>
      <c r="AH199" s="3">
        <v>1</v>
      </c>
      <c r="AI199" s="3">
        <v>1</v>
      </c>
      <c r="AJ199" s="3">
        <v>1</v>
      </c>
      <c r="AK199" s="3">
        <v>1</v>
      </c>
      <c r="AL199" s="3">
        <v>1</v>
      </c>
      <c r="AM199" s="3">
        <v>1</v>
      </c>
      <c r="AN199" s="3">
        <v>1</v>
      </c>
      <c r="AO199" s="3">
        <v>1</v>
      </c>
      <c r="AP199" s="3">
        <v>0</v>
      </c>
      <c r="AQ199" s="3">
        <v>0</v>
      </c>
      <c r="AR199" s="2" t="s">
        <v>63</v>
      </c>
      <c r="AS199" s="2" t="s">
        <v>92</v>
      </c>
      <c r="AT199" s="5" t="str">
        <f>HYPERLINK("http://catalog.hathitrust.org/Record/003984876","HathiTrust Record")</f>
        <v>HathiTrust Record</v>
      </c>
      <c r="AU199" s="5" t="str">
        <f>HYPERLINK("https://creighton-primo.hosted.exlibrisgroup.com/primo-explore/search?tab=default_tab&amp;search_scope=EVERYTHING&amp;vid=01CRU&amp;lang=en_US&amp;offset=0&amp;query=any,contains,991001562689702656","Catalog Record")</f>
        <v>Catalog Record</v>
      </c>
      <c r="AV199" s="5" t="str">
        <f>HYPERLINK("http://www.worldcat.org/oclc/38562329","WorldCat Record")</f>
        <v>WorldCat Record</v>
      </c>
      <c r="AW199" s="2" t="s">
        <v>2686</v>
      </c>
      <c r="AX199" s="2" t="s">
        <v>2687</v>
      </c>
      <c r="AY199" s="2" t="s">
        <v>2688</v>
      </c>
      <c r="AZ199" s="2" t="s">
        <v>2688</v>
      </c>
      <c r="BA199" s="2" t="s">
        <v>2689</v>
      </c>
      <c r="BB199" s="2" t="s">
        <v>79</v>
      </c>
      <c r="BD199" s="2" t="s">
        <v>2690</v>
      </c>
      <c r="BE199" s="2" t="s">
        <v>2691</v>
      </c>
      <c r="BF199" s="2" t="s">
        <v>2692</v>
      </c>
    </row>
    <row r="200" spans="1:58" ht="46.5" customHeight="1">
      <c r="A200" s="1"/>
      <c r="B200" s="1" t="s">
        <v>58</v>
      </c>
      <c r="C200" s="1" t="s">
        <v>59</v>
      </c>
      <c r="D200" s="1" t="s">
        <v>2693</v>
      </c>
      <c r="E200" s="1" t="s">
        <v>2694</v>
      </c>
      <c r="F200" s="1" t="s">
        <v>2695</v>
      </c>
      <c r="H200" s="2" t="s">
        <v>63</v>
      </c>
      <c r="I200" s="2" t="s">
        <v>64</v>
      </c>
      <c r="J200" s="2" t="s">
        <v>63</v>
      </c>
      <c r="K200" s="2" t="s">
        <v>63</v>
      </c>
      <c r="L200" s="2" t="s">
        <v>65</v>
      </c>
      <c r="N200" s="1" t="s">
        <v>197</v>
      </c>
      <c r="O200" s="2" t="s">
        <v>198</v>
      </c>
      <c r="Q200" s="2" t="s">
        <v>70</v>
      </c>
      <c r="R200" s="2" t="s">
        <v>89</v>
      </c>
      <c r="T200" s="2" t="s">
        <v>72</v>
      </c>
      <c r="U200" s="3">
        <v>4</v>
      </c>
      <c r="V200" s="3">
        <v>4</v>
      </c>
      <c r="W200" s="4" t="s">
        <v>2696</v>
      </c>
      <c r="X200" s="4" t="s">
        <v>2696</v>
      </c>
      <c r="Y200" s="4" t="s">
        <v>2697</v>
      </c>
      <c r="Z200" s="4" t="s">
        <v>2697</v>
      </c>
      <c r="AA200" s="3">
        <v>40</v>
      </c>
      <c r="AB200" s="3">
        <v>32</v>
      </c>
      <c r="AC200" s="3">
        <v>32</v>
      </c>
      <c r="AD200" s="3">
        <v>1</v>
      </c>
      <c r="AE200" s="3">
        <v>1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2" t="s">
        <v>63</v>
      </c>
      <c r="AS200" s="2" t="s">
        <v>63</v>
      </c>
      <c r="AU200" s="5" t="str">
        <f>HYPERLINK("https://creighton-primo.hosted.exlibrisgroup.com/primo-explore/search?tab=default_tab&amp;search_scope=EVERYTHING&amp;vid=01CRU&amp;lang=en_US&amp;offset=0&amp;query=any,contains,991001303949702656","Catalog Record")</f>
        <v>Catalog Record</v>
      </c>
      <c r="AV200" s="5" t="str">
        <f>HYPERLINK("http://www.worldcat.org/oclc/22381554","WorldCat Record")</f>
        <v>WorldCat Record</v>
      </c>
      <c r="AW200" s="2" t="s">
        <v>2698</v>
      </c>
      <c r="AX200" s="2" t="s">
        <v>2699</v>
      </c>
      <c r="AY200" s="2" t="s">
        <v>2700</v>
      </c>
      <c r="AZ200" s="2" t="s">
        <v>2700</v>
      </c>
      <c r="BA200" s="2" t="s">
        <v>2701</v>
      </c>
      <c r="BB200" s="2" t="s">
        <v>79</v>
      </c>
      <c r="BD200" s="2" t="s">
        <v>2702</v>
      </c>
      <c r="BE200" s="2" t="s">
        <v>2703</v>
      </c>
      <c r="BF200" s="2" t="s">
        <v>2704</v>
      </c>
    </row>
    <row r="201" spans="1:58" ht="46.5" customHeight="1">
      <c r="A201" s="1"/>
      <c r="B201" s="1" t="s">
        <v>58</v>
      </c>
      <c r="C201" s="1" t="s">
        <v>59</v>
      </c>
      <c r="D201" s="1" t="s">
        <v>2705</v>
      </c>
      <c r="E201" s="1" t="s">
        <v>2706</v>
      </c>
      <c r="F201" s="1" t="s">
        <v>2707</v>
      </c>
      <c r="H201" s="2" t="s">
        <v>63</v>
      </c>
      <c r="I201" s="2" t="s">
        <v>64</v>
      </c>
      <c r="J201" s="2" t="s">
        <v>63</v>
      </c>
      <c r="K201" s="2" t="s">
        <v>92</v>
      </c>
      <c r="L201" s="2" t="s">
        <v>65</v>
      </c>
      <c r="N201" s="1" t="s">
        <v>2708</v>
      </c>
      <c r="O201" s="2" t="s">
        <v>292</v>
      </c>
      <c r="P201" s="1" t="s">
        <v>2709</v>
      </c>
      <c r="Q201" s="2" t="s">
        <v>70</v>
      </c>
      <c r="R201" s="2" t="s">
        <v>89</v>
      </c>
      <c r="T201" s="2" t="s">
        <v>72</v>
      </c>
      <c r="U201" s="3">
        <v>64</v>
      </c>
      <c r="V201" s="3">
        <v>64</v>
      </c>
      <c r="W201" s="4" t="s">
        <v>2710</v>
      </c>
      <c r="X201" s="4" t="s">
        <v>2710</v>
      </c>
      <c r="Y201" s="4" t="s">
        <v>2711</v>
      </c>
      <c r="Z201" s="4" t="s">
        <v>2711</v>
      </c>
      <c r="AA201" s="3">
        <v>106</v>
      </c>
      <c r="AB201" s="3">
        <v>78</v>
      </c>
      <c r="AC201" s="3">
        <v>314</v>
      </c>
      <c r="AD201" s="3">
        <v>1</v>
      </c>
      <c r="AE201" s="3">
        <v>2</v>
      </c>
      <c r="AF201" s="3">
        <v>0</v>
      </c>
      <c r="AG201" s="3">
        <v>6</v>
      </c>
      <c r="AH201" s="3">
        <v>0</v>
      </c>
      <c r="AI201" s="3">
        <v>4</v>
      </c>
      <c r="AJ201" s="3">
        <v>0</v>
      </c>
      <c r="AK201" s="3">
        <v>1</v>
      </c>
      <c r="AL201" s="3">
        <v>0</v>
      </c>
      <c r="AM201" s="3">
        <v>2</v>
      </c>
      <c r="AN201" s="3">
        <v>0</v>
      </c>
      <c r="AO201" s="3">
        <v>1</v>
      </c>
      <c r="AP201" s="3">
        <v>0</v>
      </c>
      <c r="AQ201" s="3">
        <v>0</v>
      </c>
      <c r="AR201" s="2" t="s">
        <v>63</v>
      </c>
      <c r="AS201" s="2" t="s">
        <v>92</v>
      </c>
      <c r="AT201" s="5" t="str">
        <f>HYPERLINK("http://catalog.hathitrust.org/Record/000925102","HathiTrust Record")</f>
        <v>HathiTrust Record</v>
      </c>
      <c r="AU201" s="5" t="str">
        <f>HYPERLINK("https://creighton-primo.hosted.exlibrisgroup.com/primo-explore/search?tab=default_tab&amp;search_scope=EVERYTHING&amp;vid=01CRU&amp;lang=en_US&amp;offset=0&amp;query=any,contains,991001416529702656","Catalog Record")</f>
        <v>Catalog Record</v>
      </c>
      <c r="AV201" s="5" t="str">
        <f>HYPERLINK("http://www.worldcat.org/oclc/17805418","WorldCat Record")</f>
        <v>WorldCat Record</v>
      </c>
      <c r="AW201" s="2" t="s">
        <v>2712</v>
      </c>
      <c r="AX201" s="2" t="s">
        <v>2713</v>
      </c>
      <c r="AY201" s="2" t="s">
        <v>2714</v>
      </c>
      <c r="AZ201" s="2" t="s">
        <v>2714</v>
      </c>
      <c r="BA201" s="2" t="s">
        <v>2715</v>
      </c>
      <c r="BB201" s="2" t="s">
        <v>79</v>
      </c>
      <c r="BD201" s="2" t="s">
        <v>2716</v>
      </c>
      <c r="BE201" s="2" t="s">
        <v>2717</v>
      </c>
      <c r="BF201" s="2" t="s">
        <v>2718</v>
      </c>
    </row>
    <row r="202" spans="1:58" ht="46.5" customHeight="1">
      <c r="A202" s="1"/>
      <c r="B202" s="1" t="s">
        <v>58</v>
      </c>
      <c r="C202" s="1" t="s">
        <v>59</v>
      </c>
      <c r="D202" s="1" t="s">
        <v>2719</v>
      </c>
      <c r="E202" s="1" t="s">
        <v>2720</v>
      </c>
      <c r="F202" s="1" t="s">
        <v>2721</v>
      </c>
      <c r="H202" s="2" t="s">
        <v>63</v>
      </c>
      <c r="I202" s="2" t="s">
        <v>64</v>
      </c>
      <c r="J202" s="2" t="s">
        <v>63</v>
      </c>
      <c r="K202" s="2" t="s">
        <v>92</v>
      </c>
      <c r="L202" s="2" t="s">
        <v>65</v>
      </c>
      <c r="N202" s="1" t="s">
        <v>2722</v>
      </c>
      <c r="O202" s="2" t="s">
        <v>608</v>
      </c>
      <c r="P202" s="1" t="s">
        <v>1228</v>
      </c>
      <c r="Q202" s="2" t="s">
        <v>70</v>
      </c>
      <c r="R202" s="2" t="s">
        <v>892</v>
      </c>
      <c r="T202" s="2" t="s">
        <v>72</v>
      </c>
      <c r="U202" s="3">
        <v>21</v>
      </c>
      <c r="V202" s="3">
        <v>21</v>
      </c>
      <c r="W202" s="4" t="s">
        <v>2723</v>
      </c>
      <c r="X202" s="4" t="s">
        <v>2723</v>
      </c>
      <c r="Y202" s="4" t="s">
        <v>2724</v>
      </c>
      <c r="Z202" s="4" t="s">
        <v>2724</v>
      </c>
      <c r="AA202" s="3">
        <v>79</v>
      </c>
      <c r="AB202" s="3">
        <v>64</v>
      </c>
      <c r="AC202" s="3">
        <v>314</v>
      </c>
      <c r="AD202" s="3">
        <v>1</v>
      </c>
      <c r="AE202" s="3">
        <v>2</v>
      </c>
      <c r="AF202" s="3">
        <v>1</v>
      </c>
      <c r="AG202" s="3">
        <v>6</v>
      </c>
      <c r="AH202" s="3">
        <v>1</v>
      </c>
      <c r="AI202" s="3">
        <v>4</v>
      </c>
      <c r="AJ202" s="3">
        <v>0</v>
      </c>
      <c r="AK202" s="3">
        <v>1</v>
      </c>
      <c r="AL202" s="3">
        <v>0</v>
      </c>
      <c r="AM202" s="3">
        <v>2</v>
      </c>
      <c r="AN202" s="3">
        <v>0</v>
      </c>
      <c r="AO202" s="3">
        <v>1</v>
      </c>
      <c r="AP202" s="3">
        <v>0</v>
      </c>
      <c r="AQ202" s="3">
        <v>0</v>
      </c>
      <c r="AR202" s="2" t="s">
        <v>63</v>
      </c>
      <c r="AS202" s="2" t="s">
        <v>92</v>
      </c>
      <c r="AT202" s="5" t="str">
        <f>HYPERLINK("http://catalog.hathitrust.org/Record/002593537","HathiTrust Record")</f>
        <v>HathiTrust Record</v>
      </c>
      <c r="AU202" s="5" t="str">
        <f>HYPERLINK("https://creighton-primo.hosted.exlibrisgroup.com/primo-explore/search?tab=default_tab&amp;search_scope=EVERYTHING&amp;vid=01CRU&amp;lang=en_US&amp;offset=0&amp;query=any,contains,991001434779702656","Catalog Record")</f>
        <v>Catalog Record</v>
      </c>
      <c r="AV202" s="5" t="str">
        <f>HYPERLINK("http://www.worldcat.org/oclc/26396582","WorldCat Record")</f>
        <v>WorldCat Record</v>
      </c>
      <c r="AW202" s="2" t="s">
        <v>2712</v>
      </c>
      <c r="AX202" s="2" t="s">
        <v>2725</v>
      </c>
      <c r="AY202" s="2" t="s">
        <v>2726</v>
      </c>
      <c r="AZ202" s="2" t="s">
        <v>2726</v>
      </c>
      <c r="BA202" s="2" t="s">
        <v>2727</v>
      </c>
      <c r="BB202" s="2" t="s">
        <v>79</v>
      </c>
      <c r="BD202" s="2" t="s">
        <v>2728</v>
      </c>
      <c r="BE202" s="2" t="s">
        <v>2729</v>
      </c>
      <c r="BF202" s="2" t="s">
        <v>2730</v>
      </c>
    </row>
    <row r="203" spans="1:58" ht="46.5" customHeight="1">
      <c r="A203" s="1"/>
      <c r="B203" s="1" t="s">
        <v>58</v>
      </c>
      <c r="C203" s="1" t="s">
        <v>59</v>
      </c>
      <c r="D203" s="1" t="s">
        <v>2731</v>
      </c>
      <c r="E203" s="1" t="s">
        <v>2732</v>
      </c>
      <c r="F203" s="1" t="s">
        <v>2733</v>
      </c>
      <c r="H203" s="2" t="s">
        <v>63</v>
      </c>
      <c r="I203" s="2" t="s">
        <v>64</v>
      </c>
      <c r="J203" s="2" t="s">
        <v>63</v>
      </c>
      <c r="K203" s="2" t="s">
        <v>63</v>
      </c>
      <c r="L203" s="2" t="s">
        <v>64</v>
      </c>
      <c r="N203" s="1" t="s">
        <v>2734</v>
      </c>
      <c r="O203" s="2" t="s">
        <v>484</v>
      </c>
      <c r="Q203" s="2" t="s">
        <v>70</v>
      </c>
      <c r="R203" s="2" t="s">
        <v>1739</v>
      </c>
      <c r="S203" s="1" t="s">
        <v>2735</v>
      </c>
      <c r="T203" s="2" t="s">
        <v>72</v>
      </c>
      <c r="U203" s="3">
        <v>1</v>
      </c>
      <c r="V203" s="3">
        <v>1</v>
      </c>
      <c r="W203" s="4" t="s">
        <v>2736</v>
      </c>
      <c r="X203" s="4" t="s">
        <v>2736</v>
      </c>
      <c r="Y203" s="4" t="s">
        <v>2736</v>
      </c>
      <c r="Z203" s="4" t="s">
        <v>2736</v>
      </c>
      <c r="AA203" s="3">
        <v>222</v>
      </c>
      <c r="AB203" s="3">
        <v>153</v>
      </c>
      <c r="AC203" s="3">
        <v>518</v>
      </c>
      <c r="AD203" s="3">
        <v>2</v>
      </c>
      <c r="AE203" s="3">
        <v>3</v>
      </c>
      <c r="AF203" s="3">
        <v>6</v>
      </c>
      <c r="AG203" s="3">
        <v>17</v>
      </c>
      <c r="AH203" s="3">
        <v>2</v>
      </c>
      <c r="AI203" s="3">
        <v>9</v>
      </c>
      <c r="AJ203" s="3">
        <v>3</v>
      </c>
      <c r="AK203" s="3">
        <v>5</v>
      </c>
      <c r="AL203" s="3">
        <v>0</v>
      </c>
      <c r="AM203" s="3">
        <v>6</v>
      </c>
      <c r="AN203" s="3">
        <v>1</v>
      </c>
      <c r="AO203" s="3">
        <v>1</v>
      </c>
      <c r="AP203" s="3">
        <v>0</v>
      </c>
      <c r="AQ203" s="3">
        <v>0</v>
      </c>
      <c r="AR203" s="2" t="s">
        <v>63</v>
      </c>
      <c r="AS203" s="2" t="s">
        <v>92</v>
      </c>
      <c r="AT203" s="5" t="str">
        <f>HYPERLINK("http://catalog.hathitrust.org/Record/004731892","HathiTrust Record")</f>
        <v>HathiTrust Record</v>
      </c>
      <c r="AU203" s="5" t="str">
        <f>HYPERLINK("https://creighton-primo.hosted.exlibrisgroup.com/primo-explore/search?tab=default_tab&amp;search_scope=EVERYTHING&amp;vid=01CRU&amp;lang=en_US&amp;offset=0&amp;query=any,contains,991000446459702656","Catalog Record")</f>
        <v>Catalog Record</v>
      </c>
      <c r="AV203" s="5" t="str">
        <f>HYPERLINK("http://www.worldcat.org/oclc/53091284","WorldCat Record")</f>
        <v>WorldCat Record</v>
      </c>
      <c r="AW203" s="2" t="s">
        <v>2737</v>
      </c>
      <c r="AX203" s="2" t="s">
        <v>2738</v>
      </c>
      <c r="AY203" s="2" t="s">
        <v>2739</v>
      </c>
      <c r="AZ203" s="2" t="s">
        <v>2739</v>
      </c>
      <c r="BA203" s="2" t="s">
        <v>2740</v>
      </c>
      <c r="BB203" s="2" t="s">
        <v>79</v>
      </c>
      <c r="BD203" s="2" t="s">
        <v>2741</v>
      </c>
      <c r="BE203" s="2" t="s">
        <v>2742</v>
      </c>
      <c r="BF203" s="2" t="s">
        <v>2743</v>
      </c>
    </row>
    <row r="204" spans="1:58" ht="46.5" customHeight="1">
      <c r="A204" s="1"/>
      <c r="B204" s="1" t="s">
        <v>58</v>
      </c>
      <c r="C204" s="1" t="s">
        <v>59</v>
      </c>
      <c r="D204" s="1" t="s">
        <v>2744</v>
      </c>
      <c r="E204" s="1" t="s">
        <v>2745</v>
      </c>
      <c r="F204" s="1" t="s">
        <v>2746</v>
      </c>
      <c r="H204" s="2" t="s">
        <v>63</v>
      </c>
      <c r="I204" s="2" t="s">
        <v>64</v>
      </c>
      <c r="J204" s="2" t="s">
        <v>63</v>
      </c>
      <c r="K204" s="2" t="s">
        <v>63</v>
      </c>
      <c r="L204" s="2" t="s">
        <v>65</v>
      </c>
      <c r="N204" s="1" t="s">
        <v>2747</v>
      </c>
      <c r="O204" s="2" t="s">
        <v>132</v>
      </c>
      <c r="Q204" s="2" t="s">
        <v>70</v>
      </c>
      <c r="R204" s="2" t="s">
        <v>260</v>
      </c>
      <c r="T204" s="2" t="s">
        <v>72</v>
      </c>
      <c r="U204" s="3">
        <v>8</v>
      </c>
      <c r="V204" s="3">
        <v>8</v>
      </c>
      <c r="W204" s="4" t="s">
        <v>2748</v>
      </c>
      <c r="X204" s="4" t="s">
        <v>2748</v>
      </c>
      <c r="Y204" s="4" t="s">
        <v>2748</v>
      </c>
      <c r="Z204" s="4" t="s">
        <v>2748</v>
      </c>
      <c r="AA204" s="3">
        <v>82</v>
      </c>
      <c r="AB204" s="3">
        <v>71</v>
      </c>
      <c r="AC204" s="3">
        <v>73</v>
      </c>
      <c r="AD204" s="3">
        <v>1</v>
      </c>
      <c r="AE204" s="3">
        <v>1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2" t="s">
        <v>63</v>
      </c>
      <c r="AS204" s="2" t="s">
        <v>92</v>
      </c>
      <c r="AT204" s="5" t="str">
        <f>HYPERLINK("http://catalog.hathitrust.org/Record/002604096","HathiTrust Record")</f>
        <v>HathiTrust Record</v>
      </c>
      <c r="AU204" s="5" t="str">
        <f>HYPERLINK("https://creighton-primo.hosted.exlibrisgroup.com/primo-explore/search?tab=default_tab&amp;search_scope=EVERYTHING&amp;vid=01CRU&amp;lang=en_US&amp;offset=0&amp;query=any,contains,991001352309702656","Catalog Record")</f>
        <v>Catalog Record</v>
      </c>
      <c r="AV204" s="5" t="str">
        <f>HYPERLINK("http://www.worldcat.org/oclc/24792441","WorldCat Record")</f>
        <v>WorldCat Record</v>
      </c>
      <c r="AW204" s="2" t="s">
        <v>2749</v>
      </c>
      <c r="AX204" s="2" t="s">
        <v>2750</v>
      </c>
      <c r="AY204" s="2" t="s">
        <v>2751</v>
      </c>
      <c r="AZ204" s="2" t="s">
        <v>2751</v>
      </c>
      <c r="BA204" s="2" t="s">
        <v>2752</v>
      </c>
      <c r="BB204" s="2" t="s">
        <v>79</v>
      </c>
      <c r="BD204" s="2" t="s">
        <v>2753</v>
      </c>
      <c r="BE204" s="2" t="s">
        <v>2754</v>
      </c>
      <c r="BF204" s="2" t="s">
        <v>2755</v>
      </c>
    </row>
    <row r="205" spans="1:58" ht="46.5" customHeight="1">
      <c r="A205" s="1"/>
      <c r="B205" s="1" t="s">
        <v>58</v>
      </c>
      <c r="C205" s="1" t="s">
        <v>59</v>
      </c>
      <c r="D205" s="1" t="s">
        <v>2756</v>
      </c>
      <c r="E205" s="1" t="s">
        <v>2757</v>
      </c>
      <c r="F205" s="1" t="s">
        <v>2758</v>
      </c>
      <c r="H205" s="2" t="s">
        <v>63</v>
      </c>
      <c r="I205" s="2" t="s">
        <v>64</v>
      </c>
      <c r="J205" s="2" t="s">
        <v>63</v>
      </c>
      <c r="K205" s="2" t="s">
        <v>63</v>
      </c>
      <c r="L205" s="2" t="s">
        <v>65</v>
      </c>
      <c r="M205" s="1" t="s">
        <v>2759</v>
      </c>
      <c r="N205" s="1" t="s">
        <v>2760</v>
      </c>
      <c r="O205" s="2" t="s">
        <v>132</v>
      </c>
      <c r="P205" s="1" t="s">
        <v>376</v>
      </c>
      <c r="Q205" s="2" t="s">
        <v>70</v>
      </c>
      <c r="R205" s="2" t="s">
        <v>555</v>
      </c>
      <c r="T205" s="2" t="s">
        <v>72</v>
      </c>
      <c r="U205" s="3">
        <v>2</v>
      </c>
      <c r="V205" s="3">
        <v>2</v>
      </c>
      <c r="W205" s="4" t="s">
        <v>2761</v>
      </c>
      <c r="X205" s="4" t="s">
        <v>2761</v>
      </c>
      <c r="Y205" s="4" t="s">
        <v>2761</v>
      </c>
      <c r="Z205" s="4" t="s">
        <v>2761</v>
      </c>
      <c r="AA205" s="3">
        <v>74</v>
      </c>
      <c r="AB205" s="3">
        <v>40</v>
      </c>
      <c r="AC205" s="3">
        <v>45</v>
      </c>
      <c r="AD205" s="3">
        <v>1</v>
      </c>
      <c r="AE205" s="3">
        <v>1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2" t="s">
        <v>63</v>
      </c>
      <c r="AS205" s="2" t="s">
        <v>63</v>
      </c>
      <c r="AU205" s="5" t="str">
        <f>HYPERLINK("https://creighton-primo.hosted.exlibrisgroup.com/primo-explore/search?tab=default_tab&amp;search_scope=EVERYTHING&amp;vid=01CRU&amp;lang=en_US&amp;offset=0&amp;query=any,contains,991001036039702656","Catalog Record")</f>
        <v>Catalog Record</v>
      </c>
      <c r="AV205" s="5" t="str">
        <f>HYPERLINK("http://www.worldcat.org/oclc/24373246","WorldCat Record")</f>
        <v>WorldCat Record</v>
      </c>
      <c r="AW205" s="2" t="s">
        <v>2762</v>
      </c>
      <c r="AX205" s="2" t="s">
        <v>2763</v>
      </c>
      <c r="AY205" s="2" t="s">
        <v>2764</v>
      </c>
      <c r="AZ205" s="2" t="s">
        <v>2764</v>
      </c>
      <c r="BA205" s="2" t="s">
        <v>2765</v>
      </c>
      <c r="BB205" s="2" t="s">
        <v>79</v>
      </c>
      <c r="BD205" s="2" t="s">
        <v>2766</v>
      </c>
      <c r="BE205" s="2" t="s">
        <v>2767</v>
      </c>
      <c r="BF205" s="2" t="s">
        <v>2768</v>
      </c>
    </row>
    <row r="206" spans="1:58" ht="46.5" customHeight="1">
      <c r="A206" s="1"/>
      <c r="B206" s="1" t="s">
        <v>58</v>
      </c>
      <c r="C206" s="1" t="s">
        <v>59</v>
      </c>
      <c r="D206" s="1" t="s">
        <v>2769</v>
      </c>
      <c r="E206" s="1" t="s">
        <v>2770</v>
      </c>
      <c r="F206" s="1" t="s">
        <v>2771</v>
      </c>
      <c r="H206" s="2" t="s">
        <v>63</v>
      </c>
      <c r="I206" s="2" t="s">
        <v>64</v>
      </c>
      <c r="J206" s="2" t="s">
        <v>63</v>
      </c>
      <c r="K206" s="2" t="s">
        <v>63</v>
      </c>
      <c r="L206" s="2" t="s">
        <v>65</v>
      </c>
      <c r="M206" s="1" t="s">
        <v>2772</v>
      </c>
      <c r="N206" s="1" t="s">
        <v>2773</v>
      </c>
      <c r="O206" s="2" t="s">
        <v>454</v>
      </c>
      <c r="Q206" s="2" t="s">
        <v>70</v>
      </c>
      <c r="R206" s="2" t="s">
        <v>260</v>
      </c>
      <c r="T206" s="2" t="s">
        <v>72</v>
      </c>
      <c r="U206" s="3">
        <v>3</v>
      </c>
      <c r="V206" s="3">
        <v>3</v>
      </c>
      <c r="W206" s="4" t="s">
        <v>2774</v>
      </c>
      <c r="X206" s="4" t="s">
        <v>2774</v>
      </c>
      <c r="Y206" s="4" t="s">
        <v>2775</v>
      </c>
      <c r="Z206" s="4" t="s">
        <v>2775</v>
      </c>
      <c r="AA206" s="3">
        <v>93</v>
      </c>
      <c r="AB206" s="3">
        <v>70</v>
      </c>
      <c r="AC206" s="3">
        <v>96</v>
      </c>
      <c r="AD206" s="3">
        <v>1</v>
      </c>
      <c r="AE206" s="3">
        <v>1</v>
      </c>
      <c r="AF206" s="3">
        <v>0</v>
      </c>
      <c r="AG206" s="3">
        <v>1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1</v>
      </c>
      <c r="AN206" s="3">
        <v>0</v>
      </c>
      <c r="AO206" s="3">
        <v>0</v>
      </c>
      <c r="AP206" s="3">
        <v>0</v>
      </c>
      <c r="AQ206" s="3">
        <v>0</v>
      </c>
      <c r="AR206" s="2" t="s">
        <v>63</v>
      </c>
      <c r="AS206" s="2" t="s">
        <v>63</v>
      </c>
      <c r="AU206" s="5" t="str">
        <f>HYPERLINK("https://creighton-primo.hosted.exlibrisgroup.com/primo-explore/search?tab=default_tab&amp;search_scope=EVERYTHING&amp;vid=01CRU&amp;lang=en_US&amp;offset=0&amp;query=any,contains,991001457459702656","Catalog Record")</f>
        <v>Catalog Record</v>
      </c>
      <c r="AV206" s="5" t="str">
        <f>HYPERLINK("http://www.worldcat.org/oclc/181600919","WorldCat Record")</f>
        <v>WorldCat Record</v>
      </c>
      <c r="AW206" s="2" t="s">
        <v>2776</v>
      </c>
      <c r="AX206" s="2" t="s">
        <v>2777</v>
      </c>
      <c r="AY206" s="2" t="s">
        <v>2778</v>
      </c>
      <c r="AZ206" s="2" t="s">
        <v>2778</v>
      </c>
      <c r="BA206" s="2" t="s">
        <v>2779</v>
      </c>
      <c r="BB206" s="2" t="s">
        <v>79</v>
      </c>
      <c r="BD206" s="2" t="s">
        <v>2780</v>
      </c>
      <c r="BE206" s="2" t="s">
        <v>2781</v>
      </c>
      <c r="BF206" s="2" t="s">
        <v>2782</v>
      </c>
    </row>
    <row r="207" spans="1:58" ht="46.5" customHeight="1">
      <c r="A207" s="1"/>
      <c r="B207" s="1" t="s">
        <v>58</v>
      </c>
      <c r="C207" s="1" t="s">
        <v>59</v>
      </c>
      <c r="D207" s="1" t="s">
        <v>2783</v>
      </c>
      <c r="E207" s="1" t="s">
        <v>2784</v>
      </c>
      <c r="F207" s="1" t="s">
        <v>2785</v>
      </c>
      <c r="H207" s="2" t="s">
        <v>63</v>
      </c>
      <c r="I207" s="2" t="s">
        <v>64</v>
      </c>
      <c r="J207" s="2" t="s">
        <v>63</v>
      </c>
      <c r="K207" s="2" t="s">
        <v>63</v>
      </c>
      <c r="L207" s="2" t="s">
        <v>65</v>
      </c>
      <c r="M207" s="1" t="s">
        <v>2786</v>
      </c>
      <c r="N207" s="1" t="s">
        <v>2787</v>
      </c>
      <c r="O207" s="2" t="s">
        <v>198</v>
      </c>
      <c r="P207" s="1" t="s">
        <v>157</v>
      </c>
      <c r="Q207" s="2" t="s">
        <v>70</v>
      </c>
      <c r="R207" s="2" t="s">
        <v>277</v>
      </c>
      <c r="T207" s="2" t="s">
        <v>72</v>
      </c>
      <c r="U207" s="3">
        <v>4</v>
      </c>
      <c r="V207" s="3">
        <v>4</v>
      </c>
      <c r="W207" s="4" t="s">
        <v>2788</v>
      </c>
      <c r="X207" s="4" t="s">
        <v>2788</v>
      </c>
      <c r="Y207" s="4" t="s">
        <v>2789</v>
      </c>
      <c r="Z207" s="4" t="s">
        <v>2789</v>
      </c>
      <c r="AA207" s="3">
        <v>355</v>
      </c>
      <c r="AB207" s="3">
        <v>284</v>
      </c>
      <c r="AC207" s="3">
        <v>1519</v>
      </c>
      <c r="AD207" s="3">
        <v>1</v>
      </c>
      <c r="AE207" s="3">
        <v>5</v>
      </c>
      <c r="AF207" s="3">
        <v>1</v>
      </c>
      <c r="AG207" s="3">
        <v>27</v>
      </c>
      <c r="AH207" s="3">
        <v>0</v>
      </c>
      <c r="AI207" s="3">
        <v>10</v>
      </c>
      <c r="AJ207" s="3">
        <v>0</v>
      </c>
      <c r="AK207" s="3">
        <v>5</v>
      </c>
      <c r="AL207" s="3">
        <v>1</v>
      </c>
      <c r="AM207" s="3">
        <v>14</v>
      </c>
      <c r="AN207" s="3">
        <v>0</v>
      </c>
      <c r="AO207" s="3">
        <v>3</v>
      </c>
      <c r="AP207" s="3">
        <v>0</v>
      </c>
      <c r="AQ207" s="3">
        <v>0</v>
      </c>
      <c r="AR207" s="2" t="s">
        <v>63</v>
      </c>
      <c r="AS207" s="2" t="s">
        <v>92</v>
      </c>
      <c r="AT207" s="5" t="str">
        <f>HYPERLINK("http://catalog.hathitrust.org/Record/002238722","HathiTrust Record")</f>
        <v>HathiTrust Record</v>
      </c>
      <c r="AU207" s="5" t="str">
        <f>HYPERLINK("https://creighton-primo.hosted.exlibrisgroup.com/primo-explore/search?tab=default_tab&amp;search_scope=EVERYTHING&amp;vid=01CRU&amp;lang=en_US&amp;offset=0&amp;query=any,contains,991001347459702656","Catalog Record")</f>
        <v>Catalog Record</v>
      </c>
      <c r="AV207" s="5" t="str">
        <f>HYPERLINK("http://www.worldcat.org/oclc/22451060","WorldCat Record")</f>
        <v>WorldCat Record</v>
      </c>
      <c r="AW207" s="2" t="s">
        <v>2790</v>
      </c>
      <c r="AX207" s="2" t="s">
        <v>2791</v>
      </c>
      <c r="AY207" s="2" t="s">
        <v>2792</v>
      </c>
      <c r="AZ207" s="2" t="s">
        <v>2792</v>
      </c>
      <c r="BA207" s="2" t="s">
        <v>2793</v>
      </c>
      <c r="BB207" s="2" t="s">
        <v>79</v>
      </c>
      <c r="BD207" s="2" t="s">
        <v>2794</v>
      </c>
      <c r="BE207" s="2" t="s">
        <v>2795</v>
      </c>
      <c r="BF207" s="2" t="s">
        <v>2796</v>
      </c>
    </row>
    <row r="208" spans="1:58" ht="46.5" customHeight="1">
      <c r="A208" s="1"/>
      <c r="B208" s="1" t="s">
        <v>58</v>
      </c>
      <c r="C208" s="1" t="s">
        <v>59</v>
      </c>
      <c r="D208" s="1" t="s">
        <v>2797</v>
      </c>
      <c r="E208" s="1" t="s">
        <v>2798</v>
      </c>
      <c r="F208" s="1" t="s">
        <v>2799</v>
      </c>
      <c r="H208" s="2" t="s">
        <v>63</v>
      </c>
      <c r="I208" s="2" t="s">
        <v>64</v>
      </c>
      <c r="J208" s="2" t="s">
        <v>63</v>
      </c>
      <c r="K208" s="2" t="s">
        <v>63</v>
      </c>
      <c r="L208" s="2" t="s">
        <v>65</v>
      </c>
      <c r="M208" s="1" t="s">
        <v>2800</v>
      </c>
      <c r="N208" s="1" t="s">
        <v>2801</v>
      </c>
      <c r="O208" s="2" t="s">
        <v>87</v>
      </c>
      <c r="P208" s="1" t="s">
        <v>105</v>
      </c>
      <c r="Q208" s="2" t="s">
        <v>70</v>
      </c>
      <c r="R208" s="2" t="s">
        <v>89</v>
      </c>
      <c r="T208" s="2" t="s">
        <v>72</v>
      </c>
      <c r="U208" s="3">
        <v>6</v>
      </c>
      <c r="V208" s="3">
        <v>6</v>
      </c>
      <c r="W208" s="4" t="s">
        <v>2802</v>
      </c>
      <c r="X208" s="4" t="s">
        <v>2802</v>
      </c>
      <c r="Y208" s="4" t="s">
        <v>2803</v>
      </c>
      <c r="Z208" s="4" t="s">
        <v>2803</v>
      </c>
      <c r="AA208" s="3">
        <v>135</v>
      </c>
      <c r="AB208" s="3">
        <v>130</v>
      </c>
      <c r="AC208" s="3">
        <v>1391</v>
      </c>
      <c r="AD208" s="3">
        <v>3</v>
      </c>
      <c r="AE208" s="3">
        <v>18</v>
      </c>
      <c r="AF208" s="3">
        <v>0</v>
      </c>
      <c r="AG208" s="3">
        <v>12</v>
      </c>
      <c r="AH208" s="3">
        <v>0</v>
      </c>
      <c r="AI208" s="3">
        <v>2</v>
      </c>
      <c r="AJ208" s="3">
        <v>0</v>
      </c>
      <c r="AK208" s="3">
        <v>1</v>
      </c>
      <c r="AL208" s="3">
        <v>0</v>
      </c>
      <c r="AM208" s="3">
        <v>3</v>
      </c>
      <c r="AN208" s="3">
        <v>0</v>
      </c>
      <c r="AO208" s="3">
        <v>5</v>
      </c>
      <c r="AP208" s="3">
        <v>0</v>
      </c>
      <c r="AQ208" s="3">
        <v>1</v>
      </c>
      <c r="AR208" s="2" t="s">
        <v>63</v>
      </c>
      <c r="AS208" s="2" t="s">
        <v>63</v>
      </c>
      <c r="AU208" s="5" t="str">
        <f>HYPERLINK("https://creighton-primo.hosted.exlibrisgroup.com/primo-explore/search?tab=default_tab&amp;search_scope=EVERYTHING&amp;vid=01CRU&amp;lang=en_US&amp;offset=0&amp;query=any,contains,991000586609702656","Catalog Record")</f>
        <v>Catalog Record</v>
      </c>
      <c r="AV208" s="5" t="str">
        <f>HYPERLINK("http://www.worldcat.org/oclc/15055055","WorldCat Record")</f>
        <v>WorldCat Record</v>
      </c>
      <c r="AW208" s="2" t="s">
        <v>2804</v>
      </c>
      <c r="AX208" s="2" t="s">
        <v>2805</v>
      </c>
      <c r="AY208" s="2" t="s">
        <v>2806</v>
      </c>
      <c r="AZ208" s="2" t="s">
        <v>2806</v>
      </c>
      <c r="BA208" s="2" t="s">
        <v>2807</v>
      </c>
      <c r="BB208" s="2" t="s">
        <v>79</v>
      </c>
      <c r="BD208" s="2" t="s">
        <v>2808</v>
      </c>
      <c r="BE208" s="2" t="s">
        <v>2809</v>
      </c>
      <c r="BF208" s="2" t="s">
        <v>2810</v>
      </c>
    </row>
    <row r="209" spans="1:58" ht="46.5" customHeight="1">
      <c r="A209" s="1"/>
      <c r="B209" s="1" t="s">
        <v>58</v>
      </c>
      <c r="C209" s="1" t="s">
        <v>59</v>
      </c>
      <c r="D209" s="1" t="s">
        <v>2811</v>
      </c>
      <c r="E209" s="1" t="s">
        <v>2812</v>
      </c>
      <c r="F209" s="1" t="s">
        <v>2813</v>
      </c>
      <c r="H209" s="2" t="s">
        <v>63</v>
      </c>
      <c r="I209" s="2" t="s">
        <v>64</v>
      </c>
      <c r="J209" s="2" t="s">
        <v>63</v>
      </c>
      <c r="K209" s="2" t="s">
        <v>63</v>
      </c>
      <c r="L209" s="2" t="s">
        <v>65</v>
      </c>
      <c r="M209" s="1" t="s">
        <v>2814</v>
      </c>
      <c r="N209" s="1" t="s">
        <v>2815</v>
      </c>
      <c r="O209" s="2" t="s">
        <v>275</v>
      </c>
      <c r="Q209" s="2" t="s">
        <v>70</v>
      </c>
      <c r="R209" s="2" t="s">
        <v>691</v>
      </c>
      <c r="T209" s="2" t="s">
        <v>72</v>
      </c>
      <c r="U209" s="3">
        <v>5</v>
      </c>
      <c r="V209" s="3">
        <v>5</v>
      </c>
      <c r="W209" s="4" t="s">
        <v>2816</v>
      </c>
      <c r="X209" s="4" t="s">
        <v>2816</v>
      </c>
      <c r="Y209" s="4" t="s">
        <v>2817</v>
      </c>
      <c r="Z209" s="4" t="s">
        <v>2817</v>
      </c>
      <c r="AA209" s="3">
        <v>25</v>
      </c>
      <c r="AB209" s="3">
        <v>20</v>
      </c>
      <c r="AC209" s="3">
        <v>20</v>
      </c>
      <c r="AD209" s="3">
        <v>1</v>
      </c>
      <c r="AE209" s="3">
        <v>1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2" t="s">
        <v>63</v>
      </c>
      <c r="AS209" s="2" t="s">
        <v>63</v>
      </c>
      <c r="AU209" s="5" t="str">
        <f>HYPERLINK("https://creighton-primo.hosted.exlibrisgroup.com/primo-explore/search?tab=default_tab&amp;search_scope=EVERYTHING&amp;vid=01CRU&amp;lang=en_US&amp;offset=0&amp;query=any,contains,991000964339702656","Catalog Record")</f>
        <v>Catalog Record</v>
      </c>
      <c r="AV209" s="5" t="str">
        <f>HYPERLINK("http://www.worldcat.org/oclc/35562195","WorldCat Record")</f>
        <v>WorldCat Record</v>
      </c>
      <c r="AW209" s="2" t="s">
        <v>2818</v>
      </c>
      <c r="AX209" s="2" t="s">
        <v>2819</v>
      </c>
      <c r="AY209" s="2" t="s">
        <v>2820</v>
      </c>
      <c r="AZ209" s="2" t="s">
        <v>2820</v>
      </c>
      <c r="BA209" s="2" t="s">
        <v>2821</v>
      </c>
      <c r="BB209" s="2" t="s">
        <v>79</v>
      </c>
      <c r="BE209" s="2" t="s">
        <v>2822</v>
      </c>
      <c r="BF209" s="2" t="s">
        <v>2823</v>
      </c>
    </row>
    <row r="210" spans="1:58" ht="46.5" customHeight="1">
      <c r="A210" s="1"/>
      <c r="B210" s="1" t="s">
        <v>58</v>
      </c>
      <c r="C210" s="1" t="s">
        <v>59</v>
      </c>
      <c r="D210" s="1" t="s">
        <v>2824</v>
      </c>
      <c r="E210" s="1" t="s">
        <v>2825</v>
      </c>
      <c r="F210" s="1" t="s">
        <v>2826</v>
      </c>
      <c r="H210" s="2" t="s">
        <v>63</v>
      </c>
      <c r="I210" s="2" t="s">
        <v>64</v>
      </c>
      <c r="J210" s="2" t="s">
        <v>63</v>
      </c>
      <c r="K210" s="2" t="s">
        <v>63</v>
      </c>
      <c r="L210" s="2" t="s">
        <v>65</v>
      </c>
      <c r="M210" s="1" t="s">
        <v>2827</v>
      </c>
      <c r="N210" s="1" t="s">
        <v>2828</v>
      </c>
      <c r="O210" s="2" t="s">
        <v>1268</v>
      </c>
      <c r="Q210" s="2" t="s">
        <v>70</v>
      </c>
      <c r="R210" s="2" t="s">
        <v>200</v>
      </c>
      <c r="T210" s="2" t="s">
        <v>72</v>
      </c>
      <c r="U210" s="3">
        <v>3</v>
      </c>
      <c r="V210" s="3">
        <v>3</v>
      </c>
      <c r="W210" s="4" t="s">
        <v>2774</v>
      </c>
      <c r="X210" s="4" t="s">
        <v>2774</v>
      </c>
      <c r="Y210" s="4" t="s">
        <v>2829</v>
      </c>
      <c r="Z210" s="4" t="s">
        <v>2829</v>
      </c>
      <c r="AA210" s="3">
        <v>78</v>
      </c>
      <c r="AB210" s="3">
        <v>63</v>
      </c>
      <c r="AC210" s="3">
        <v>64</v>
      </c>
      <c r="AD210" s="3">
        <v>0</v>
      </c>
      <c r="AE210" s="3">
        <v>0</v>
      </c>
      <c r="AF210" s="3">
        <v>3</v>
      </c>
      <c r="AG210" s="3">
        <v>3</v>
      </c>
      <c r="AH210" s="3">
        <v>2</v>
      </c>
      <c r="AI210" s="3">
        <v>2</v>
      </c>
      <c r="AJ210" s="3">
        <v>0</v>
      </c>
      <c r="AK210" s="3">
        <v>0</v>
      </c>
      <c r="AL210" s="3">
        <v>1</v>
      </c>
      <c r="AM210" s="3">
        <v>1</v>
      </c>
      <c r="AN210" s="3">
        <v>0</v>
      </c>
      <c r="AO210" s="3">
        <v>0</v>
      </c>
      <c r="AP210" s="3">
        <v>0</v>
      </c>
      <c r="AQ210" s="3">
        <v>0</v>
      </c>
      <c r="AR210" s="2" t="s">
        <v>63</v>
      </c>
      <c r="AS210" s="2" t="s">
        <v>63</v>
      </c>
      <c r="AU210" s="5" t="str">
        <f>HYPERLINK("https://creighton-primo.hosted.exlibrisgroup.com/primo-explore/search?tab=default_tab&amp;search_scope=EVERYTHING&amp;vid=01CRU&amp;lang=en_US&amp;offset=0&amp;query=any,contains,991001753319702656","Catalog Record")</f>
        <v>Catalog Record</v>
      </c>
      <c r="AV210" s="5" t="str">
        <f>HYPERLINK("http://www.worldcat.org/oclc/495870776","WorldCat Record")</f>
        <v>WorldCat Record</v>
      </c>
      <c r="AW210" s="2" t="s">
        <v>2830</v>
      </c>
      <c r="AX210" s="2" t="s">
        <v>2831</v>
      </c>
      <c r="AY210" s="2" t="s">
        <v>2832</v>
      </c>
      <c r="AZ210" s="2" t="s">
        <v>2832</v>
      </c>
      <c r="BA210" s="2" t="s">
        <v>2833</v>
      </c>
      <c r="BB210" s="2" t="s">
        <v>79</v>
      </c>
      <c r="BD210" s="2" t="s">
        <v>2834</v>
      </c>
      <c r="BE210" s="2" t="s">
        <v>2835</v>
      </c>
      <c r="BF210" s="2" t="s">
        <v>2836</v>
      </c>
    </row>
    <row r="211" spans="1:58" ht="46.5" customHeight="1">
      <c r="A211" s="1"/>
      <c r="B211" s="1" t="s">
        <v>58</v>
      </c>
      <c r="C211" s="1" t="s">
        <v>59</v>
      </c>
      <c r="D211" s="1" t="s">
        <v>2837</v>
      </c>
      <c r="E211" s="1" t="s">
        <v>2838</v>
      </c>
      <c r="F211" s="1" t="s">
        <v>2839</v>
      </c>
      <c r="H211" s="2" t="s">
        <v>63</v>
      </c>
      <c r="I211" s="2" t="s">
        <v>64</v>
      </c>
      <c r="J211" s="2" t="s">
        <v>63</v>
      </c>
      <c r="K211" s="2" t="s">
        <v>63</v>
      </c>
      <c r="L211" s="2" t="s">
        <v>65</v>
      </c>
      <c r="M211" s="1" t="s">
        <v>2840</v>
      </c>
      <c r="N211" s="1" t="s">
        <v>2841</v>
      </c>
      <c r="O211" s="2" t="s">
        <v>484</v>
      </c>
      <c r="P211" s="1" t="s">
        <v>259</v>
      </c>
      <c r="Q211" s="2" t="s">
        <v>70</v>
      </c>
      <c r="R211" s="2" t="s">
        <v>1739</v>
      </c>
      <c r="T211" s="2" t="s">
        <v>72</v>
      </c>
      <c r="U211" s="3">
        <v>0</v>
      </c>
      <c r="V211" s="3">
        <v>0</v>
      </c>
      <c r="W211" s="4" t="s">
        <v>2842</v>
      </c>
      <c r="X211" s="4" t="s">
        <v>2842</v>
      </c>
      <c r="Y211" s="4" t="s">
        <v>2843</v>
      </c>
      <c r="Z211" s="4" t="s">
        <v>2843</v>
      </c>
      <c r="AA211" s="3">
        <v>46</v>
      </c>
      <c r="AB211" s="3">
        <v>40</v>
      </c>
      <c r="AC211" s="3">
        <v>71</v>
      </c>
      <c r="AD211" s="3">
        <v>1</v>
      </c>
      <c r="AE211" s="3">
        <v>1</v>
      </c>
      <c r="AF211" s="3">
        <v>3</v>
      </c>
      <c r="AG211" s="3">
        <v>3</v>
      </c>
      <c r="AH211" s="3">
        <v>2</v>
      </c>
      <c r="AI211" s="3">
        <v>2</v>
      </c>
      <c r="AJ211" s="3">
        <v>1</v>
      </c>
      <c r="AK211" s="3">
        <v>1</v>
      </c>
      <c r="AL211" s="3">
        <v>2</v>
      </c>
      <c r="AM211" s="3">
        <v>2</v>
      </c>
      <c r="AN211" s="3">
        <v>0</v>
      </c>
      <c r="AO211" s="3">
        <v>0</v>
      </c>
      <c r="AP211" s="3">
        <v>0</v>
      </c>
      <c r="AQ211" s="3">
        <v>0</v>
      </c>
      <c r="AR211" s="2" t="s">
        <v>63</v>
      </c>
      <c r="AS211" s="2" t="s">
        <v>92</v>
      </c>
      <c r="AT211" s="5" t="str">
        <f>HYPERLINK("http://catalog.hathitrust.org/Record/005240416","HathiTrust Record")</f>
        <v>HathiTrust Record</v>
      </c>
      <c r="AU211" s="5" t="str">
        <f>HYPERLINK("https://creighton-primo.hosted.exlibrisgroup.com/primo-explore/search?tab=default_tab&amp;search_scope=EVERYTHING&amp;vid=01CRU&amp;lang=en_US&amp;offset=0&amp;query=any,contains,991000426569702656","Catalog Record")</f>
        <v>Catalog Record</v>
      </c>
      <c r="AV211" s="5" t="str">
        <f>HYPERLINK("http://www.worldcat.org/oclc/53038749","WorldCat Record")</f>
        <v>WorldCat Record</v>
      </c>
      <c r="AW211" s="2" t="s">
        <v>2844</v>
      </c>
      <c r="AX211" s="2" t="s">
        <v>2845</v>
      </c>
      <c r="AY211" s="2" t="s">
        <v>2846</v>
      </c>
      <c r="AZ211" s="2" t="s">
        <v>2846</v>
      </c>
      <c r="BA211" s="2" t="s">
        <v>2847</v>
      </c>
      <c r="BB211" s="2" t="s">
        <v>79</v>
      </c>
      <c r="BD211" s="2" t="s">
        <v>2848</v>
      </c>
      <c r="BE211" s="2" t="s">
        <v>2849</v>
      </c>
      <c r="BF211" s="2" t="s">
        <v>2850</v>
      </c>
    </row>
    <row r="212" spans="1:58" ht="46.5" customHeight="1">
      <c r="A212" s="1"/>
      <c r="B212" s="1" t="s">
        <v>58</v>
      </c>
      <c r="C212" s="1" t="s">
        <v>59</v>
      </c>
      <c r="D212" s="1" t="s">
        <v>2851</v>
      </c>
      <c r="E212" s="1" t="s">
        <v>2852</v>
      </c>
      <c r="F212" s="1" t="s">
        <v>2853</v>
      </c>
      <c r="H212" s="2" t="s">
        <v>63</v>
      </c>
      <c r="I212" s="2" t="s">
        <v>64</v>
      </c>
      <c r="J212" s="2" t="s">
        <v>63</v>
      </c>
      <c r="K212" s="2" t="s">
        <v>63</v>
      </c>
      <c r="L212" s="2" t="s">
        <v>65</v>
      </c>
      <c r="N212" s="1" t="s">
        <v>2854</v>
      </c>
      <c r="O212" s="2" t="s">
        <v>454</v>
      </c>
      <c r="Q212" s="2" t="s">
        <v>70</v>
      </c>
      <c r="R212" s="2" t="s">
        <v>277</v>
      </c>
      <c r="T212" s="2" t="s">
        <v>72</v>
      </c>
      <c r="U212" s="3">
        <v>4</v>
      </c>
      <c r="V212" s="3">
        <v>4</v>
      </c>
      <c r="W212" s="4" t="s">
        <v>2774</v>
      </c>
      <c r="X212" s="4" t="s">
        <v>2774</v>
      </c>
      <c r="Y212" s="4" t="s">
        <v>2855</v>
      </c>
      <c r="Z212" s="4" t="s">
        <v>2855</v>
      </c>
      <c r="AA212" s="3">
        <v>38</v>
      </c>
      <c r="AB212" s="3">
        <v>23</v>
      </c>
      <c r="AC212" s="3">
        <v>415</v>
      </c>
      <c r="AD212" s="3">
        <v>1</v>
      </c>
      <c r="AE212" s="3">
        <v>15</v>
      </c>
      <c r="AF212" s="3">
        <v>0</v>
      </c>
      <c r="AG212" s="3">
        <v>13</v>
      </c>
      <c r="AH212" s="3">
        <v>0</v>
      </c>
      <c r="AI212" s="3">
        <v>4</v>
      </c>
      <c r="AJ212" s="3">
        <v>0</v>
      </c>
      <c r="AK212" s="3">
        <v>1</v>
      </c>
      <c r="AL212" s="3">
        <v>0</v>
      </c>
      <c r="AM212" s="3">
        <v>1</v>
      </c>
      <c r="AN212" s="3">
        <v>0</v>
      </c>
      <c r="AO212" s="3">
        <v>8</v>
      </c>
      <c r="AP212" s="3">
        <v>0</v>
      </c>
      <c r="AQ212" s="3">
        <v>0</v>
      </c>
      <c r="AR212" s="2" t="s">
        <v>63</v>
      </c>
      <c r="AS212" s="2" t="s">
        <v>63</v>
      </c>
      <c r="AU212" s="5" t="str">
        <f>HYPERLINK("https://creighton-primo.hosted.exlibrisgroup.com/primo-explore/search?tab=default_tab&amp;search_scope=EVERYTHING&amp;vid=01CRU&amp;lang=en_US&amp;offset=0&amp;query=any,contains,991001484809702656","Catalog Record")</f>
        <v>Catalog Record</v>
      </c>
      <c r="AV212" s="5" t="str">
        <f>HYPERLINK("http://www.worldcat.org/oclc/441176531","WorldCat Record")</f>
        <v>WorldCat Record</v>
      </c>
      <c r="AW212" s="2" t="s">
        <v>2856</v>
      </c>
      <c r="AX212" s="2" t="s">
        <v>2857</v>
      </c>
      <c r="AY212" s="2" t="s">
        <v>2858</v>
      </c>
      <c r="AZ212" s="2" t="s">
        <v>2858</v>
      </c>
      <c r="BA212" s="2" t="s">
        <v>2859</v>
      </c>
      <c r="BB212" s="2" t="s">
        <v>79</v>
      </c>
      <c r="BD212" s="2" t="s">
        <v>2860</v>
      </c>
      <c r="BE212" s="2" t="s">
        <v>2861</v>
      </c>
      <c r="BF212" s="2" t="s">
        <v>2862</v>
      </c>
    </row>
    <row r="213" spans="1:58" ht="46.5" customHeight="1">
      <c r="A213" s="1"/>
      <c r="B213" s="1" t="s">
        <v>58</v>
      </c>
      <c r="C213" s="1" t="s">
        <v>59</v>
      </c>
      <c r="D213" s="1" t="s">
        <v>2863</v>
      </c>
      <c r="E213" s="1" t="s">
        <v>2864</v>
      </c>
      <c r="F213" s="1" t="s">
        <v>2865</v>
      </c>
      <c r="H213" s="2" t="s">
        <v>63</v>
      </c>
      <c r="I213" s="2" t="s">
        <v>64</v>
      </c>
      <c r="J213" s="2" t="s">
        <v>63</v>
      </c>
      <c r="K213" s="2" t="s">
        <v>63</v>
      </c>
      <c r="L213" s="2" t="s">
        <v>65</v>
      </c>
      <c r="M213" s="1" t="s">
        <v>2866</v>
      </c>
      <c r="N213" s="1" t="s">
        <v>2867</v>
      </c>
      <c r="O213" s="2" t="s">
        <v>145</v>
      </c>
      <c r="Q213" s="2" t="s">
        <v>70</v>
      </c>
      <c r="R213" s="2" t="s">
        <v>200</v>
      </c>
      <c r="T213" s="2" t="s">
        <v>72</v>
      </c>
      <c r="U213" s="3">
        <v>5</v>
      </c>
      <c r="V213" s="3">
        <v>5</v>
      </c>
      <c r="W213" s="4" t="s">
        <v>2868</v>
      </c>
      <c r="X213" s="4" t="s">
        <v>2868</v>
      </c>
      <c r="Y213" s="4" t="s">
        <v>514</v>
      </c>
      <c r="Z213" s="4" t="s">
        <v>514</v>
      </c>
      <c r="AA213" s="3">
        <v>67</v>
      </c>
      <c r="AB213" s="3">
        <v>46</v>
      </c>
      <c r="AC213" s="3">
        <v>48</v>
      </c>
      <c r="AD213" s="3">
        <v>1</v>
      </c>
      <c r="AE213" s="3">
        <v>1</v>
      </c>
      <c r="AF213" s="3">
        <v>2</v>
      </c>
      <c r="AG213" s="3">
        <v>2</v>
      </c>
      <c r="AH213" s="3">
        <v>1</v>
      </c>
      <c r="AI213" s="3">
        <v>1</v>
      </c>
      <c r="AJ213" s="3">
        <v>1</v>
      </c>
      <c r="AK213" s="3">
        <v>1</v>
      </c>
      <c r="AL213" s="3">
        <v>1</v>
      </c>
      <c r="AM213" s="3">
        <v>1</v>
      </c>
      <c r="AN213" s="3">
        <v>0</v>
      </c>
      <c r="AO213" s="3">
        <v>0</v>
      </c>
      <c r="AP213" s="3">
        <v>0</v>
      </c>
      <c r="AQ213" s="3">
        <v>0</v>
      </c>
      <c r="AR213" s="2" t="s">
        <v>63</v>
      </c>
      <c r="AS213" s="2" t="s">
        <v>92</v>
      </c>
      <c r="AT213" s="5" t="str">
        <f>HYPERLINK("http://catalog.hathitrust.org/Record/005572230","HathiTrust Record")</f>
        <v>HathiTrust Record</v>
      </c>
      <c r="AU213" s="5" t="str">
        <f>HYPERLINK("https://creighton-primo.hosted.exlibrisgroup.com/primo-explore/search?tab=default_tab&amp;search_scope=EVERYTHING&amp;vid=01CRU&amp;lang=en_US&amp;offset=0&amp;query=any,contains,991000835849702656","Catalog Record")</f>
        <v>Catalog Record</v>
      </c>
      <c r="AV213" s="5" t="str">
        <f>HYPERLINK("http://www.worldcat.org/oclc/31075186","WorldCat Record")</f>
        <v>WorldCat Record</v>
      </c>
      <c r="AW213" s="2" t="s">
        <v>2869</v>
      </c>
      <c r="AX213" s="2" t="s">
        <v>2870</v>
      </c>
      <c r="AY213" s="2" t="s">
        <v>2871</v>
      </c>
      <c r="AZ213" s="2" t="s">
        <v>2871</v>
      </c>
      <c r="BA213" s="2" t="s">
        <v>2872</v>
      </c>
      <c r="BB213" s="2" t="s">
        <v>79</v>
      </c>
      <c r="BD213" s="2" t="s">
        <v>2873</v>
      </c>
      <c r="BE213" s="2" t="s">
        <v>2874</v>
      </c>
      <c r="BF213" s="2" t="s">
        <v>2875</v>
      </c>
    </row>
    <row r="214" spans="1:58" ht="46.5" customHeight="1">
      <c r="A214" s="1"/>
      <c r="B214" s="1" t="s">
        <v>58</v>
      </c>
      <c r="C214" s="1" t="s">
        <v>59</v>
      </c>
      <c r="D214" s="1" t="s">
        <v>2876</v>
      </c>
      <c r="E214" s="1" t="s">
        <v>2877</v>
      </c>
      <c r="F214" s="1" t="s">
        <v>2878</v>
      </c>
      <c r="H214" s="2" t="s">
        <v>63</v>
      </c>
      <c r="I214" s="2" t="s">
        <v>64</v>
      </c>
      <c r="J214" s="2" t="s">
        <v>63</v>
      </c>
      <c r="K214" s="2" t="s">
        <v>92</v>
      </c>
      <c r="L214" s="2" t="s">
        <v>65</v>
      </c>
      <c r="M214" s="1" t="s">
        <v>2879</v>
      </c>
      <c r="N214" s="1" t="s">
        <v>2880</v>
      </c>
      <c r="O214" s="2" t="s">
        <v>229</v>
      </c>
      <c r="P214" s="1" t="s">
        <v>1228</v>
      </c>
      <c r="Q214" s="2" t="s">
        <v>70</v>
      </c>
      <c r="R214" s="2" t="s">
        <v>1364</v>
      </c>
      <c r="T214" s="2" t="s">
        <v>72</v>
      </c>
      <c r="U214" s="3">
        <v>12</v>
      </c>
      <c r="V214" s="3">
        <v>12</v>
      </c>
      <c r="W214" s="4" t="s">
        <v>2615</v>
      </c>
      <c r="X214" s="4" t="s">
        <v>2615</v>
      </c>
      <c r="Y214" s="4" t="s">
        <v>232</v>
      </c>
      <c r="Z214" s="4" t="s">
        <v>232</v>
      </c>
      <c r="AA214" s="3">
        <v>98</v>
      </c>
      <c r="AB214" s="3">
        <v>81</v>
      </c>
      <c r="AC214" s="3">
        <v>189</v>
      </c>
      <c r="AD214" s="3">
        <v>2</v>
      </c>
      <c r="AE214" s="3">
        <v>2</v>
      </c>
      <c r="AF214" s="3">
        <v>1</v>
      </c>
      <c r="AG214" s="3">
        <v>6</v>
      </c>
      <c r="AH214" s="3">
        <v>0</v>
      </c>
      <c r="AI214" s="3">
        <v>4</v>
      </c>
      <c r="AJ214" s="3">
        <v>0</v>
      </c>
      <c r="AK214" s="3">
        <v>1</v>
      </c>
      <c r="AL214" s="3">
        <v>0</v>
      </c>
      <c r="AM214" s="3">
        <v>1</v>
      </c>
      <c r="AN214" s="3">
        <v>1</v>
      </c>
      <c r="AO214" s="3">
        <v>1</v>
      </c>
      <c r="AP214" s="3">
        <v>0</v>
      </c>
      <c r="AQ214" s="3">
        <v>0</v>
      </c>
      <c r="AR214" s="2" t="s">
        <v>63</v>
      </c>
      <c r="AS214" s="2" t="s">
        <v>63</v>
      </c>
      <c r="AU214" s="5" t="str">
        <f>HYPERLINK("https://creighton-primo.hosted.exlibrisgroup.com/primo-explore/search?tab=default_tab&amp;search_scope=EVERYTHING&amp;vid=01CRU&amp;lang=en_US&amp;offset=0&amp;query=any,contains,991001250889702656","Catalog Record")</f>
        <v>Catalog Record</v>
      </c>
      <c r="AV214" s="5" t="str">
        <f>HYPERLINK("http://www.worldcat.org/oclc/34974268","WorldCat Record")</f>
        <v>WorldCat Record</v>
      </c>
      <c r="AW214" s="2" t="s">
        <v>2881</v>
      </c>
      <c r="AX214" s="2" t="s">
        <v>2882</v>
      </c>
      <c r="AY214" s="2" t="s">
        <v>2883</v>
      </c>
      <c r="AZ214" s="2" t="s">
        <v>2883</v>
      </c>
      <c r="BA214" s="2" t="s">
        <v>2884</v>
      </c>
      <c r="BB214" s="2" t="s">
        <v>79</v>
      </c>
      <c r="BD214" s="2" t="s">
        <v>2885</v>
      </c>
      <c r="BE214" s="2" t="s">
        <v>2886</v>
      </c>
      <c r="BF214" s="2" t="s">
        <v>2887</v>
      </c>
    </row>
    <row r="215" spans="1:58" ht="46.5" customHeight="1">
      <c r="A215" s="1"/>
      <c r="B215" s="1" t="s">
        <v>58</v>
      </c>
      <c r="C215" s="1" t="s">
        <v>59</v>
      </c>
      <c r="D215" s="1" t="s">
        <v>2888</v>
      </c>
      <c r="E215" s="1" t="s">
        <v>2889</v>
      </c>
      <c r="F215" s="1" t="s">
        <v>2890</v>
      </c>
      <c r="H215" s="2" t="s">
        <v>63</v>
      </c>
      <c r="I215" s="2" t="s">
        <v>64</v>
      </c>
      <c r="J215" s="2" t="s">
        <v>63</v>
      </c>
      <c r="K215" s="2" t="s">
        <v>63</v>
      </c>
      <c r="L215" s="2" t="s">
        <v>65</v>
      </c>
      <c r="N215" s="1" t="s">
        <v>2891</v>
      </c>
      <c r="O215" s="2" t="s">
        <v>132</v>
      </c>
      <c r="P215" s="1" t="s">
        <v>376</v>
      </c>
      <c r="Q215" s="2" t="s">
        <v>70</v>
      </c>
      <c r="R215" s="2" t="s">
        <v>555</v>
      </c>
      <c r="T215" s="2" t="s">
        <v>72</v>
      </c>
      <c r="U215" s="3">
        <v>24</v>
      </c>
      <c r="V215" s="3">
        <v>24</v>
      </c>
      <c r="W215" s="4" t="s">
        <v>2892</v>
      </c>
      <c r="X215" s="4" t="s">
        <v>2892</v>
      </c>
      <c r="Y215" s="4" t="s">
        <v>2893</v>
      </c>
      <c r="Z215" s="4" t="s">
        <v>2893</v>
      </c>
      <c r="AA215" s="3">
        <v>81</v>
      </c>
      <c r="AB215" s="3">
        <v>50</v>
      </c>
      <c r="AC215" s="3">
        <v>57</v>
      </c>
      <c r="AD215" s="3">
        <v>1</v>
      </c>
      <c r="AE215" s="3">
        <v>1</v>
      </c>
      <c r="AF215" s="3">
        <v>1</v>
      </c>
      <c r="AG215" s="3">
        <v>1</v>
      </c>
      <c r="AH215" s="3">
        <v>1</v>
      </c>
      <c r="AI215" s="3">
        <v>1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2" t="s">
        <v>63</v>
      </c>
      <c r="AS215" s="2" t="s">
        <v>92</v>
      </c>
      <c r="AT215" s="5" t="str">
        <f>HYPERLINK("http://catalog.hathitrust.org/Record/002545340","HathiTrust Record")</f>
        <v>HathiTrust Record</v>
      </c>
      <c r="AU215" s="5" t="str">
        <f>HYPERLINK("https://creighton-primo.hosted.exlibrisgroup.com/primo-explore/search?tab=default_tab&amp;search_scope=EVERYTHING&amp;vid=01CRU&amp;lang=en_US&amp;offset=0&amp;query=any,contains,991001303189702656","Catalog Record")</f>
        <v>Catalog Record</v>
      </c>
      <c r="AV215" s="5" t="str">
        <f>HYPERLINK("http://www.worldcat.org/oclc/24793598","WorldCat Record")</f>
        <v>WorldCat Record</v>
      </c>
      <c r="AW215" s="2" t="s">
        <v>2894</v>
      </c>
      <c r="AX215" s="2" t="s">
        <v>2895</v>
      </c>
      <c r="AY215" s="2" t="s">
        <v>2896</v>
      </c>
      <c r="AZ215" s="2" t="s">
        <v>2896</v>
      </c>
      <c r="BA215" s="2" t="s">
        <v>2897</v>
      </c>
      <c r="BB215" s="2" t="s">
        <v>79</v>
      </c>
      <c r="BD215" s="2" t="s">
        <v>2898</v>
      </c>
      <c r="BE215" s="2" t="s">
        <v>2899</v>
      </c>
      <c r="BF215" s="2" t="s">
        <v>2900</v>
      </c>
    </row>
    <row r="216" spans="1:58" ht="46.5" customHeight="1">
      <c r="A216" s="1"/>
      <c r="B216" s="1" t="s">
        <v>58</v>
      </c>
      <c r="C216" s="1" t="s">
        <v>59</v>
      </c>
      <c r="D216" s="1" t="s">
        <v>2901</v>
      </c>
      <c r="E216" s="1" t="s">
        <v>2902</v>
      </c>
      <c r="F216" s="1" t="s">
        <v>2903</v>
      </c>
      <c r="H216" s="2" t="s">
        <v>63</v>
      </c>
      <c r="I216" s="2" t="s">
        <v>64</v>
      </c>
      <c r="J216" s="2" t="s">
        <v>63</v>
      </c>
      <c r="K216" s="2" t="s">
        <v>63</v>
      </c>
      <c r="L216" s="2" t="s">
        <v>65</v>
      </c>
      <c r="N216" s="1" t="s">
        <v>2904</v>
      </c>
      <c r="O216" s="2" t="s">
        <v>814</v>
      </c>
      <c r="P216" s="1" t="s">
        <v>157</v>
      </c>
      <c r="Q216" s="2" t="s">
        <v>70</v>
      </c>
      <c r="R216" s="2" t="s">
        <v>277</v>
      </c>
      <c r="T216" s="2" t="s">
        <v>72</v>
      </c>
      <c r="U216" s="3">
        <v>1</v>
      </c>
      <c r="V216" s="3">
        <v>1</v>
      </c>
      <c r="W216" s="4" t="s">
        <v>2905</v>
      </c>
      <c r="X216" s="4" t="s">
        <v>2905</v>
      </c>
      <c r="Y216" s="4" t="s">
        <v>2906</v>
      </c>
      <c r="Z216" s="4" t="s">
        <v>2906</v>
      </c>
      <c r="AA216" s="3">
        <v>155</v>
      </c>
      <c r="AB216" s="3">
        <v>126</v>
      </c>
      <c r="AC216" s="3">
        <v>236</v>
      </c>
      <c r="AD216" s="3">
        <v>1</v>
      </c>
      <c r="AE216" s="3">
        <v>1</v>
      </c>
      <c r="AF216" s="3">
        <v>6</v>
      </c>
      <c r="AG216" s="3">
        <v>9</v>
      </c>
      <c r="AH216" s="3">
        <v>3</v>
      </c>
      <c r="AI216" s="3">
        <v>6</v>
      </c>
      <c r="AJ216" s="3">
        <v>0</v>
      </c>
      <c r="AK216" s="3">
        <v>0</v>
      </c>
      <c r="AL216" s="3">
        <v>4</v>
      </c>
      <c r="AM216" s="3">
        <v>6</v>
      </c>
      <c r="AN216" s="3">
        <v>0</v>
      </c>
      <c r="AO216" s="3">
        <v>0</v>
      </c>
      <c r="AP216" s="3">
        <v>0</v>
      </c>
      <c r="AQ216" s="3">
        <v>0</v>
      </c>
      <c r="AR216" s="2" t="s">
        <v>63</v>
      </c>
      <c r="AS216" s="2" t="s">
        <v>63</v>
      </c>
      <c r="AU216" s="5" t="str">
        <f>HYPERLINK("https://creighton-primo.hosted.exlibrisgroup.com/primo-explore/search?tab=default_tab&amp;search_scope=EVERYTHING&amp;vid=01CRU&amp;lang=en_US&amp;offset=0&amp;query=any,contains,991001420489702656","Catalog Record")</f>
        <v>Catalog Record</v>
      </c>
      <c r="AV216" s="5" t="str">
        <f>HYPERLINK("http://www.worldcat.org/oclc/39465437","WorldCat Record")</f>
        <v>WorldCat Record</v>
      </c>
      <c r="AW216" s="2" t="s">
        <v>2907</v>
      </c>
      <c r="AX216" s="2" t="s">
        <v>2908</v>
      </c>
      <c r="AY216" s="2" t="s">
        <v>2909</v>
      </c>
      <c r="AZ216" s="2" t="s">
        <v>2909</v>
      </c>
      <c r="BA216" s="2" t="s">
        <v>2910</v>
      </c>
      <c r="BB216" s="2" t="s">
        <v>79</v>
      </c>
      <c r="BD216" s="2" t="s">
        <v>2911</v>
      </c>
      <c r="BE216" s="2" t="s">
        <v>2912</v>
      </c>
      <c r="BF216" s="2" t="s">
        <v>2913</v>
      </c>
    </row>
    <row r="217" spans="1:58" ht="46.5" customHeight="1">
      <c r="A217" s="1"/>
      <c r="B217" s="1" t="s">
        <v>58</v>
      </c>
      <c r="C217" s="1" t="s">
        <v>59</v>
      </c>
      <c r="D217" s="1" t="s">
        <v>2914</v>
      </c>
      <c r="E217" s="1" t="s">
        <v>2915</v>
      </c>
      <c r="F217" s="1" t="s">
        <v>2916</v>
      </c>
      <c r="H217" s="2" t="s">
        <v>63</v>
      </c>
      <c r="I217" s="2" t="s">
        <v>64</v>
      </c>
      <c r="J217" s="2" t="s">
        <v>63</v>
      </c>
      <c r="K217" s="2" t="s">
        <v>92</v>
      </c>
      <c r="L217" s="2" t="s">
        <v>65</v>
      </c>
      <c r="M217" s="1" t="s">
        <v>2366</v>
      </c>
      <c r="N217" s="1" t="s">
        <v>2917</v>
      </c>
      <c r="O217" s="2" t="s">
        <v>484</v>
      </c>
      <c r="P217" s="1" t="s">
        <v>88</v>
      </c>
      <c r="Q217" s="2" t="s">
        <v>70</v>
      </c>
      <c r="R217" s="2" t="s">
        <v>1364</v>
      </c>
      <c r="T217" s="2" t="s">
        <v>72</v>
      </c>
      <c r="U217" s="3">
        <v>4</v>
      </c>
      <c r="V217" s="3">
        <v>4</v>
      </c>
      <c r="W217" s="4" t="s">
        <v>2918</v>
      </c>
      <c r="X217" s="4" t="s">
        <v>2918</v>
      </c>
      <c r="Y217" s="4" t="s">
        <v>2919</v>
      </c>
      <c r="Z217" s="4" t="s">
        <v>2919</v>
      </c>
      <c r="AA217" s="3">
        <v>177</v>
      </c>
      <c r="AB217" s="3">
        <v>117</v>
      </c>
      <c r="AC217" s="3">
        <v>264</v>
      </c>
      <c r="AD217" s="3">
        <v>2</v>
      </c>
      <c r="AE217" s="3">
        <v>2</v>
      </c>
      <c r="AF217" s="3">
        <v>6</v>
      </c>
      <c r="AG217" s="3">
        <v>12</v>
      </c>
      <c r="AH217" s="3">
        <v>3</v>
      </c>
      <c r="AI217" s="3">
        <v>8</v>
      </c>
      <c r="AJ217" s="3">
        <v>2</v>
      </c>
      <c r="AK217" s="3">
        <v>3</v>
      </c>
      <c r="AL217" s="3">
        <v>1</v>
      </c>
      <c r="AM217" s="3">
        <v>3</v>
      </c>
      <c r="AN217" s="3">
        <v>1</v>
      </c>
      <c r="AO217" s="3">
        <v>1</v>
      </c>
      <c r="AP217" s="3">
        <v>0</v>
      </c>
      <c r="AQ217" s="3">
        <v>0</v>
      </c>
      <c r="AR217" s="2" t="s">
        <v>63</v>
      </c>
      <c r="AS217" s="2" t="s">
        <v>92</v>
      </c>
      <c r="AT217" s="5" t="str">
        <f>HYPERLINK("http://catalog.hathitrust.org/Record/004734769","HathiTrust Record")</f>
        <v>HathiTrust Record</v>
      </c>
      <c r="AU217" s="5" t="str">
        <f>HYPERLINK("https://creighton-primo.hosted.exlibrisgroup.com/primo-explore/search?tab=default_tab&amp;search_scope=EVERYTHING&amp;vid=01CRU&amp;lang=en_US&amp;offset=0&amp;query=any,contains,991000405709702656","Catalog Record")</f>
        <v>Catalog Record</v>
      </c>
      <c r="AV217" s="5" t="str">
        <f>HYPERLINK("http://www.worldcat.org/oclc/53896589","WorldCat Record")</f>
        <v>WorldCat Record</v>
      </c>
      <c r="AW217" s="2" t="s">
        <v>2369</v>
      </c>
      <c r="AX217" s="2" t="s">
        <v>2920</v>
      </c>
      <c r="AY217" s="2" t="s">
        <v>2921</v>
      </c>
      <c r="AZ217" s="2" t="s">
        <v>2921</v>
      </c>
      <c r="BA217" s="2" t="s">
        <v>2922</v>
      </c>
      <c r="BB217" s="2" t="s">
        <v>79</v>
      </c>
      <c r="BD217" s="2" t="s">
        <v>2923</v>
      </c>
      <c r="BE217" s="2" t="s">
        <v>2924</v>
      </c>
      <c r="BF217" s="2" t="s">
        <v>2925</v>
      </c>
    </row>
    <row r="218" spans="1:58" ht="46.5" customHeight="1">
      <c r="A218" s="1"/>
      <c r="B218" s="1" t="s">
        <v>58</v>
      </c>
      <c r="C218" s="1" t="s">
        <v>59</v>
      </c>
      <c r="D218" s="1" t="s">
        <v>2926</v>
      </c>
      <c r="E218" s="1" t="s">
        <v>2927</v>
      </c>
      <c r="F218" s="1" t="s">
        <v>2928</v>
      </c>
      <c r="H218" s="2" t="s">
        <v>63</v>
      </c>
      <c r="I218" s="2" t="s">
        <v>64</v>
      </c>
      <c r="J218" s="2" t="s">
        <v>63</v>
      </c>
      <c r="K218" s="2" t="s">
        <v>63</v>
      </c>
      <c r="L218" s="2" t="s">
        <v>65</v>
      </c>
      <c r="M218" s="1" t="s">
        <v>2929</v>
      </c>
      <c r="N218" s="1" t="s">
        <v>2930</v>
      </c>
      <c r="O218" s="2" t="s">
        <v>132</v>
      </c>
      <c r="P218" s="1" t="s">
        <v>1228</v>
      </c>
      <c r="Q218" s="2" t="s">
        <v>70</v>
      </c>
      <c r="R218" s="2" t="s">
        <v>133</v>
      </c>
      <c r="T218" s="2" t="s">
        <v>72</v>
      </c>
      <c r="U218" s="3">
        <v>12</v>
      </c>
      <c r="V218" s="3">
        <v>12</v>
      </c>
      <c r="W218" s="4" t="s">
        <v>2931</v>
      </c>
      <c r="X218" s="4" t="s">
        <v>2931</v>
      </c>
      <c r="Y218" s="4" t="s">
        <v>2932</v>
      </c>
      <c r="Z218" s="4" t="s">
        <v>2932</v>
      </c>
      <c r="AA218" s="3">
        <v>270</v>
      </c>
      <c r="AB218" s="3">
        <v>229</v>
      </c>
      <c r="AC218" s="3">
        <v>380</v>
      </c>
      <c r="AD218" s="3">
        <v>2</v>
      </c>
      <c r="AE218" s="3">
        <v>3</v>
      </c>
      <c r="AF218" s="3">
        <v>3</v>
      </c>
      <c r="AG218" s="3">
        <v>6</v>
      </c>
      <c r="AH218" s="3">
        <v>1</v>
      </c>
      <c r="AI218" s="3">
        <v>1</v>
      </c>
      <c r="AJ218" s="3">
        <v>1</v>
      </c>
      <c r="AK218" s="3">
        <v>2</v>
      </c>
      <c r="AL218" s="3">
        <v>2</v>
      </c>
      <c r="AM218" s="3">
        <v>4</v>
      </c>
      <c r="AN218" s="3">
        <v>0</v>
      </c>
      <c r="AO218" s="3">
        <v>0</v>
      </c>
      <c r="AP218" s="3">
        <v>0</v>
      </c>
      <c r="AQ218" s="3">
        <v>0</v>
      </c>
      <c r="AR218" s="2" t="s">
        <v>63</v>
      </c>
      <c r="AS218" s="2" t="s">
        <v>92</v>
      </c>
      <c r="AT218" s="5" t="str">
        <f>HYPERLINK("http://catalog.hathitrust.org/Record/002557735","HathiTrust Record")</f>
        <v>HathiTrust Record</v>
      </c>
      <c r="AU218" s="5" t="str">
        <f>HYPERLINK("https://creighton-primo.hosted.exlibrisgroup.com/primo-explore/search?tab=default_tab&amp;search_scope=EVERYTHING&amp;vid=01CRU&amp;lang=en_US&amp;offset=0&amp;query=any,contains,991001304939702656","Catalog Record")</f>
        <v>Catalog Record</v>
      </c>
      <c r="AV218" s="5" t="str">
        <f>HYPERLINK("http://www.worldcat.org/oclc/25594272","WorldCat Record")</f>
        <v>WorldCat Record</v>
      </c>
      <c r="AW218" s="2" t="s">
        <v>2933</v>
      </c>
      <c r="AX218" s="2" t="s">
        <v>2934</v>
      </c>
      <c r="AY218" s="2" t="s">
        <v>2935</v>
      </c>
      <c r="AZ218" s="2" t="s">
        <v>2935</v>
      </c>
      <c r="BA218" s="2" t="s">
        <v>2936</v>
      </c>
      <c r="BB218" s="2" t="s">
        <v>79</v>
      </c>
      <c r="BE218" s="2" t="s">
        <v>2937</v>
      </c>
      <c r="BF218" s="2" t="s">
        <v>2938</v>
      </c>
    </row>
    <row r="219" spans="1:58" ht="46.5" customHeight="1">
      <c r="A219" s="1"/>
      <c r="B219" s="1" t="s">
        <v>58</v>
      </c>
      <c r="C219" s="1" t="s">
        <v>59</v>
      </c>
      <c r="D219" s="1" t="s">
        <v>2939</v>
      </c>
      <c r="E219" s="1" t="s">
        <v>2940</v>
      </c>
      <c r="F219" s="1" t="s">
        <v>2941</v>
      </c>
      <c r="H219" s="2" t="s">
        <v>63</v>
      </c>
      <c r="I219" s="2" t="s">
        <v>64</v>
      </c>
      <c r="J219" s="2" t="s">
        <v>63</v>
      </c>
      <c r="K219" s="2" t="s">
        <v>63</v>
      </c>
      <c r="L219" s="2" t="s">
        <v>65</v>
      </c>
      <c r="M219" s="1" t="s">
        <v>2942</v>
      </c>
      <c r="N219" s="1" t="s">
        <v>2943</v>
      </c>
      <c r="O219" s="2" t="s">
        <v>540</v>
      </c>
      <c r="P219" s="1" t="s">
        <v>157</v>
      </c>
      <c r="Q219" s="2" t="s">
        <v>70</v>
      </c>
      <c r="R219" s="2" t="s">
        <v>260</v>
      </c>
      <c r="T219" s="2" t="s">
        <v>72</v>
      </c>
      <c r="U219" s="3">
        <v>0</v>
      </c>
      <c r="V219" s="3">
        <v>0</v>
      </c>
      <c r="W219" s="4" t="s">
        <v>2944</v>
      </c>
      <c r="X219" s="4" t="s">
        <v>2944</v>
      </c>
      <c r="Y219" s="4" t="s">
        <v>2945</v>
      </c>
      <c r="Z219" s="4" t="s">
        <v>2945</v>
      </c>
      <c r="AA219" s="3">
        <v>92</v>
      </c>
      <c r="AB219" s="3">
        <v>51</v>
      </c>
      <c r="AC219" s="3">
        <v>477</v>
      </c>
      <c r="AD219" s="3">
        <v>1</v>
      </c>
      <c r="AE219" s="3">
        <v>5</v>
      </c>
      <c r="AF219" s="3">
        <v>2</v>
      </c>
      <c r="AG219" s="3">
        <v>24</v>
      </c>
      <c r="AH219" s="3">
        <v>1</v>
      </c>
      <c r="AI219" s="3">
        <v>8</v>
      </c>
      <c r="AJ219" s="3">
        <v>0</v>
      </c>
      <c r="AK219" s="3">
        <v>7</v>
      </c>
      <c r="AL219" s="3">
        <v>1</v>
      </c>
      <c r="AM219" s="3">
        <v>7</v>
      </c>
      <c r="AN219" s="3">
        <v>0</v>
      </c>
      <c r="AO219" s="3">
        <v>4</v>
      </c>
      <c r="AP219" s="3">
        <v>0</v>
      </c>
      <c r="AQ219" s="3">
        <v>1</v>
      </c>
      <c r="AR219" s="2" t="s">
        <v>63</v>
      </c>
      <c r="AS219" s="2" t="s">
        <v>63</v>
      </c>
      <c r="AU219" s="5" t="str">
        <f>HYPERLINK("https://creighton-primo.hosted.exlibrisgroup.com/primo-explore/search?tab=default_tab&amp;search_scope=EVERYTHING&amp;vid=01CRU&amp;lang=en_US&amp;offset=0&amp;query=any,contains,991000561529702656","Catalog Record")</f>
        <v>Catalog Record</v>
      </c>
      <c r="AV219" s="5" t="str">
        <f>HYPERLINK("http://www.worldcat.org/oclc/60697124","WorldCat Record")</f>
        <v>WorldCat Record</v>
      </c>
      <c r="AW219" s="2" t="s">
        <v>2946</v>
      </c>
      <c r="AX219" s="2" t="s">
        <v>2947</v>
      </c>
      <c r="AY219" s="2" t="s">
        <v>2948</v>
      </c>
      <c r="AZ219" s="2" t="s">
        <v>2948</v>
      </c>
      <c r="BA219" s="2" t="s">
        <v>2949</v>
      </c>
      <c r="BB219" s="2" t="s">
        <v>79</v>
      </c>
      <c r="BD219" s="2" t="s">
        <v>2950</v>
      </c>
      <c r="BE219" s="2" t="s">
        <v>2951</v>
      </c>
      <c r="BF219" s="2" t="s">
        <v>2952</v>
      </c>
    </row>
    <row r="220" spans="1:58" ht="46.5" customHeight="1">
      <c r="A220" s="1"/>
      <c r="B220" s="1" t="s">
        <v>58</v>
      </c>
      <c r="C220" s="1" t="s">
        <v>59</v>
      </c>
      <c r="D220" s="1" t="s">
        <v>2953</v>
      </c>
      <c r="E220" s="1" t="s">
        <v>2954</v>
      </c>
      <c r="F220" s="1" t="s">
        <v>2955</v>
      </c>
      <c r="H220" s="2" t="s">
        <v>63</v>
      </c>
      <c r="I220" s="2" t="s">
        <v>64</v>
      </c>
      <c r="J220" s="2" t="s">
        <v>63</v>
      </c>
      <c r="K220" s="2" t="s">
        <v>63</v>
      </c>
      <c r="L220" s="2" t="s">
        <v>65</v>
      </c>
      <c r="M220" s="1" t="s">
        <v>2956</v>
      </c>
      <c r="N220" s="1" t="s">
        <v>2957</v>
      </c>
      <c r="O220" s="2" t="s">
        <v>407</v>
      </c>
      <c r="Q220" s="2" t="s">
        <v>70</v>
      </c>
      <c r="R220" s="2" t="s">
        <v>89</v>
      </c>
      <c r="T220" s="2" t="s">
        <v>72</v>
      </c>
      <c r="U220" s="3">
        <v>12</v>
      </c>
      <c r="V220" s="3">
        <v>12</v>
      </c>
      <c r="W220" s="4" t="s">
        <v>2615</v>
      </c>
      <c r="X220" s="4" t="s">
        <v>2615</v>
      </c>
      <c r="Y220" s="4" t="s">
        <v>2958</v>
      </c>
      <c r="Z220" s="4" t="s">
        <v>2958</v>
      </c>
      <c r="AA220" s="3">
        <v>175</v>
      </c>
      <c r="AB220" s="3">
        <v>144</v>
      </c>
      <c r="AC220" s="3">
        <v>201</v>
      </c>
      <c r="AD220" s="3">
        <v>2</v>
      </c>
      <c r="AE220" s="3">
        <v>2</v>
      </c>
      <c r="AF220" s="3">
        <v>4</v>
      </c>
      <c r="AG220" s="3">
        <v>6</v>
      </c>
      <c r="AH220" s="3">
        <v>2</v>
      </c>
      <c r="AI220" s="3">
        <v>3</v>
      </c>
      <c r="AJ220" s="3">
        <v>2</v>
      </c>
      <c r="AK220" s="3">
        <v>2</v>
      </c>
      <c r="AL220" s="3">
        <v>1</v>
      </c>
      <c r="AM220" s="3">
        <v>2</v>
      </c>
      <c r="AN220" s="3">
        <v>0</v>
      </c>
      <c r="AO220" s="3">
        <v>0</v>
      </c>
      <c r="AP220" s="3">
        <v>0</v>
      </c>
      <c r="AQ220" s="3">
        <v>0</v>
      </c>
      <c r="AR220" s="2" t="s">
        <v>63</v>
      </c>
      <c r="AS220" s="2" t="s">
        <v>92</v>
      </c>
      <c r="AT220" s="5" t="str">
        <f>HYPERLINK("http://catalog.hathitrust.org/Record/002181034","HathiTrust Record")</f>
        <v>HathiTrust Record</v>
      </c>
      <c r="AU220" s="5" t="str">
        <f>HYPERLINK("https://creighton-primo.hosted.exlibrisgroup.com/primo-explore/search?tab=default_tab&amp;search_scope=EVERYTHING&amp;vid=01CRU&amp;lang=en_US&amp;offset=0&amp;query=any,contains,991001451809702656","Catalog Record")</f>
        <v>Catalog Record</v>
      </c>
      <c r="AV220" s="5" t="str">
        <f>HYPERLINK("http://www.worldcat.org/oclc/20823488","WorldCat Record")</f>
        <v>WorldCat Record</v>
      </c>
      <c r="AW220" s="2" t="s">
        <v>2959</v>
      </c>
      <c r="AX220" s="2" t="s">
        <v>2960</v>
      </c>
      <c r="AY220" s="2" t="s">
        <v>2961</v>
      </c>
      <c r="AZ220" s="2" t="s">
        <v>2961</v>
      </c>
      <c r="BA220" s="2" t="s">
        <v>2962</v>
      </c>
      <c r="BB220" s="2" t="s">
        <v>79</v>
      </c>
      <c r="BD220" s="2" t="s">
        <v>2963</v>
      </c>
      <c r="BE220" s="2" t="s">
        <v>2964</v>
      </c>
      <c r="BF220" s="2" t="s">
        <v>2965</v>
      </c>
    </row>
    <row r="221" spans="1:58" ht="46.5" customHeight="1">
      <c r="A221" s="1"/>
      <c r="B221" s="1" t="s">
        <v>58</v>
      </c>
      <c r="C221" s="1" t="s">
        <v>59</v>
      </c>
      <c r="D221" s="1" t="s">
        <v>2966</v>
      </c>
      <c r="E221" s="1" t="s">
        <v>2967</v>
      </c>
      <c r="F221" s="1" t="s">
        <v>2968</v>
      </c>
      <c r="H221" s="2" t="s">
        <v>63</v>
      </c>
      <c r="I221" s="2" t="s">
        <v>64</v>
      </c>
      <c r="J221" s="2" t="s">
        <v>63</v>
      </c>
      <c r="K221" s="2" t="s">
        <v>63</v>
      </c>
      <c r="L221" s="2" t="s">
        <v>65</v>
      </c>
      <c r="M221" s="1" t="s">
        <v>2969</v>
      </c>
      <c r="N221" s="1" t="s">
        <v>2970</v>
      </c>
      <c r="O221" s="2" t="s">
        <v>275</v>
      </c>
      <c r="P221" s="1" t="s">
        <v>259</v>
      </c>
      <c r="Q221" s="2" t="s">
        <v>70</v>
      </c>
      <c r="R221" s="2" t="s">
        <v>260</v>
      </c>
      <c r="T221" s="2" t="s">
        <v>72</v>
      </c>
      <c r="U221" s="3">
        <v>6</v>
      </c>
      <c r="V221" s="3">
        <v>6</v>
      </c>
      <c r="W221" s="4" t="s">
        <v>1004</v>
      </c>
      <c r="X221" s="4" t="s">
        <v>1004</v>
      </c>
      <c r="Y221" s="4" t="s">
        <v>2971</v>
      </c>
      <c r="Z221" s="4" t="s">
        <v>2971</v>
      </c>
      <c r="AA221" s="3">
        <v>181</v>
      </c>
      <c r="AB221" s="3">
        <v>159</v>
      </c>
      <c r="AC221" s="3">
        <v>242</v>
      </c>
      <c r="AD221" s="3">
        <v>1</v>
      </c>
      <c r="AE221" s="3">
        <v>1</v>
      </c>
      <c r="AF221" s="3">
        <v>3</v>
      </c>
      <c r="AG221" s="3">
        <v>5</v>
      </c>
      <c r="AH221" s="3">
        <v>1</v>
      </c>
      <c r="AI221" s="3">
        <v>1</v>
      </c>
      <c r="AJ221" s="3">
        <v>0</v>
      </c>
      <c r="AK221" s="3">
        <v>0</v>
      </c>
      <c r="AL221" s="3">
        <v>2</v>
      </c>
      <c r="AM221" s="3">
        <v>4</v>
      </c>
      <c r="AN221" s="3">
        <v>0</v>
      </c>
      <c r="AO221" s="3">
        <v>0</v>
      </c>
      <c r="AP221" s="3">
        <v>0</v>
      </c>
      <c r="AQ221" s="3">
        <v>0</v>
      </c>
      <c r="AR221" s="2" t="s">
        <v>63</v>
      </c>
      <c r="AS221" s="2" t="s">
        <v>63</v>
      </c>
      <c r="AU221" s="5" t="str">
        <f>HYPERLINK("https://creighton-primo.hosted.exlibrisgroup.com/primo-explore/search?tab=default_tab&amp;search_scope=EVERYTHING&amp;vid=01CRU&amp;lang=en_US&amp;offset=0&amp;query=any,contains,991000833139702656","Catalog Record")</f>
        <v>Catalog Record</v>
      </c>
      <c r="AV221" s="5" t="str">
        <f>HYPERLINK("http://www.worldcat.org/oclc/32970360","WorldCat Record")</f>
        <v>WorldCat Record</v>
      </c>
      <c r="AW221" s="2" t="s">
        <v>2972</v>
      </c>
      <c r="AX221" s="2" t="s">
        <v>2973</v>
      </c>
      <c r="AY221" s="2" t="s">
        <v>2974</v>
      </c>
      <c r="AZ221" s="2" t="s">
        <v>2974</v>
      </c>
      <c r="BA221" s="2" t="s">
        <v>2975</v>
      </c>
      <c r="BB221" s="2" t="s">
        <v>79</v>
      </c>
      <c r="BD221" s="2" t="s">
        <v>2976</v>
      </c>
      <c r="BE221" s="2" t="s">
        <v>2977</v>
      </c>
      <c r="BF221" s="2" t="s">
        <v>2978</v>
      </c>
    </row>
    <row r="222" spans="1:58" ht="46.5" customHeight="1">
      <c r="A222" s="1"/>
      <c r="B222" s="1" t="s">
        <v>58</v>
      </c>
      <c r="C222" s="1" t="s">
        <v>59</v>
      </c>
      <c r="D222" s="1" t="s">
        <v>2979</v>
      </c>
      <c r="E222" s="1" t="s">
        <v>2980</v>
      </c>
      <c r="F222" s="1" t="s">
        <v>2981</v>
      </c>
      <c r="H222" s="2" t="s">
        <v>63</v>
      </c>
      <c r="I222" s="2" t="s">
        <v>64</v>
      </c>
      <c r="J222" s="2" t="s">
        <v>63</v>
      </c>
      <c r="K222" s="2" t="s">
        <v>63</v>
      </c>
      <c r="L222" s="2" t="s">
        <v>65</v>
      </c>
      <c r="M222" s="1" t="s">
        <v>2982</v>
      </c>
      <c r="N222" s="1" t="s">
        <v>2983</v>
      </c>
      <c r="O222" s="2" t="s">
        <v>440</v>
      </c>
      <c r="Q222" s="2" t="s">
        <v>70</v>
      </c>
      <c r="R222" s="2" t="s">
        <v>277</v>
      </c>
      <c r="T222" s="2" t="s">
        <v>72</v>
      </c>
      <c r="U222" s="3">
        <v>0</v>
      </c>
      <c r="V222" s="3">
        <v>0</v>
      </c>
      <c r="W222" s="4" t="s">
        <v>2984</v>
      </c>
      <c r="X222" s="4" t="s">
        <v>2984</v>
      </c>
      <c r="Y222" s="4" t="s">
        <v>2985</v>
      </c>
      <c r="Z222" s="4" t="s">
        <v>2985</v>
      </c>
      <c r="AA222" s="3">
        <v>27</v>
      </c>
      <c r="AB222" s="3">
        <v>27</v>
      </c>
      <c r="AC222" s="3">
        <v>27</v>
      </c>
      <c r="AD222" s="3">
        <v>1</v>
      </c>
      <c r="AE222" s="3">
        <v>1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2" t="s">
        <v>63</v>
      </c>
      <c r="AS222" s="2" t="s">
        <v>63</v>
      </c>
      <c r="AU222" s="5" t="str">
        <f>HYPERLINK("https://creighton-primo.hosted.exlibrisgroup.com/primo-explore/search?tab=default_tab&amp;search_scope=EVERYTHING&amp;vid=01CRU&amp;lang=en_US&amp;offset=0&amp;query=any,contains,991000531949702656","Catalog Record")</f>
        <v>Catalog Record</v>
      </c>
      <c r="AV222" s="5" t="str">
        <f>HYPERLINK("http://www.worldcat.org/oclc/50573710","WorldCat Record")</f>
        <v>WorldCat Record</v>
      </c>
      <c r="AW222" s="2" t="s">
        <v>2986</v>
      </c>
      <c r="AX222" s="2" t="s">
        <v>2987</v>
      </c>
      <c r="AY222" s="2" t="s">
        <v>2988</v>
      </c>
      <c r="AZ222" s="2" t="s">
        <v>2988</v>
      </c>
      <c r="BA222" s="2" t="s">
        <v>2989</v>
      </c>
      <c r="BB222" s="2" t="s">
        <v>79</v>
      </c>
      <c r="BD222" s="2" t="s">
        <v>2990</v>
      </c>
      <c r="BE222" s="2" t="s">
        <v>2991</v>
      </c>
      <c r="BF222" s="2" t="s">
        <v>2992</v>
      </c>
    </row>
    <row r="223" spans="1:58" ht="46.5" customHeight="1">
      <c r="A223" s="1"/>
      <c r="B223" s="1" t="s">
        <v>58</v>
      </c>
      <c r="C223" s="1" t="s">
        <v>59</v>
      </c>
      <c r="D223" s="1" t="s">
        <v>2993</v>
      </c>
      <c r="E223" s="1" t="s">
        <v>2994</v>
      </c>
      <c r="F223" s="1" t="s">
        <v>2995</v>
      </c>
      <c r="H223" s="2" t="s">
        <v>63</v>
      </c>
      <c r="I223" s="2" t="s">
        <v>64</v>
      </c>
      <c r="J223" s="2" t="s">
        <v>63</v>
      </c>
      <c r="K223" s="2" t="s">
        <v>63</v>
      </c>
      <c r="L223" s="2" t="s">
        <v>65</v>
      </c>
      <c r="N223" s="1" t="s">
        <v>2996</v>
      </c>
      <c r="O223" s="2" t="s">
        <v>1268</v>
      </c>
      <c r="Q223" s="2" t="s">
        <v>70</v>
      </c>
      <c r="R223" s="2" t="s">
        <v>260</v>
      </c>
      <c r="T223" s="2" t="s">
        <v>72</v>
      </c>
      <c r="U223" s="3">
        <v>2</v>
      </c>
      <c r="V223" s="3">
        <v>2</v>
      </c>
      <c r="W223" s="4" t="s">
        <v>2774</v>
      </c>
      <c r="X223" s="4" t="s">
        <v>2774</v>
      </c>
      <c r="Y223" s="4" t="s">
        <v>2997</v>
      </c>
      <c r="Z223" s="4" t="s">
        <v>2997</v>
      </c>
      <c r="AA223" s="3">
        <v>35</v>
      </c>
      <c r="AB223" s="3">
        <v>28</v>
      </c>
      <c r="AC223" s="3">
        <v>33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  <c r="AJ223" s="3">
        <v>0</v>
      </c>
      <c r="AK223" s="3">
        <v>0</v>
      </c>
      <c r="AL223" s="3">
        <v>1</v>
      </c>
      <c r="AM223" s="3">
        <v>1</v>
      </c>
      <c r="AN223" s="3">
        <v>0</v>
      </c>
      <c r="AO223" s="3">
        <v>0</v>
      </c>
      <c r="AP223" s="3">
        <v>0</v>
      </c>
      <c r="AQ223" s="3">
        <v>0</v>
      </c>
      <c r="AR223" s="2" t="s">
        <v>63</v>
      </c>
      <c r="AS223" s="2" t="s">
        <v>63</v>
      </c>
      <c r="AU223" s="5" t="str">
        <f>HYPERLINK("https://creighton-primo.hosted.exlibrisgroup.com/primo-explore/search?tab=default_tab&amp;search_scope=EVERYTHING&amp;vid=01CRU&amp;lang=en_US&amp;offset=0&amp;query=any,contains,991000674239702656","Catalog Record")</f>
        <v>Catalog Record</v>
      </c>
      <c r="AV223" s="5" t="str">
        <f>HYPERLINK("http://www.worldcat.org/oclc/67872770","WorldCat Record")</f>
        <v>WorldCat Record</v>
      </c>
      <c r="AW223" s="2" t="s">
        <v>2998</v>
      </c>
      <c r="AX223" s="2" t="s">
        <v>2999</v>
      </c>
      <c r="AY223" s="2" t="s">
        <v>3000</v>
      </c>
      <c r="AZ223" s="2" t="s">
        <v>3000</v>
      </c>
      <c r="BA223" s="2" t="s">
        <v>3001</v>
      </c>
      <c r="BB223" s="2" t="s">
        <v>79</v>
      </c>
      <c r="BD223" s="2" t="s">
        <v>3002</v>
      </c>
      <c r="BE223" s="2" t="s">
        <v>3003</v>
      </c>
      <c r="BF223" s="2" t="s">
        <v>3004</v>
      </c>
    </row>
    <row r="224" spans="1:58" ht="46.5" customHeight="1">
      <c r="A224" s="1"/>
      <c r="B224" s="1" t="s">
        <v>58</v>
      </c>
      <c r="C224" s="1" t="s">
        <v>59</v>
      </c>
      <c r="D224" s="1" t="s">
        <v>3005</v>
      </c>
      <c r="E224" s="1" t="s">
        <v>3006</v>
      </c>
      <c r="F224" s="1" t="s">
        <v>3007</v>
      </c>
      <c r="H224" s="2" t="s">
        <v>63</v>
      </c>
      <c r="I224" s="2" t="s">
        <v>64</v>
      </c>
      <c r="J224" s="2" t="s">
        <v>63</v>
      </c>
      <c r="K224" s="2" t="s">
        <v>63</v>
      </c>
      <c r="L224" s="2" t="s">
        <v>65</v>
      </c>
      <c r="N224" s="1" t="s">
        <v>3008</v>
      </c>
      <c r="O224" s="2" t="s">
        <v>1884</v>
      </c>
      <c r="P224" s="1" t="s">
        <v>157</v>
      </c>
      <c r="Q224" s="2" t="s">
        <v>70</v>
      </c>
      <c r="R224" s="2" t="s">
        <v>892</v>
      </c>
      <c r="T224" s="2" t="s">
        <v>72</v>
      </c>
      <c r="U224" s="3">
        <v>7</v>
      </c>
      <c r="V224" s="3">
        <v>7</v>
      </c>
      <c r="W224" s="4" t="s">
        <v>3009</v>
      </c>
      <c r="X224" s="4" t="s">
        <v>3009</v>
      </c>
      <c r="Y224" s="4" t="s">
        <v>2408</v>
      </c>
      <c r="Z224" s="4" t="s">
        <v>2408</v>
      </c>
      <c r="AA224" s="3">
        <v>45</v>
      </c>
      <c r="AB224" s="3">
        <v>39</v>
      </c>
      <c r="AC224" s="3">
        <v>93</v>
      </c>
      <c r="AD224" s="3">
        <v>2</v>
      </c>
      <c r="AE224" s="3">
        <v>2</v>
      </c>
      <c r="AF224" s="3">
        <v>3</v>
      </c>
      <c r="AG224" s="3">
        <v>4</v>
      </c>
      <c r="AH224" s="3">
        <v>0</v>
      </c>
      <c r="AI224" s="3">
        <v>0</v>
      </c>
      <c r="AJ224" s="3">
        <v>1</v>
      </c>
      <c r="AK224" s="3">
        <v>2</v>
      </c>
      <c r="AL224" s="3">
        <v>2</v>
      </c>
      <c r="AM224" s="3">
        <v>2</v>
      </c>
      <c r="AN224" s="3">
        <v>1</v>
      </c>
      <c r="AO224" s="3">
        <v>1</v>
      </c>
      <c r="AP224" s="3">
        <v>0</v>
      </c>
      <c r="AQ224" s="3">
        <v>0</v>
      </c>
      <c r="AR224" s="2" t="s">
        <v>63</v>
      </c>
      <c r="AS224" s="2" t="s">
        <v>92</v>
      </c>
      <c r="AT224" s="5" t="str">
        <f>HYPERLINK("http://catalog.hathitrust.org/Record/004141319","HathiTrust Record")</f>
        <v>HathiTrust Record</v>
      </c>
      <c r="AU224" s="5" t="str">
        <f>HYPERLINK("https://creighton-primo.hosted.exlibrisgroup.com/primo-explore/search?tab=default_tab&amp;search_scope=EVERYTHING&amp;vid=01CRU&amp;lang=en_US&amp;offset=0&amp;query=any,contains,991000307669702656","Catalog Record")</f>
        <v>Catalog Record</v>
      </c>
      <c r="AV224" s="5" t="str">
        <f>HYPERLINK("http://www.worldcat.org/oclc/45076423","WorldCat Record")</f>
        <v>WorldCat Record</v>
      </c>
      <c r="AW224" s="2" t="s">
        <v>3010</v>
      </c>
      <c r="AX224" s="2" t="s">
        <v>3011</v>
      </c>
      <c r="AY224" s="2" t="s">
        <v>3012</v>
      </c>
      <c r="AZ224" s="2" t="s">
        <v>3012</v>
      </c>
      <c r="BA224" s="2" t="s">
        <v>3013</v>
      </c>
      <c r="BB224" s="2" t="s">
        <v>79</v>
      </c>
      <c r="BD224" s="2" t="s">
        <v>3014</v>
      </c>
      <c r="BE224" s="2" t="s">
        <v>3015</v>
      </c>
      <c r="BF224" s="2" t="s">
        <v>3016</v>
      </c>
    </row>
    <row r="225" spans="1:58" ht="46.5" customHeight="1">
      <c r="A225" s="1"/>
      <c r="B225" s="1" t="s">
        <v>58</v>
      </c>
      <c r="C225" s="1" t="s">
        <v>59</v>
      </c>
      <c r="D225" s="1" t="s">
        <v>3017</v>
      </c>
      <c r="E225" s="1" t="s">
        <v>3018</v>
      </c>
      <c r="F225" s="1" t="s">
        <v>3019</v>
      </c>
      <c r="H225" s="2" t="s">
        <v>63</v>
      </c>
      <c r="I225" s="2" t="s">
        <v>64</v>
      </c>
      <c r="J225" s="2" t="s">
        <v>63</v>
      </c>
      <c r="K225" s="2" t="s">
        <v>63</v>
      </c>
      <c r="L225" s="2" t="s">
        <v>65</v>
      </c>
      <c r="M225" s="1" t="s">
        <v>3020</v>
      </c>
      <c r="N225" s="1" t="s">
        <v>3021</v>
      </c>
      <c r="O225" s="2" t="s">
        <v>407</v>
      </c>
      <c r="P225" s="1" t="s">
        <v>3022</v>
      </c>
      <c r="Q225" s="2" t="s">
        <v>70</v>
      </c>
      <c r="R225" s="2" t="s">
        <v>1739</v>
      </c>
      <c r="T225" s="2" t="s">
        <v>72</v>
      </c>
      <c r="U225" s="3">
        <v>6</v>
      </c>
      <c r="V225" s="3">
        <v>6</v>
      </c>
      <c r="W225" s="4" t="s">
        <v>3023</v>
      </c>
      <c r="X225" s="4" t="s">
        <v>3023</v>
      </c>
      <c r="Y225" s="4" t="s">
        <v>3024</v>
      </c>
      <c r="Z225" s="4" t="s">
        <v>3024</v>
      </c>
      <c r="AA225" s="3">
        <v>230</v>
      </c>
      <c r="AB225" s="3">
        <v>194</v>
      </c>
      <c r="AC225" s="3">
        <v>207</v>
      </c>
      <c r="AD225" s="3">
        <v>3</v>
      </c>
      <c r="AE225" s="3">
        <v>3</v>
      </c>
      <c r="AF225" s="3">
        <v>7</v>
      </c>
      <c r="AG225" s="3">
        <v>7</v>
      </c>
      <c r="AH225" s="3">
        <v>1</v>
      </c>
      <c r="AI225" s="3">
        <v>1</v>
      </c>
      <c r="AJ225" s="3">
        <v>3</v>
      </c>
      <c r="AK225" s="3">
        <v>3</v>
      </c>
      <c r="AL225" s="3">
        <v>3</v>
      </c>
      <c r="AM225" s="3">
        <v>3</v>
      </c>
      <c r="AN225" s="3">
        <v>2</v>
      </c>
      <c r="AO225" s="3">
        <v>2</v>
      </c>
      <c r="AP225" s="3">
        <v>0</v>
      </c>
      <c r="AQ225" s="3">
        <v>0</v>
      </c>
      <c r="AR225" s="2" t="s">
        <v>63</v>
      </c>
      <c r="AS225" s="2" t="s">
        <v>92</v>
      </c>
      <c r="AT225" s="5" t="str">
        <f>HYPERLINK("http://catalog.hathitrust.org/Record/001948493","HathiTrust Record")</f>
        <v>HathiTrust Record</v>
      </c>
      <c r="AU225" s="5" t="str">
        <f>HYPERLINK("https://creighton-primo.hosted.exlibrisgroup.com/primo-explore/search?tab=default_tab&amp;search_scope=EVERYTHING&amp;vid=01CRU&amp;lang=en_US&amp;offset=0&amp;query=any,contains,991001024329702656","Catalog Record")</f>
        <v>Catalog Record</v>
      </c>
      <c r="AV225" s="5" t="str">
        <f>HYPERLINK("http://www.worldcat.org/oclc/20490694","WorldCat Record")</f>
        <v>WorldCat Record</v>
      </c>
      <c r="AW225" s="2" t="s">
        <v>3025</v>
      </c>
      <c r="AX225" s="2" t="s">
        <v>3026</v>
      </c>
      <c r="AY225" s="2" t="s">
        <v>3027</v>
      </c>
      <c r="AZ225" s="2" t="s">
        <v>3027</v>
      </c>
      <c r="BA225" s="2" t="s">
        <v>3028</v>
      </c>
      <c r="BB225" s="2" t="s">
        <v>79</v>
      </c>
      <c r="BD225" s="2" t="s">
        <v>3029</v>
      </c>
      <c r="BE225" s="2" t="s">
        <v>3030</v>
      </c>
      <c r="BF225" s="2" t="s">
        <v>3031</v>
      </c>
    </row>
    <row r="226" spans="1:58" ht="46.5" customHeight="1">
      <c r="A226" s="1"/>
      <c r="B226" s="1" t="s">
        <v>58</v>
      </c>
      <c r="C226" s="1" t="s">
        <v>59</v>
      </c>
      <c r="D226" s="1" t="s">
        <v>3032</v>
      </c>
      <c r="E226" s="1" t="s">
        <v>3033</v>
      </c>
      <c r="F226" s="1" t="s">
        <v>3034</v>
      </c>
      <c r="H226" s="2" t="s">
        <v>63</v>
      </c>
      <c r="I226" s="2" t="s">
        <v>64</v>
      </c>
      <c r="J226" s="2" t="s">
        <v>63</v>
      </c>
      <c r="K226" s="2" t="s">
        <v>63</v>
      </c>
      <c r="L226" s="2" t="s">
        <v>65</v>
      </c>
      <c r="M226" s="1" t="s">
        <v>3035</v>
      </c>
      <c r="N226" s="1" t="s">
        <v>3036</v>
      </c>
      <c r="O226" s="2" t="s">
        <v>145</v>
      </c>
      <c r="P226" s="1" t="s">
        <v>88</v>
      </c>
      <c r="Q226" s="2" t="s">
        <v>70</v>
      </c>
      <c r="R226" s="2" t="s">
        <v>3037</v>
      </c>
      <c r="S226" s="1" t="s">
        <v>3038</v>
      </c>
      <c r="T226" s="2" t="s">
        <v>72</v>
      </c>
      <c r="U226" s="3">
        <v>8</v>
      </c>
      <c r="V226" s="3">
        <v>8</v>
      </c>
      <c r="W226" s="4" t="s">
        <v>3039</v>
      </c>
      <c r="X226" s="4" t="s">
        <v>3039</v>
      </c>
      <c r="Y226" s="4" t="s">
        <v>3040</v>
      </c>
      <c r="Z226" s="4" t="s">
        <v>3040</v>
      </c>
      <c r="AA226" s="3">
        <v>93</v>
      </c>
      <c r="AB226" s="3">
        <v>43</v>
      </c>
      <c r="AC226" s="3">
        <v>45</v>
      </c>
      <c r="AD226" s="3">
        <v>2</v>
      </c>
      <c r="AE226" s="3">
        <v>2</v>
      </c>
      <c r="AF226" s="3">
        <v>3</v>
      </c>
      <c r="AG226" s="3">
        <v>3</v>
      </c>
      <c r="AH226" s="3">
        <v>0</v>
      </c>
      <c r="AI226" s="3">
        <v>0</v>
      </c>
      <c r="AJ226" s="3">
        <v>1</v>
      </c>
      <c r="AK226" s="3">
        <v>1</v>
      </c>
      <c r="AL226" s="3">
        <v>2</v>
      </c>
      <c r="AM226" s="3">
        <v>2</v>
      </c>
      <c r="AN226" s="3">
        <v>1</v>
      </c>
      <c r="AO226" s="3">
        <v>1</v>
      </c>
      <c r="AP226" s="3">
        <v>0</v>
      </c>
      <c r="AQ226" s="3">
        <v>0</v>
      </c>
      <c r="AR226" s="2" t="s">
        <v>63</v>
      </c>
      <c r="AS226" s="2" t="s">
        <v>92</v>
      </c>
      <c r="AT226" s="5" t="str">
        <f>HYPERLINK("http://catalog.hathitrust.org/Record/002981935","HathiTrust Record")</f>
        <v>HathiTrust Record</v>
      </c>
      <c r="AU226" s="5" t="str">
        <f>HYPERLINK("https://creighton-primo.hosted.exlibrisgroup.com/primo-explore/search?tab=default_tab&amp;search_scope=EVERYTHING&amp;vid=01CRU&amp;lang=en_US&amp;offset=0&amp;query=any,contains,991001271289702656","Catalog Record")</f>
        <v>Catalog Record</v>
      </c>
      <c r="AV226" s="5" t="str">
        <f>HYPERLINK("http://www.worldcat.org/oclc/30737804","WorldCat Record")</f>
        <v>WorldCat Record</v>
      </c>
      <c r="AW226" s="2" t="s">
        <v>3041</v>
      </c>
      <c r="AX226" s="2" t="s">
        <v>3042</v>
      </c>
      <c r="AY226" s="2" t="s">
        <v>3043</v>
      </c>
      <c r="AZ226" s="2" t="s">
        <v>3043</v>
      </c>
      <c r="BA226" s="2" t="s">
        <v>3044</v>
      </c>
      <c r="BB226" s="2" t="s">
        <v>79</v>
      </c>
      <c r="BD226" s="2" t="s">
        <v>3045</v>
      </c>
      <c r="BE226" s="2" t="s">
        <v>3046</v>
      </c>
      <c r="BF226" s="2" t="s">
        <v>3047</v>
      </c>
    </row>
    <row r="227" spans="1:58" ht="46.5" customHeight="1">
      <c r="A227" s="1"/>
      <c r="B227" s="1" t="s">
        <v>58</v>
      </c>
      <c r="C227" s="1" t="s">
        <v>59</v>
      </c>
      <c r="D227" s="1" t="s">
        <v>3048</v>
      </c>
      <c r="E227" s="1" t="s">
        <v>3049</v>
      </c>
      <c r="F227" s="1" t="s">
        <v>3050</v>
      </c>
      <c r="H227" s="2" t="s">
        <v>63</v>
      </c>
      <c r="I227" s="2" t="s">
        <v>64</v>
      </c>
      <c r="J227" s="2" t="s">
        <v>63</v>
      </c>
      <c r="K227" s="2" t="s">
        <v>63</v>
      </c>
      <c r="L227" s="2" t="s">
        <v>65</v>
      </c>
      <c r="M227" s="1" t="s">
        <v>3035</v>
      </c>
      <c r="N227" s="1" t="s">
        <v>3051</v>
      </c>
      <c r="O227" s="2" t="s">
        <v>104</v>
      </c>
      <c r="P227" s="1" t="s">
        <v>230</v>
      </c>
      <c r="Q227" s="2" t="s">
        <v>70</v>
      </c>
      <c r="R227" s="2" t="s">
        <v>3037</v>
      </c>
      <c r="S227" s="1" t="s">
        <v>3052</v>
      </c>
      <c r="T227" s="2" t="s">
        <v>72</v>
      </c>
      <c r="U227" s="3">
        <v>9</v>
      </c>
      <c r="V227" s="3">
        <v>9</v>
      </c>
      <c r="W227" s="4" t="s">
        <v>3053</v>
      </c>
      <c r="X227" s="4" t="s">
        <v>3053</v>
      </c>
      <c r="Y227" s="4" t="s">
        <v>2525</v>
      </c>
      <c r="Z227" s="4" t="s">
        <v>2525</v>
      </c>
      <c r="AA227" s="3">
        <v>89</v>
      </c>
      <c r="AB227" s="3">
        <v>41</v>
      </c>
      <c r="AC227" s="3">
        <v>90</v>
      </c>
      <c r="AD227" s="3">
        <v>2</v>
      </c>
      <c r="AE227" s="3">
        <v>2</v>
      </c>
      <c r="AF227" s="3">
        <v>3</v>
      </c>
      <c r="AG227" s="3">
        <v>4</v>
      </c>
      <c r="AH227" s="3">
        <v>0</v>
      </c>
      <c r="AI227" s="3">
        <v>0</v>
      </c>
      <c r="AJ227" s="3">
        <v>1</v>
      </c>
      <c r="AK227" s="3">
        <v>2</v>
      </c>
      <c r="AL227" s="3">
        <v>1</v>
      </c>
      <c r="AM227" s="3">
        <v>2</v>
      </c>
      <c r="AN227" s="3">
        <v>1</v>
      </c>
      <c r="AO227" s="3">
        <v>1</v>
      </c>
      <c r="AP227" s="3">
        <v>0</v>
      </c>
      <c r="AQ227" s="3">
        <v>0</v>
      </c>
      <c r="AR227" s="2" t="s">
        <v>63</v>
      </c>
      <c r="AS227" s="2" t="s">
        <v>92</v>
      </c>
      <c r="AT227" s="5" t="str">
        <f>HYPERLINK("http://catalog.hathitrust.org/Record/000421018","HathiTrust Record")</f>
        <v>HathiTrust Record</v>
      </c>
      <c r="AU227" s="5" t="str">
        <f>HYPERLINK("https://creighton-primo.hosted.exlibrisgroup.com/primo-explore/search?tab=default_tab&amp;search_scope=EVERYTHING&amp;vid=01CRU&amp;lang=en_US&amp;offset=0&amp;query=any,contains,991000953209702656","Catalog Record")</f>
        <v>Catalog Record</v>
      </c>
      <c r="AV227" s="5" t="str">
        <f>HYPERLINK("http://www.worldcat.org/oclc/10878372","WorldCat Record")</f>
        <v>WorldCat Record</v>
      </c>
      <c r="AW227" s="2" t="s">
        <v>3054</v>
      </c>
      <c r="AX227" s="2" t="s">
        <v>3055</v>
      </c>
      <c r="AY227" s="2" t="s">
        <v>3056</v>
      </c>
      <c r="AZ227" s="2" t="s">
        <v>3056</v>
      </c>
      <c r="BA227" s="2" t="s">
        <v>3057</v>
      </c>
      <c r="BB227" s="2" t="s">
        <v>79</v>
      </c>
      <c r="BD227" s="2" t="s">
        <v>3058</v>
      </c>
      <c r="BE227" s="2" t="s">
        <v>3059</v>
      </c>
      <c r="BF227" s="2" t="s">
        <v>3060</v>
      </c>
    </row>
    <row r="228" spans="1:58" ht="46.5" customHeight="1">
      <c r="A228" s="1"/>
      <c r="B228" s="1" t="s">
        <v>58</v>
      </c>
      <c r="C228" s="1" t="s">
        <v>59</v>
      </c>
      <c r="D228" s="1" t="s">
        <v>3061</v>
      </c>
      <c r="E228" s="1" t="s">
        <v>3062</v>
      </c>
      <c r="F228" s="1" t="s">
        <v>3063</v>
      </c>
      <c r="H228" s="2" t="s">
        <v>63</v>
      </c>
      <c r="I228" s="2" t="s">
        <v>64</v>
      </c>
      <c r="J228" s="2" t="s">
        <v>63</v>
      </c>
      <c r="K228" s="2" t="s">
        <v>63</v>
      </c>
      <c r="L228" s="2" t="s">
        <v>65</v>
      </c>
      <c r="M228" s="1" t="s">
        <v>3064</v>
      </c>
      <c r="N228" s="1" t="s">
        <v>3065</v>
      </c>
      <c r="O228" s="2" t="s">
        <v>1241</v>
      </c>
      <c r="Q228" s="2" t="s">
        <v>70</v>
      </c>
      <c r="R228" s="2" t="s">
        <v>2284</v>
      </c>
      <c r="S228" s="1" t="s">
        <v>3066</v>
      </c>
      <c r="T228" s="2" t="s">
        <v>72</v>
      </c>
      <c r="U228" s="3">
        <v>0</v>
      </c>
      <c r="V228" s="3">
        <v>0</v>
      </c>
      <c r="W228" s="4" t="s">
        <v>3067</v>
      </c>
      <c r="X228" s="4" t="s">
        <v>3067</v>
      </c>
      <c r="Y228" s="4" t="s">
        <v>3068</v>
      </c>
      <c r="Z228" s="4" t="s">
        <v>3068</v>
      </c>
      <c r="AA228" s="3">
        <v>43</v>
      </c>
      <c r="AB228" s="3">
        <v>25</v>
      </c>
      <c r="AC228" s="3">
        <v>38</v>
      </c>
      <c r="AD228" s="3">
        <v>1</v>
      </c>
      <c r="AE228" s="3">
        <v>1</v>
      </c>
      <c r="AF228" s="3">
        <v>2</v>
      </c>
      <c r="AG228" s="3">
        <v>4</v>
      </c>
      <c r="AH228" s="3">
        <v>0</v>
      </c>
      <c r="AI228" s="3">
        <v>0</v>
      </c>
      <c r="AJ228" s="3">
        <v>1</v>
      </c>
      <c r="AK228" s="3">
        <v>3</v>
      </c>
      <c r="AL228" s="3">
        <v>2</v>
      </c>
      <c r="AM228" s="3">
        <v>2</v>
      </c>
      <c r="AN228" s="3">
        <v>0</v>
      </c>
      <c r="AO228" s="3">
        <v>0</v>
      </c>
      <c r="AP228" s="3">
        <v>0</v>
      </c>
      <c r="AQ228" s="3">
        <v>0</v>
      </c>
      <c r="AR228" s="2" t="s">
        <v>63</v>
      </c>
      <c r="AS228" s="2" t="s">
        <v>63</v>
      </c>
      <c r="AU228" s="5" t="str">
        <f>HYPERLINK("https://creighton-primo.hosted.exlibrisgroup.com/primo-explore/search?tab=default_tab&amp;search_scope=EVERYTHING&amp;vid=01CRU&amp;lang=en_US&amp;offset=0&amp;query=any,contains,991000916349702656","Catalog Record")</f>
        <v>Catalog Record</v>
      </c>
      <c r="AV228" s="5" t="str">
        <f>HYPERLINK("http://www.worldcat.org/oclc/244814875","WorldCat Record")</f>
        <v>WorldCat Record</v>
      </c>
      <c r="AW228" s="2" t="s">
        <v>3069</v>
      </c>
      <c r="AX228" s="2" t="s">
        <v>3070</v>
      </c>
      <c r="AY228" s="2" t="s">
        <v>3071</v>
      </c>
      <c r="AZ228" s="2" t="s">
        <v>3071</v>
      </c>
      <c r="BA228" s="2" t="s">
        <v>3072</v>
      </c>
      <c r="BB228" s="2" t="s">
        <v>79</v>
      </c>
      <c r="BD228" s="2" t="s">
        <v>3073</v>
      </c>
      <c r="BE228" s="2" t="s">
        <v>3074</v>
      </c>
      <c r="BF228" s="2" t="s">
        <v>3075</v>
      </c>
    </row>
    <row r="229" spans="1:58" ht="46.5" customHeight="1">
      <c r="A229" s="1"/>
      <c r="B229" s="1" t="s">
        <v>58</v>
      </c>
      <c r="C229" s="1" t="s">
        <v>59</v>
      </c>
      <c r="D229" s="1" t="s">
        <v>3076</v>
      </c>
      <c r="E229" s="1" t="s">
        <v>3077</v>
      </c>
      <c r="F229" s="1" t="s">
        <v>3078</v>
      </c>
      <c r="H229" s="2" t="s">
        <v>63</v>
      </c>
      <c r="I229" s="2" t="s">
        <v>64</v>
      </c>
      <c r="J229" s="2" t="s">
        <v>63</v>
      </c>
      <c r="K229" s="2" t="s">
        <v>63</v>
      </c>
      <c r="L229" s="2" t="s">
        <v>65</v>
      </c>
      <c r="M229" s="1" t="s">
        <v>3079</v>
      </c>
      <c r="N229" s="1" t="s">
        <v>3080</v>
      </c>
      <c r="O229" s="2" t="s">
        <v>215</v>
      </c>
      <c r="P229" s="1" t="s">
        <v>157</v>
      </c>
      <c r="Q229" s="2" t="s">
        <v>70</v>
      </c>
      <c r="R229" s="2" t="s">
        <v>691</v>
      </c>
      <c r="T229" s="2" t="s">
        <v>72</v>
      </c>
      <c r="U229" s="3">
        <v>21</v>
      </c>
      <c r="V229" s="3">
        <v>21</v>
      </c>
      <c r="W229" s="4" t="s">
        <v>3081</v>
      </c>
      <c r="X229" s="4" t="s">
        <v>3081</v>
      </c>
      <c r="Y229" s="4" t="s">
        <v>2159</v>
      </c>
      <c r="Z229" s="4" t="s">
        <v>2159</v>
      </c>
      <c r="AA229" s="3">
        <v>81</v>
      </c>
      <c r="AB229" s="3">
        <v>52</v>
      </c>
      <c r="AC229" s="3">
        <v>108</v>
      </c>
      <c r="AD229" s="3">
        <v>1</v>
      </c>
      <c r="AE229" s="3">
        <v>2</v>
      </c>
      <c r="AF229" s="3">
        <v>1</v>
      </c>
      <c r="AG229" s="3">
        <v>3</v>
      </c>
      <c r="AH229" s="3">
        <v>0</v>
      </c>
      <c r="AI229" s="3">
        <v>0</v>
      </c>
      <c r="AJ229" s="3">
        <v>0</v>
      </c>
      <c r="AK229" s="3">
        <v>1</v>
      </c>
      <c r="AL229" s="3">
        <v>1</v>
      </c>
      <c r="AM229" s="3">
        <v>2</v>
      </c>
      <c r="AN229" s="3">
        <v>0</v>
      </c>
      <c r="AO229" s="3">
        <v>1</v>
      </c>
      <c r="AP229" s="3">
        <v>0</v>
      </c>
      <c r="AQ229" s="3">
        <v>0</v>
      </c>
      <c r="AR229" s="2" t="s">
        <v>63</v>
      </c>
      <c r="AS229" s="2" t="s">
        <v>92</v>
      </c>
      <c r="AT229" s="5" t="str">
        <f>HYPERLINK("http://catalog.hathitrust.org/Record/000332966","HathiTrust Record")</f>
        <v>HathiTrust Record</v>
      </c>
      <c r="AU229" s="5" t="str">
        <f>HYPERLINK("https://creighton-primo.hosted.exlibrisgroup.com/primo-explore/search?tab=default_tab&amp;search_scope=EVERYTHING&amp;vid=01CRU&amp;lang=en_US&amp;offset=0&amp;query=any,contains,991000953249702656","Catalog Record")</f>
        <v>Catalog Record</v>
      </c>
      <c r="AV229" s="5" t="str">
        <f>HYPERLINK("http://www.worldcat.org/oclc/10752640","WorldCat Record")</f>
        <v>WorldCat Record</v>
      </c>
      <c r="AW229" s="2" t="s">
        <v>3082</v>
      </c>
      <c r="AX229" s="2" t="s">
        <v>3083</v>
      </c>
      <c r="AY229" s="2" t="s">
        <v>3084</v>
      </c>
      <c r="AZ229" s="2" t="s">
        <v>3084</v>
      </c>
      <c r="BA229" s="2" t="s">
        <v>3085</v>
      </c>
      <c r="BB229" s="2" t="s">
        <v>79</v>
      </c>
      <c r="BD229" s="2" t="s">
        <v>3086</v>
      </c>
      <c r="BE229" s="2" t="s">
        <v>3087</v>
      </c>
      <c r="BF229" s="2" t="s">
        <v>3088</v>
      </c>
    </row>
    <row r="230" spans="1:58" ht="46.5" customHeight="1">
      <c r="A230" s="1"/>
      <c r="B230" s="1" t="s">
        <v>58</v>
      </c>
      <c r="C230" s="1" t="s">
        <v>59</v>
      </c>
      <c r="D230" s="1" t="s">
        <v>3089</v>
      </c>
      <c r="E230" s="1" t="s">
        <v>3090</v>
      </c>
      <c r="F230" s="1" t="s">
        <v>3091</v>
      </c>
      <c r="H230" s="2" t="s">
        <v>63</v>
      </c>
      <c r="I230" s="2" t="s">
        <v>64</v>
      </c>
      <c r="J230" s="2" t="s">
        <v>63</v>
      </c>
      <c r="K230" s="2" t="s">
        <v>63</v>
      </c>
      <c r="L230" s="2" t="s">
        <v>65</v>
      </c>
      <c r="N230" s="1" t="s">
        <v>291</v>
      </c>
      <c r="O230" s="2" t="s">
        <v>292</v>
      </c>
      <c r="P230" s="1" t="s">
        <v>230</v>
      </c>
      <c r="Q230" s="2" t="s">
        <v>70</v>
      </c>
      <c r="R230" s="2" t="s">
        <v>89</v>
      </c>
      <c r="T230" s="2" t="s">
        <v>72</v>
      </c>
      <c r="U230" s="3">
        <v>9</v>
      </c>
      <c r="V230" s="3">
        <v>9</v>
      </c>
      <c r="W230" s="4" t="s">
        <v>3092</v>
      </c>
      <c r="X230" s="4" t="s">
        <v>3092</v>
      </c>
      <c r="Y230" s="4" t="s">
        <v>3093</v>
      </c>
      <c r="Z230" s="4" t="s">
        <v>3093</v>
      </c>
      <c r="AA230" s="3">
        <v>136</v>
      </c>
      <c r="AB230" s="3">
        <v>89</v>
      </c>
      <c r="AC230" s="3">
        <v>165</v>
      </c>
      <c r="AD230" s="3">
        <v>2</v>
      </c>
      <c r="AE230" s="3">
        <v>2</v>
      </c>
      <c r="AF230" s="3">
        <v>4</v>
      </c>
      <c r="AG230" s="3">
        <v>4</v>
      </c>
      <c r="AH230" s="3">
        <v>0</v>
      </c>
      <c r="AI230" s="3">
        <v>0</v>
      </c>
      <c r="AJ230" s="3">
        <v>2</v>
      </c>
      <c r="AK230" s="3">
        <v>2</v>
      </c>
      <c r="AL230" s="3">
        <v>2</v>
      </c>
      <c r="AM230" s="3">
        <v>2</v>
      </c>
      <c r="AN230" s="3">
        <v>1</v>
      </c>
      <c r="AO230" s="3">
        <v>1</v>
      </c>
      <c r="AP230" s="3">
        <v>0</v>
      </c>
      <c r="AQ230" s="3">
        <v>0</v>
      </c>
      <c r="AR230" s="2" t="s">
        <v>63</v>
      </c>
      <c r="AS230" s="2" t="s">
        <v>92</v>
      </c>
      <c r="AT230" s="5" t="str">
        <f>HYPERLINK("http://catalog.hathitrust.org/Record/000885238","HathiTrust Record")</f>
        <v>HathiTrust Record</v>
      </c>
      <c r="AU230" s="5" t="str">
        <f>HYPERLINK("https://creighton-primo.hosted.exlibrisgroup.com/primo-explore/search?tab=default_tab&amp;search_scope=EVERYTHING&amp;vid=01CRU&amp;lang=en_US&amp;offset=0&amp;query=any,contains,991001539859702656","Catalog Record")</f>
        <v>Catalog Record</v>
      </c>
      <c r="AV230" s="5" t="str">
        <f>HYPERLINK("http://www.worldcat.org/oclc/16227161","WorldCat Record")</f>
        <v>WorldCat Record</v>
      </c>
      <c r="AW230" s="2" t="s">
        <v>3094</v>
      </c>
      <c r="AX230" s="2" t="s">
        <v>3095</v>
      </c>
      <c r="AY230" s="2" t="s">
        <v>3096</v>
      </c>
      <c r="AZ230" s="2" t="s">
        <v>3096</v>
      </c>
      <c r="BA230" s="2" t="s">
        <v>3097</v>
      </c>
      <c r="BB230" s="2" t="s">
        <v>79</v>
      </c>
      <c r="BD230" s="2" t="s">
        <v>3098</v>
      </c>
      <c r="BE230" s="2" t="s">
        <v>3099</v>
      </c>
      <c r="BF230" s="2" t="s">
        <v>3100</v>
      </c>
    </row>
    <row r="231" spans="1:58" ht="46.5" customHeight="1">
      <c r="A231" s="1"/>
      <c r="B231" s="1" t="s">
        <v>58</v>
      </c>
      <c r="C231" s="1" t="s">
        <v>59</v>
      </c>
      <c r="D231" s="1" t="s">
        <v>3101</v>
      </c>
      <c r="E231" s="1" t="s">
        <v>3102</v>
      </c>
      <c r="F231" s="1" t="s">
        <v>3103</v>
      </c>
      <c r="H231" s="2" t="s">
        <v>63</v>
      </c>
      <c r="I231" s="2" t="s">
        <v>64</v>
      </c>
      <c r="J231" s="2" t="s">
        <v>63</v>
      </c>
      <c r="K231" s="2" t="s">
        <v>63</v>
      </c>
      <c r="L231" s="2" t="s">
        <v>65</v>
      </c>
      <c r="N231" s="1" t="s">
        <v>3104</v>
      </c>
      <c r="O231" s="2" t="s">
        <v>275</v>
      </c>
      <c r="Q231" s="2" t="s">
        <v>70</v>
      </c>
      <c r="R231" s="2" t="s">
        <v>1739</v>
      </c>
      <c r="S231" s="1" t="s">
        <v>3105</v>
      </c>
      <c r="T231" s="2" t="s">
        <v>72</v>
      </c>
      <c r="U231" s="3">
        <v>3</v>
      </c>
      <c r="V231" s="3">
        <v>3</v>
      </c>
      <c r="W231" s="4" t="s">
        <v>3106</v>
      </c>
      <c r="X231" s="4" t="s">
        <v>3106</v>
      </c>
      <c r="Y231" s="4" t="s">
        <v>3107</v>
      </c>
      <c r="Z231" s="4" t="s">
        <v>3107</v>
      </c>
      <c r="AA231" s="3">
        <v>155</v>
      </c>
      <c r="AB231" s="3">
        <v>82</v>
      </c>
      <c r="AC231" s="3">
        <v>154</v>
      </c>
      <c r="AD231" s="3">
        <v>2</v>
      </c>
      <c r="AE231" s="3">
        <v>4</v>
      </c>
      <c r="AF231" s="3">
        <v>2</v>
      </c>
      <c r="AG231" s="3">
        <v>6</v>
      </c>
      <c r="AH231" s="3">
        <v>1</v>
      </c>
      <c r="AI231" s="3">
        <v>2</v>
      </c>
      <c r="AJ231" s="3">
        <v>0</v>
      </c>
      <c r="AK231" s="3">
        <v>1</v>
      </c>
      <c r="AL231" s="3">
        <v>1</v>
      </c>
      <c r="AM231" s="3">
        <v>2</v>
      </c>
      <c r="AN231" s="3">
        <v>1</v>
      </c>
      <c r="AO231" s="3">
        <v>3</v>
      </c>
      <c r="AP231" s="3">
        <v>0</v>
      </c>
      <c r="AQ231" s="3">
        <v>0</v>
      </c>
      <c r="AR231" s="2" t="s">
        <v>63</v>
      </c>
      <c r="AS231" s="2" t="s">
        <v>92</v>
      </c>
      <c r="AT231" s="5" t="str">
        <f>HYPERLINK("http://catalog.hathitrust.org/Record/003104172","HathiTrust Record")</f>
        <v>HathiTrust Record</v>
      </c>
      <c r="AU231" s="5" t="str">
        <f>HYPERLINK("https://creighton-primo.hosted.exlibrisgroup.com/primo-explore/search?tab=default_tab&amp;search_scope=EVERYTHING&amp;vid=01CRU&amp;lang=en_US&amp;offset=0&amp;query=any,contains,991001558899702656","Catalog Record")</f>
        <v>Catalog Record</v>
      </c>
      <c r="AV231" s="5" t="str">
        <f>HYPERLINK("http://www.worldcat.org/oclc/34724611","WorldCat Record")</f>
        <v>WorldCat Record</v>
      </c>
      <c r="AW231" s="2" t="s">
        <v>3108</v>
      </c>
      <c r="AX231" s="2" t="s">
        <v>3109</v>
      </c>
      <c r="AY231" s="2" t="s">
        <v>3110</v>
      </c>
      <c r="AZ231" s="2" t="s">
        <v>3110</v>
      </c>
      <c r="BA231" s="2" t="s">
        <v>3111</v>
      </c>
      <c r="BB231" s="2" t="s">
        <v>79</v>
      </c>
      <c r="BD231" s="2" t="s">
        <v>3112</v>
      </c>
      <c r="BE231" s="2" t="s">
        <v>3113</v>
      </c>
      <c r="BF231" s="2" t="s">
        <v>3114</v>
      </c>
    </row>
    <row r="232" spans="1:58" ht="46.5" customHeight="1">
      <c r="A232" s="1"/>
      <c r="B232" s="1" t="s">
        <v>58</v>
      </c>
      <c r="C232" s="1" t="s">
        <v>59</v>
      </c>
      <c r="D232" s="1" t="s">
        <v>3115</v>
      </c>
      <c r="E232" s="1" t="s">
        <v>3116</v>
      </c>
      <c r="F232" s="1" t="s">
        <v>3117</v>
      </c>
      <c r="H232" s="2" t="s">
        <v>63</v>
      </c>
      <c r="I232" s="2" t="s">
        <v>64</v>
      </c>
      <c r="J232" s="2" t="s">
        <v>63</v>
      </c>
      <c r="K232" s="2" t="s">
        <v>92</v>
      </c>
      <c r="L232" s="2" t="s">
        <v>64</v>
      </c>
      <c r="M232" s="1" t="s">
        <v>3118</v>
      </c>
      <c r="N232" s="1" t="s">
        <v>622</v>
      </c>
      <c r="O232" s="2" t="s">
        <v>104</v>
      </c>
      <c r="P232" s="1" t="s">
        <v>157</v>
      </c>
      <c r="Q232" s="2" t="s">
        <v>70</v>
      </c>
      <c r="R232" s="2" t="s">
        <v>691</v>
      </c>
      <c r="T232" s="2" t="s">
        <v>72</v>
      </c>
      <c r="U232" s="3">
        <v>94</v>
      </c>
      <c r="V232" s="3">
        <v>94</v>
      </c>
      <c r="W232" s="4" t="s">
        <v>3119</v>
      </c>
      <c r="X232" s="4" t="s">
        <v>3119</v>
      </c>
      <c r="Y232" s="4" t="s">
        <v>262</v>
      </c>
      <c r="Z232" s="4" t="s">
        <v>262</v>
      </c>
      <c r="AA232" s="3">
        <v>102</v>
      </c>
      <c r="AB232" s="3">
        <v>67</v>
      </c>
      <c r="AC232" s="3">
        <v>302</v>
      </c>
      <c r="AD232" s="3">
        <v>2</v>
      </c>
      <c r="AE232" s="3">
        <v>4</v>
      </c>
      <c r="AF232" s="3">
        <v>2</v>
      </c>
      <c r="AG232" s="3">
        <v>10</v>
      </c>
      <c r="AH232" s="3">
        <v>0</v>
      </c>
      <c r="AI232" s="3">
        <v>1</v>
      </c>
      <c r="AJ232" s="3">
        <v>0</v>
      </c>
      <c r="AK232" s="3">
        <v>4</v>
      </c>
      <c r="AL232" s="3">
        <v>1</v>
      </c>
      <c r="AM232" s="3">
        <v>3</v>
      </c>
      <c r="AN232" s="3">
        <v>1</v>
      </c>
      <c r="AO232" s="3">
        <v>3</v>
      </c>
      <c r="AP232" s="3">
        <v>0</v>
      </c>
      <c r="AQ232" s="3">
        <v>0</v>
      </c>
      <c r="AR232" s="2" t="s">
        <v>63</v>
      </c>
      <c r="AS232" s="2" t="s">
        <v>92</v>
      </c>
      <c r="AT232" s="5" t="str">
        <f>HYPERLINK("http://catalog.hathitrust.org/Record/000605453","HathiTrust Record")</f>
        <v>HathiTrust Record</v>
      </c>
      <c r="AU232" s="5" t="str">
        <f>HYPERLINK("https://creighton-primo.hosted.exlibrisgroup.com/primo-explore/search?tab=default_tab&amp;search_scope=EVERYTHING&amp;vid=01CRU&amp;lang=en_US&amp;offset=0&amp;query=any,contains,991000747759702656","Catalog Record")</f>
        <v>Catalog Record</v>
      </c>
      <c r="AV232" s="5" t="str">
        <f>HYPERLINK("http://www.worldcat.org/oclc/10711747","WorldCat Record")</f>
        <v>WorldCat Record</v>
      </c>
      <c r="AW232" s="2" t="s">
        <v>3120</v>
      </c>
      <c r="AX232" s="2" t="s">
        <v>3121</v>
      </c>
      <c r="AY232" s="2" t="s">
        <v>3122</v>
      </c>
      <c r="AZ232" s="2" t="s">
        <v>3122</v>
      </c>
      <c r="BA232" s="2" t="s">
        <v>3123</v>
      </c>
      <c r="BB232" s="2" t="s">
        <v>79</v>
      </c>
      <c r="BD232" s="2" t="s">
        <v>3124</v>
      </c>
      <c r="BE232" s="2" t="s">
        <v>3125</v>
      </c>
      <c r="BF232" s="2" t="s">
        <v>3126</v>
      </c>
    </row>
    <row r="233" spans="1:58" ht="46.5" customHeight="1">
      <c r="A233" s="1"/>
      <c r="B233" s="1" t="s">
        <v>58</v>
      </c>
      <c r="C233" s="1" t="s">
        <v>59</v>
      </c>
      <c r="D233" s="1" t="s">
        <v>3127</v>
      </c>
      <c r="E233" s="1" t="s">
        <v>3128</v>
      </c>
      <c r="F233" s="1" t="s">
        <v>3129</v>
      </c>
      <c r="H233" s="2" t="s">
        <v>63</v>
      </c>
      <c r="I233" s="2" t="s">
        <v>64</v>
      </c>
      <c r="J233" s="2" t="s">
        <v>63</v>
      </c>
      <c r="K233" s="2" t="s">
        <v>92</v>
      </c>
      <c r="L233" s="2" t="s">
        <v>64</v>
      </c>
      <c r="M233" s="1" t="s">
        <v>3118</v>
      </c>
      <c r="N233" s="1" t="s">
        <v>1016</v>
      </c>
      <c r="O233" s="2" t="s">
        <v>423</v>
      </c>
      <c r="P233" s="1" t="s">
        <v>259</v>
      </c>
      <c r="Q233" s="2" t="s">
        <v>70</v>
      </c>
      <c r="R233" s="2" t="s">
        <v>89</v>
      </c>
      <c r="T233" s="2" t="s">
        <v>72</v>
      </c>
      <c r="U233" s="3">
        <v>93</v>
      </c>
      <c r="V233" s="3">
        <v>93</v>
      </c>
      <c r="W233" s="4" t="s">
        <v>3130</v>
      </c>
      <c r="X233" s="4" t="s">
        <v>3130</v>
      </c>
      <c r="Y233" s="4" t="s">
        <v>1443</v>
      </c>
      <c r="Z233" s="4" t="s">
        <v>1443</v>
      </c>
      <c r="AA233" s="3">
        <v>102</v>
      </c>
      <c r="AB233" s="3">
        <v>66</v>
      </c>
      <c r="AC233" s="3">
        <v>302</v>
      </c>
      <c r="AD233" s="3">
        <v>1</v>
      </c>
      <c r="AE233" s="3">
        <v>4</v>
      </c>
      <c r="AF233" s="3">
        <v>2</v>
      </c>
      <c r="AG233" s="3">
        <v>10</v>
      </c>
      <c r="AH233" s="3">
        <v>0</v>
      </c>
      <c r="AI233" s="3">
        <v>1</v>
      </c>
      <c r="AJ233" s="3">
        <v>1</v>
      </c>
      <c r="AK233" s="3">
        <v>4</v>
      </c>
      <c r="AL233" s="3">
        <v>1</v>
      </c>
      <c r="AM233" s="3">
        <v>3</v>
      </c>
      <c r="AN233" s="3">
        <v>0</v>
      </c>
      <c r="AO233" s="3">
        <v>3</v>
      </c>
      <c r="AP233" s="3">
        <v>0</v>
      </c>
      <c r="AQ233" s="3">
        <v>0</v>
      </c>
      <c r="AR233" s="2" t="s">
        <v>63</v>
      </c>
      <c r="AS233" s="2" t="s">
        <v>92</v>
      </c>
      <c r="AT233" s="5" t="str">
        <f>HYPERLINK("http://catalog.hathitrust.org/Record/001528424","HathiTrust Record")</f>
        <v>HathiTrust Record</v>
      </c>
      <c r="AU233" s="5" t="str">
        <f>HYPERLINK("https://creighton-primo.hosted.exlibrisgroup.com/primo-explore/search?tab=default_tab&amp;search_scope=EVERYTHING&amp;vid=01CRU&amp;lang=en_US&amp;offset=0&amp;query=any,contains,991001312459702656","Catalog Record")</f>
        <v>Catalog Record</v>
      </c>
      <c r="AV233" s="5" t="str">
        <f>HYPERLINK("http://www.worldcat.org/oclc/18558213","WorldCat Record")</f>
        <v>WorldCat Record</v>
      </c>
      <c r="AW233" s="2" t="s">
        <v>3120</v>
      </c>
      <c r="AX233" s="2" t="s">
        <v>3131</v>
      </c>
      <c r="AY233" s="2" t="s">
        <v>3132</v>
      </c>
      <c r="AZ233" s="2" t="s">
        <v>3132</v>
      </c>
      <c r="BA233" s="2" t="s">
        <v>3133</v>
      </c>
      <c r="BB233" s="2" t="s">
        <v>79</v>
      </c>
      <c r="BD233" s="2" t="s">
        <v>3134</v>
      </c>
      <c r="BE233" s="2" t="s">
        <v>3135</v>
      </c>
      <c r="BF233" s="2" t="s">
        <v>3136</v>
      </c>
    </row>
    <row r="234" spans="1:58" ht="46.5" customHeight="1">
      <c r="A234" s="1"/>
      <c r="B234" s="1" t="s">
        <v>58</v>
      </c>
      <c r="C234" s="1" t="s">
        <v>59</v>
      </c>
      <c r="D234" s="1" t="s">
        <v>3137</v>
      </c>
      <c r="E234" s="1" t="s">
        <v>3138</v>
      </c>
      <c r="F234" s="1" t="s">
        <v>3139</v>
      </c>
      <c r="H234" s="2" t="s">
        <v>63</v>
      </c>
      <c r="I234" s="2" t="s">
        <v>64</v>
      </c>
      <c r="J234" s="2" t="s">
        <v>63</v>
      </c>
      <c r="K234" s="2" t="s">
        <v>92</v>
      </c>
      <c r="L234" s="2" t="s">
        <v>64</v>
      </c>
      <c r="N234" s="1" t="s">
        <v>347</v>
      </c>
      <c r="O234" s="2" t="s">
        <v>348</v>
      </c>
      <c r="P234" s="1" t="s">
        <v>230</v>
      </c>
      <c r="Q234" s="2" t="s">
        <v>70</v>
      </c>
      <c r="R234" s="2" t="s">
        <v>200</v>
      </c>
      <c r="T234" s="2" t="s">
        <v>72</v>
      </c>
      <c r="U234" s="3">
        <v>110</v>
      </c>
      <c r="V234" s="3">
        <v>110</v>
      </c>
      <c r="W234" s="4" t="s">
        <v>3140</v>
      </c>
      <c r="X234" s="4" t="s">
        <v>3140</v>
      </c>
      <c r="Y234" s="4" t="s">
        <v>1477</v>
      </c>
      <c r="Z234" s="4" t="s">
        <v>1477</v>
      </c>
      <c r="AA234" s="3">
        <v>128</v>
      </c>
      <c r="AB234" s="3">
        <v>82</v>
      </c>
      <c r="AC234" s="3">
        <v>302</v>
      </c>
      <c r="AD234" s="3">
        <v>1</v>
      </c>
      <c r="AE234" s="3">
        <v>4</v>
      </c>
      <c r="AF234" s="3">
        <v>2</v>
      </c>
      <c r="AG234" s="3">
        <v>10</v>
      </c>
      <c r="AH234" s="3">
        <v>0</v>
      </c>
      <c r="AI234" s="3">
        <v>1</v>
      </c>
      <c r="AJ234" s="3">
        <v>1</v>
      </c>
      <c r="AK234" s="3">
        <v>4</v>
      </c>
      <c r="AL234" s="3">
        <v>1</v>
      </c>
      <c r="AM234" s="3">
        <v>3</v>
      </c>
      <c r="AN234" s="3">
        <v>0</v>
      </c>
      <c r="AO234" s="3">
        <v>3</v>
      </c>
      <c r="AP234" s="3">
        <v>0</v>
      </c>
      <c r="AQ234" s="3">
        <v>0</v>
      </c>
      <c r="AR234" s="2" t="s">
        <v>63</v>
      </c>
      <c r="AS234" s="2" t="s">
        <v>92</v>
      </c>
      <c r="AT234" s="5" t="str">
        <f>HYPERLINK("http://catalog.hathitrust.org/Record/003242482","HathiTrust Record")</f>
        <v>HathiTrust Record</v>
      </c>
      <c r="AU234" s="5" t="str">
        <f>HYPERLINK("https://creighton-primo.hosted.exlibrisgroup.com/primo-explore/search?tab=default_tab&amp;search_scope=EVERYTHING&amp;vid=01CRU&amp;lang=en_US&amp;offset=0&amp;query=any,contains,991001293969702656","Catalog Record")</f>
        <v>Catalog Record</v>
      </c>
      <c r="AV234" s="5" t="str">
        <f>HYPERLINK("http://www.worldcat.org/oclc/41017283","WorldCat Record")</f>
        <v>WorldCat Record</v>
      </c>
      <c r="AW234" s="2" t="s">
        <v>3120</v>
      </c>
      <c r="AX234" s="2" t="s">
        <v>3141</v>
      </c>
      <c r="AY234" s="2" t="s">
        <v>3142</v>
      </c>
      <c r="AZ234" s="2" t="s">
        <v>3142</v>
      </c>
      <c r="BA234" s="2" t="s">
        <v>3143</v>
      </c>
      <c r="BB234" s="2" t="s">
        <v>79</v>
      </c>
      <c r="BD234" s="2" t="s">
        <v>3144</v>
      </c>
      <c r="BE234" s="2" t="s">
        <v>3145</v>
      </c>
      <c r="BF234" s="2" t="s">
        <v>3146</v>
      </c>
    </row>
    <row r="235" spans="1:58" ht="46.5" customHeight="1">
      <c r="A235" s="1"/>
      <c r="B235" s="1" t="s">
        <v>58</v>
      </c>
      <c r="C235" s="1" t="s">
        <v>59</v>
      </c>
      <c r="D235" s="1" t="s">
        <v>3147</v>
      </c>
      <c r="E235" s="1" t="s">
        <v>3148</v>
      </c>
      <c r="F235" s="1" t="s">
        <v>3149</v>
      </c>
      <c r="H235" s="2" t="s">
        <v>63</v>
      </c>
      <c r="I235" s="2" t="s">
        <v>64</v>
      </c>
      <c r="J235" s="2" t="s">
        <v>63</v>
      </c>
      <c r="K235" s="2" t="s">
        <v>63</v>
      </c>
      <c r="L235" s="2" t="s">
        <v>65</v>
      </c>
      <c r="M235" s="1" t="s">
        <v>3150</v>
      </c>
      <c r="N235" s="1" t="s">
        <v>3151</v>
      </c>
      <c r="O235" s="2" t="s">
        <v>198</v>
      </c>
      <c r="Q235" s="2" t="s">
        <v>70</v>
      </c>
      <c r="R235" s="2" t="s">
        <v>3152</v>
      </c>
      <c r="T235" s="2" t="s">
        <v>72</v>
      </c>
      <c r="U235" s="3">
        <v>2</v>
      </c>
      <c r="V235" s="3">
        <v>2</v>
      </c>
      <c r="W235" s="4" t="s">
        <v>3153</v>
      </c>
      <c r="X235" s="4" t="s">
        <v>3153</v>
      </c>
      <c r="Y235" s="4" t="s">
        <v>3153</v>
      </c>
      <c r="Z235" s="4" t="s">
        <v>3153</v>
      </c>
      <c r="AA235" s="3">
        <v>14</v>
      </c>
      <c r="AB235" s="3">
        <v>12</v>
      </c>
      <c r="AC235" s="3">
        <v>14</v>
      </c>
      <c r="AD235" s="3">
        <v>1</v>
      </c>
      <c r="AE235" s="3">
        <v>1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2" t="s">
        <v>63</v>
      </c>
      <c r="AS235" s="2" t="s">
        <v>92</v>
      </c>
      <c r="AT235" s="5" t="str">
        <f>HYPERLINK("http://catalog.hathitrust.org/Record/003947834","HathiTrust Record")</f>
        <v>HathiTrust Record</v>
      </c>
      <c r="AU235" s="5" t="str">
        <f>HYPERLINK("https://creighton-primo.hosted.exlibrisgroup.com/primo-explore/search?tab=default_tab&amp;search_scope=EVERYTHING&amp;vid=01CRU&amp;lang=en_US&amp;offset=0&amp;query=any,contains,991000942599702656","Catalog Record")</f>
        <v>Catalog Record</v>
      </c>
      <c r="AV235" s="5" t="str">
        <f>HYPERLINK("http://www.worldcat.org/oclc/24041830","WorldCat Record")</f>
        <v>WorldCat Record</v>
      </c>
      <c r="AW235" s="2" t="s">
        <v>3154</v>
      </c>
      <c r="AX235" s="2" t="s">
        <v>3155</v>
      </c>
      <c r="AY235" s="2" t="s">
        <v>3156</v>
      </c>
      <c r="AZ235" s="2" t="s">
        <v>3156</v>
      </c>
      <c r="BA235" s="2" t="s">
        <v>3157</v>
      </c>
      <c r="BB235" s="2" t="s">
        <v>79</v>
      </c>
      <c r="BD235" s="2" t="s">
        <v>3158</v>
      </c>
      <c r="BE235" s="2" t="s">
        <v>3159</v>
      </c>
      <c r="BF235" s="2" t="s">
        <v>3160</v>
      </c>
    </row>
    <row r="236" spans="1:58" ht="46.5" customHeight="1">
      <c r="A236" s="1"/>
      <c r="B236" s="1" t="s">
        <v>58</v>
      </c>
      <c r="C236" s="1" t="s">
        <v>59</v>
      </c>
      <c r="D236" s="1" t="s">
        <v>3161</v>
      </c>
      <c r="E236" s="1" t="s">
        <v>3162</v>
      </c>
      <c r="F236" s="1" t="s">
        <v>3163</v>
      </c>
      <c r="H236" s="2" t="s">
        <v>63</v>
      </c>
      <c r="I236" s="2" t="s">
        <v>64</v>
      </c>
      <c r="J236" s="2" t="s">
        <v>63</v>
      </c>
      <c r="K236" s="2" t="s">
        <v>63</v>
      </c>
      <c r="L236" s="2" t="s">
        <v>65</v>
      </c>
      <c r="M236" s="1" t="s">
        <v>3164</v>
      </c>
      <c r="N236" s="1" t="s">
        <v>3165</v>
      </c>
      <c r="O236" s="2" t="s">
        <v>1501</v>
      </c>
      <c r="Q236" s="2" t="s">
        <v>70</v>
      </c>
      <c r="R236" s="2" t="s">
        <v>260</v>
      </c>
      <c r="T236" s="2" t="s">
        <v>72</v>
      </c>
      <c r="U236" s="3">
        <v>4</v>
      </c>
      <c r="V236" s="3">
        <v>4</v>
      </c>
      <c r="W236" s="4" t="s">
        <v>3166</v>
      </c>
      <c r="X236" s="4" t="s">
        <v>3166</v>
      </c>
      <c r="Y236" s="4" t="s">
        <v>1602</v>
      </c>
      <c r="Z236" s="4" t="s">
        <v>1602</v>
      </c>
      <c r="AA236" s="3">
        <v>109</v>
      </c>
      <c r="AB236" s="3">
        <v>69</v>
      </c>
      <c r="AC236" s="3">
        <v>72</v>
      </c>
      <c r="AD236" s="3">
        <v>2</v>
      </c>
      <c r="AE236" s="3">
        <v>2</v>
      </c>
      <c r="AF236" s="3">
        <v>3</v>
      </c>
      <c r="AG236" s="3">
        <v>3</v>
      </c>
      <c r="AH236" s="3">
        <v>0</v>
      </c>
      <c r="AI236" s="3">
        <v>0</v>
      </c>
      <c r="AJ236" s="3">
        <v>1</v>
      </c>
      <c r="AK236" s="3">
        <v>1</v>
      </c>
      <c r="AL236" s="3">
        <v>2</v>
      </c>
      <c r="AM236" s="3">
        <v>2</v>
      </c>
      <c r="AN236" s="3">
        <v>1</v>
      </c>
      <c r="AO236" s="3">
        <v>1</v>
      </c>
      <c r="AP236" s="3">
        <v>0</v>
      </c>
      <c r="AQ236" s="3">
        <v>0</v>
      </c>
      <c r="AR236" s="2" t="s">
        <v>63</v>
      </c>
      <c r="AS236" s="2" t="s">
        <v>92</v>
      </c>
      <c r="AT236" s="5" t="str">
        <f>HYPERLINK("http://catalog.hathitrust.org/Record/001579235","HathiTrust Record")</f>
        <v>HathiTrust Record</v>
      </c>
      <c r="AU236" s="5" t="str">
        <f>HYPERLINK("https://creighton-primo.hosted.exlibrisgroup.com/primo-explore/search?tab=default_tab&amp;search_scope=EVERYTHING&amp;vid=01CRU&amp;lang=en_US&amp;offset=0&amp;query=any,contains,991000953329702656","Catalog Record")</f>
        <v>Catalog Record</v>
      </c>
      <c r="AV236" s="5" t="str">
        <f>HYPERLINK("http://www.worldcat.org/oclc/659042","WorldCat Record")</f>
        <v>WorldCat Record</v>
      </c>
      <c r="AW236" s="2" t="s">
        <v>3167</v>
      </c>
      <c r="AX236" s="2" t="s">
        <v>3168</v>
      </c>
      <c r="AY236" s="2" t="s">
        <v>3169</v>
      </c>
      <c r="AZ236" s="2" t="s">
        <v>3169</v>
      </c>
      <c r="BA236" s="2" t="s">
        <v>3170</v>
      </c>
      <c r="BB236" s="2" t="s">
        <v>79</v>
      </c>
      <c r="BE236" s="2" t="s">
        <v>3171</v>
      </c>
      <c r="BF236" s="2" t="s">
        <v>3172</v>
      </c>
    </row>
    <row r="237" spans="1:58" ht="46.5" customHeight="1">
      <c r="A237" s="1"/>
      <c r="B237" s="1" t="s">
        <v>58</v>
      </c>
      <c r="C237" s="1" t="s">
        <v>59</v>
      </c>
      <c r="D237" s="1" t="s">
        <v>3173</v>
      </c>
      <c r="E237" s="1" t="s">
        <v>3174</v>
      </c>
      <c r="F237" s="1" t="s">
        <v>3175</v>
      </c>
      <c r="H237" s="2" t="s">
        <v>63</v>
      </c>
      <c r="I237" s="2" t="s">
        <v>64</v>
      </c>
      <c r="J237" s="2" t="s">
        <v>63</v>
      </c>
      <c r="K237" s="2" t="s">
        <v>63</v>
      </c>
      <c r="L237" s="2" t="s">
        <v>65</v>
      </c>
      <c r="M237" s="1" t="s">
        <v>3164</v>
      </c>
      <c r="N237" s="1" t="s">
        <v>3176</v>
      </c>
      <c r="O237" s="2" t="s">
        <v>1856</v>
      </c>
      <c r="Q237" s="2" t="s">
        <v>70</v>
      </c>
      <c r="R237" s="2" t="s">
        <v>260</v>
      </c>
      <c r="T237" s="2" t="s">
        <v>72</v>
      </c>
      <c r="U237" s="3">
        <v>11</v>
      </c>
      <c r="V237" s="3">
        <v>11</v>
      </c>
      <c r="W237" s="4" t="s">
        <v>3177</v>
      </c>
      <c r="X237" s="4" t="s">
        <v>3177</v>
      </c>
      <c r="Y237" s="4" t="s">
        <v>2159</v>
      </c>
      <c r="Z237" s="4" t="s">
        <v>2159</v>
      </c>
      <c r="AA237" s="3">
        <v>98</v>
      </c>
      <c r="AB237" s="3">
        <v>58</v>
      </c>
      <c r="AC237" s="3">
        <v>60</v>
      </c>
      <c r="AD237" s="3">
        <v>2</v>
      </c>
      <c r="AE237" s="3">
        <v>2</v>
      </c>
      <c r="AF237" s="3">
        <v>3</v>
      </c>
      <c r="AG237" s="3">
        <v>3</v>
      </c>
      <c r="AH237" s="3">
        <v>0</v>
      </c>
      <c r="AI237" s="3">
        <v>0</v>
      </c>
      <c r="AJ237" s="3">
        <v>1</v>
      </c>
      <c r="AK237" s="3">
        <v>1</v>
      </c>
      <c r="AL237" s="3">
        <v>2</v>
      </c>
      <c r="AM237" s="3">
        <v>2</v>
      </c>
      <c r="AN237" s="3">
        <v>1</v>
      </c>
      <c r="AO237" s="3">
        <v>1</v>
      </c>
      <c r="AP237" s="3">
        <v>0</v>
      </c>
      <c r="AQ237" s="3">
        <v>0</v>
      </c>
      <c r="AR237" s="2" t="s">
        <v>63</v>
      </c>
      <c r="AS237" s="2" t="s">
        <v>92</v>
      </c>
      <c r="AT237" s="5" t="str">
        <f>HYPERLINK("http://catalog.hathitrust.org/Record/000019120","HathiTrust Record")</f>
        <v>HathiTrust Record</v>
      </c>
      <c r="AU237" s="5" t="str">
        <f>HYPERLINK("https://creighton-primo.hosted.exlibrisgroup.com/primo-explore/search?tab=default_tab&amp;search_scope=EVERYTHING&amp;vid=01CRU&amp;lang=en_US&amp;offset=0&amp;query=any,contains,991000953349702656","Catalog Record")</f>
        <v>Catalog Record</v>
      </c>
      <c r="AV237" s="5" t="str">
        <f>HYPERLINK("http://www.worldcat.org/oclc/5171251","WorldCat Record")</f>
        <v>WorldCat Record</v>
      </c>
      <c r="AW237" s="2" t="s">
        <v>3178</v>
      </c>
      <c r="AX237" s="2" t="s">
        <v>3179</v>
      </c>
      <c r="AY237" s="2" t="s">
        <v>3180</v>
      </c>
      <c r="AZ237" s="2" t="s">
        <v>3180</v>
      </c>
      <c r="BA237" s="2" t="s">
        <v>3181</v>
      </c>
      <c r="BB237" s="2" t="s">
        <v>79</v>
      </c>
      <c r="BD237" s="2" t="s">
        <v>3182</v>
      </c>
      <c r="BE237" s="2" t="s">
        <v>3183</v>
      </c>
      <c r="BF237" s="2" t="s">
        <v>3184</v>
      </c>
    </row>
    <row r="238" spans="1:58" ht="46.5" customHeight="1">
      <c r="A238" s="1"/>
      <c r="B238" s="1" t="s">
        <v>58</v>
      </c>
      <c r="C238" s="1" t="s">
        <v>59</v>
      </c>
      <c r="D238" s="1" t="s">
        <v>3185</v>
      </c>
      <c r="E238" s="1" t="s">
        <v>3186</v>
      </c>
      <c r="F238" s="1" t="s">
        <v>3187</v>
      </c>
      <c r="H238" s="2" t="s">
        <v>63</v>
      </c>
      <c r="I238" s="2" t="s">
        <v>64</v>
      </c>
      <c r="J238" s="2" t="s">
        <v>63</v>
      </c>
      <c r="K238" s="2" t="s">
        <v>63</v>
      </c>
      <c r="L238" s="2" t="s">
        <v>65</v>
      </c>
      <c r="M238" s="1" t="s">
        <v>3164</v>
      </c>
      <c r="N238" s="1" t="s">
        <v>3188</v>
      </c>
      <c r="O238" s="2" t="s">
        <v>1585</v>
      </c>
      <c r="Q238" s="2" t="s">
        <v>70</v>
      </c>
      <c r="R238" s="2" t="s">
        <v>260</v>
      </c>
      <c r="T238" s="2" t="s">
        <v>72</v>
      </c>
      <c r="U238" s="3">
        <v>12</v>
      </c>
      <c r="V238" s="3">
        <v>12</v>
      </c>
      <c r="W238" s="4" t="s">
        <v>2200</v>
      </c>
      <c r="X238" s="4" t="s">
        <v>2200</v>
      </c>
      <c r="Y238" s="4" t="s">
        <v>3189</v>
      </c>
      <c r="Z238" s="4" t="s">
        <v>3189</v>
      </c>
      <c r="AA238" s="3">
        <v>75</v>
      </c>
      <c r="AB238" s="3">
        <v>51</v>
      </c>
      <c r="AC238" s="3">
        <v>54</v>
      </c>
      <c r="AD238" s="3">
        <v>1</v>
      </c>
      <c r="AE238" s="3">
        <v>1</v>
      </c>
      <c r="AF238" s="3">
        <v>1</v>
      </c>
      <c r="AG238" s="3">
        <v>1</v>
      </c>
      <c r="AH238" s="3">
        <v>0</v>
      </c>
      <c r="AI238" s="3">
        <v>0</v>
      </c>
      <c r="AJ238" s="3">
        <v>0</v>
      </c>
      <c r="AK238" s="3">
        <v>0</v>
      </c>
      <c r="AL238" s="3">
        <v>1</v>
      </c>
      <c r="AM238" s="3">
        <v>1</v>
      </c>
      <c r="AN238" s="3">
        <v>0</v>
      </c>
      <c r="AO238" s="3">
        <v>0</v>
      </c>
      <c r="AP238" s="3">
        <v>0</v>
      </c>
      <c r="AQ238" s="3">
        <v>0</v>
      </c>
      <c r="AR238" s="2" t="s">
        <v>63</v>
      </c>
      <c r="AS238" s="2" t="s">
        <v>92</v>
      </c>
      <c r="AT238" s="5" t="str">
        <f>HYPERLINK("http://catalog.hathitrust.org/Record/001579236","HathiTrust Record")</f>
        <v>HathiTrust Record</v>
      </c>
      <c r="AU238" s="5" t="str">
        <f>HYPERLINK("https://creighton-primo.hosted.exlibrisgroup.com/primo-explore/search?tab=default_tab&amp;search_scope=EVERYTHING&amp;vid=01CRU&amp;lang=en_US&amp;offset=0&amp;query=any,contains,991001003019702656","Catalog Record")</f>
        <v>Catalog Record</v>
      </c>
      <c r="AV238" s="5" t="str">
        <f>HYPERLINK("http://www.worldcat.org/oclc/914911","WorldCat Record")</f>
        <v>WorldCat Record</v>
      </c>
      <c r="AW238" s="2" t="s">
        <v>3190</v>
      </c>
      <c r="AX238" s="2" t="s">
        <v>3191</v>
      </c>
      <c r="AY238" s="2" t="s">
        <v>3192</v>
      </c>
      <c r="AZ238" s="2" t="s">
        <v>3192</v>
      </c>
      <c r="BA238" s="2" t="s">
        <v>3193</v>
      </c>
      <c r="BB238" s="2" t="s">
        <v>79</v>
      </c>
      <c r="BD238" s="2" t="s">
        <v>3194</v>
      </c>
      <c r="BE238" s="2" t="s">
        <v>3195</v>
      </c>
      <c r="BF238" s="2" t="s">
        <v>3196</v>
      </c>
    </row>
    <row r="239" spans="1:58" ht="46.5" customHeight="1">
      <c r="A239" s="1"/>
      <c r="B239" s="1" t="s">
        <v>58</v>
      </c>
      <c r="C239" s="1" t="s">
        <v>59</v>
      </c>
      <c r="D239" s="1" t="s">
        <v>3197</v>
      </c>
      <c r="E239" s="1" t="s">
        <v>3198</v>
      </c>
      <c r="F239" s="1" t="s">
        <v>3199</v>
      </c>
      <c r="H239" s="2" t="s">
        <v>63</v>
      </c>
      <c r="I239" s="2" t="s">
        <v>64</v>
      </c>
      <c r="J239" s="2" t="s">
        <v>63</v>
      </c>
      <c r="K239" s="2" t="s">
        <v>63</v>
      </c>
      <c r="L239" s="2" t="s">
        <v>65</v>
      </c>
      <c r="M239" s="1" t="s">
        <v>3200</v>
      </c>
      <c r="N239" s="1" t="s">
        <v>3201</v>
      </c>
      <c r="O239" s="2" t="s">
        <v>814</v>
      </c>
      <c r="P239" s="1" t="s">
        <v>259</v>
      </c>
      <c r="Q239" s="2" t="s">
        <v>70</v>
      </c>
      <c r="R239" s="2" t="s">
        <v>377</v>
      </c>
      <c r="S239" s="1" t="s">
        <v>2469</v>
      </c>
      <c r="T239" s="2" t="s">
        <v>72</v>
      </c>
      <c r="U239" s="3">
        <v>6</v>
      </c>
      <c r="V239" s="3">
        <v>6</v>
      </c>
      <c r="W239" s="4" t="s">
        <v>3202</v>
      </c>
      <c r="X239" s="4" t="s">
        <v>3202</v>
      </c>
      <c r="Y239" s="4" t="s">
        <v>3203</v>
      </c>
      <c r="Z239" s="4" t="s">
        <v>3203</v>
      </c>
      <c r="AA239" s="3">
        <v>47</v>
      </c>
      <c r="AB239" s="3">
        <v>14</v>
      </c>
      <c r="AC239" s="3">
        <v>59</v>
      </c>
      <c r="AD239" s="3">
        <v>1</v>
      </c>
      <c r="AE239" s="3">
        <v>2</v>
      </c>
      <c r="AF239" s="3">
        <v>0</v>
      </c>
      <c r="AG239" s="3">
        <v>4</v>
      </c>
      <c r="AH239" s="3">
        <v>0</v>
      </c>
      <c r="AI239" s="3">
        <v>0</v>
      </c>
      <c r="AJ239" s="3">
        <v>0</v>
      </c>
      <c r="AK239" s="3">
        <v>2</v>
      </c>
      <c r="AL239" s="3">
        <v>0</v>
      </c>
      <c r="AM239" s="3">
        <v>2</v>
      </c>
      <c r="AN239" s="3">
        <v>0</v>
      </c>
      <c r="AO239" s="3">
        <v>1</v>
      </c>
      <c r="AP239" s="3">
        <v>0</v>
      </c>
      <c r="AQ239" s="3">
        <v>0</v>
      </c>
      <c r="AR239" s="2" t="s">
        <v>63</v>
      </c>
      <c r="AS239" s="2" t="s">
        <v>63</v>
      </c>
      <c r="AU239" s="5" t="str">
        <f>HYPERLINK("https://creighton-primo.hosted.exlibrisgroup.com/primo-explore/search?tab=default_tab&amp;search_scope=EVERYTHING&amp;vid=01CRU&amp;lang=en_US&amp;offset=0&amp;query=any,contains,991000331259702656","Catalog Record")</f>
        <v>Catalog Record</v>
      </c>
      <c r="AV239" s="5" t="str">
        <f>HYPERLINK("http://www.worldcat.org/oclc/48381103","WorldCat Record")</f>
        <v>WorldCat Record</v>
      </c>
      <c r="AW239" s="2" t="s">
        <v>3204</v>
      </c>
      <c r="AX239" s="2" t="s">
        <v>3205</v>
      </c>
      <c r="AY239" s="2" t="s">
        <v>3206</v>
      </c>
      <c r="AZ239" s="2" t="s">
        <v>3206</v>
      </c>
      <c r="BA239" s="2" t="s">
        <v>3207</v>
      </c>
      <c r="BB239" s="2" t="s">
        <v>79</v>
      </c>
      <c r="BE239" s="2" t="s">
        <v>3208</v>
      </c>
      <c r="BF239" s="2" t="s">
        <v>3209</v>
      </c>
    </row>
    <row r="240" spans="1:58" ht="46.5" customHeight="1">
      <c r="A240" s="1"/>
      <c r="B240" s="1" t="s">
        <v>58</v>
      </c>
      <c r="C240" s="1" t="s">
        <v>59</v>
      </c>
      <c r="D240" s="1" t="s">
        <v>3210</v>
      </c>
      <c r="E240" s="1" t="s">
        <v>3211</v>
      </c>
      <c r="F240" s="1" t="s">
        <v>3212</v>
      </c>
      <c r="H240" s="2" t="s">
        <v>63</v>
      </c>
      <c r="I240" s="2" t="s">
        <v>64</v>
      </c>
      <c r="J240" s="2" t="s">
        <v>63</v>
      </c>
      <c r="K240" s="2" t="s">
        <v>63</v>
      </c>
      <c r="L240" s="2" t="s">
        <v>65</v>
      </c>
      <c r="M240" s="1" t="s">
        <v>3213</v>
      </c>
      <c r="N240" s="1" t="s">
        <v>1977</v>
      </c>
      <c r="O240" s="2" t="s">
        <v>104</v>
      </c>
      <c r="Q240" s="2" t="s">
        <v>70</v>
      </c>
      <c r="R240" s="2" t="s">
        <v>89</v>
      </c>
      <c r="T240" s="2" t="s">
        <v>72</v>
      </c>
      <c r="U240" s="3">
        <v>3</v>
      </c>
      <c r="V240" s="3">
        <v>3</v>
      </c>
      <c r="W240" s="4" t="s">
        <v>3214</v>
      </c>
      <c r="X240" s="4" t="s">
        <v>3214</v>
      </c>
      <c r="Y240" s="4" t="s">
        <v>2159</v>
      </c>
      <c r="Z240" s="4" t="s">
        <v>2159</v>
      </c>
      <c r="AA240" s="3">
        <v>34</v>
      </c>
      <c r="AB240" s="3">
        <v>22</v>
      </c>
      <c r="AC240" s="3">
        <v>104</v>
      </c>
      <c r="AD240" s="3">
        <v>1</v>
      </c>
      <c r="AE240" s="3">
        <v>2</v>
      </c>
      <c r="AF240" s="3">
        <v>1</v>
      </c>
      <c r="AG240" s="3">
        <v>4</v>
      </c>
      <c r="AH240" s="3">
        <v>0</v>
      </c>
      <c r="AI240" s="3">
        <v>0</v>
      </c>
      <c r="AJ240" s="3">
        <v>1</v>
      </c>
      <c r="AK240" s="3">
        <v>2</v>
      </c>
      <c r="AL240" s="3">
        <v>0</v>
      </c>
      <c r="AM240" s="3">
        <v>2</v>
      </c>
      <c r="AN240" s="3">
        <v>0</v>
      </c>
      <c r="AO240" s="3">
        <v>1</v>
      </c>
      <c r="AP240" s="3">
        <v>0</v>
      </c>
      <c r="AQ240" s="3">
        <v>0</v>
      </c>
      <c r="AR240" s="2" t="s">
        <v>63</v>
      </c>
      <c r="AS240" s="2" t="s">
        <v>63</v>
      </c>
      <c r="AU240" s="5" t="str">
        <f>HYPERLINK("https://creighton-primo.hosted.exlibrisgroup.com/primo-explore/search?tab=default_tab&amp;search_scope=EVERYTHING&amp;vid=01CRU&amp;lang=en_US&amp;offset=0&amp;query=any,contains,991000953419702656","Catalog Record")</f>
        <v>Catalog Record</v>
      </c>
      <c r="AV240" s="5" t="str">
        <f>HYPERLINK("http://www.worldcat.org/oclc/11068408","WorldCat Record")</f>
        <v>WorldCat Record</v>
      </c>
      <c r="AW240" s="2" t="s">
        <v>3215</v>
      </c>
      <c r="AX240" s="2" t="s">
        <v>3216</v>
      </c>
      <c r="AY240" s="2" t="s">
        <v>3217</v>
      </c>
      <c r="AZ240" s="2" t="s">
        <v>3217</v>
      </c>
      <c r="BA240" s="2" t="s">
        <v>3218</v>
      </c>
      <c r="BB240" s="2" t="s">
        <v>79</v>
      </c>
      <c r="BD240" s="2" t="s">
        <v>3219</v>
      </c>
      <c r="BE240" s="2" t="s">
        <v>3220</v>
      </c>
      <c r="BF240" s="2" t="s">
        <v>3221</v>
      </c>
    </row>
    <row r="241" spans="1:58" ht="46.5" customHeight="1">
      <c r="A241" s="1"/>
      <c r="B241" s="1" t="s">
        <v>58</v>
      </c>
      <c r="C241" s="1" t="s">
        <v>59</v>
      </c>
      <c r="D241" s="1" t="s">
        <v>3222</v>
      </c>
      <c r="E241" s="1" t="s">
        <v>3223</v>
      </c>
      <c r="F241" s="1" t="s">
        <v>3224</v>
      </c>
      <c r="H241" s="2" t="s">
        <v>63</v>
      </c>
      <c r="I241" s="2" t="s">
        <v>64</v>
      </c>
      <c r="J241" s="2" t="s">
        <v>63</v>
      </c>
      <c r="K241" s="2" t="s">
        <v>63</v>
      </c>
      <c r="L241" s="2" t="s">
        <v>65</v>
      </c>
      <c r="M241" s="1" t="s">
        <v>3225</v>
      </c>
      <c r="N241" s="1" t="s">
        <v>3226</v>
      </c>
      <c r="O241" s="2" t="s">
        <v>554</v>
      </c>
      <c r="P241" s="1" t="s">
        <v>157</v>
      </c>
      <c r="Q241" s="2" t="s">
        <v>70</v>
      </c>
      <c r="R241" s="2" t="s">
        <v>377</v>
      </c>
      <c r="S241" s="1" t="s">
        <v>2469</v>
      </c>
      <c r="T241" s="2" t="s">
        <v>72</v>
      </c>
      <c r="U241" s="3">
        <v>11</v>
      </c>
      <c r="V241" s="3">
        <v>11</v>
      </c>
      <c r="W241" s="4" t="s">
        <v>3227</v>
      </c>
      <c r="X241" s="4" t="s">
        <v>3227</v>
      </c>
      <c r="Y241" s="4" t="s">
        <v>3228</v>
      </c>
      <c r="Z241" s="4" t="s">
        <v>3228</v>
      </c>
      <c r="AA241" s="3">
        <v>97</v>
      </c>
      <c r="AB241" s="3">
        <v>46</v>
      </c>
      <c r="AC241" s="3">
        <v>71</v>
      </c>
      <c r="AD241" s="3">
        <v>1</v>
      </c>
      <c r="AE241" s="3">
        <v>1</v>
      </c>
      <c r="AF241" s="3">
        <v>2</v>
      </c>
      <c r="AG241" s="3">
        <v>2</v>
      </c>
      <c r="AH241" s="3">
        <v>0</v>
      </c>
      <c r="AI241" s="3">
        <v>0</v>
      </c>
      <c r="AJ241" s="3">
        <v>1</v>
      </c>
      <c r="AK241" s="3">
        <v>1</v>
      </c>
      <c r="AL241" s="3">
        <v>2</v>
      </c>
      <c r="AM241" s="3">
        <v>2</v>
      </c>
      <c r="AN241" s="3">
        <v>0</v>
      </c>
      <c r="AO241" s="3">
        <v>0</v>
      </c>
      <c r="AP241" s="3">
        <v>0</v>
      </c>
      <c r="AQ241" s="3">
        <v>0</v>
      </c>
      <c r="AR241" s="2" t="s">
        <v>63</v>
      </c>
      <c r="AS241" s="2" t="s">
        <v>92</v>
      </c>
      <c r="AT241" s="5" t="str">
        <f>HYPERLINK("http://catalog.hathitrust.org/Record/002906769","HathiTrust Record")</f>
        <v>HathiTrust Record</v>
      </c>
      <c r="AU241" s="5" t="str">
        <f>HYPERLINK("https://creighton-primo.hosted.exlibrisgroup.com/primo-explore/search?tab=default_tab&amp;search_scope=EVERYTHING&amp;vid=01CRU&amp;lang=en_US&amp;offset=0&amp;query=any,contains,991001399349702656","Catalog Record")</f>
        <v>Catalog Record</v>
      </c>
      <c r="AV241" s="5" t="str">
        <f>HYPERLINK("http://www.worldcat.org/oclc/29877093","WorldCat Record")</f>
        <v>WorldCat Record</v>
      </c>
      <c r="AW241" s="2" t="s">
        <v>3229</v>
      </c>
      <c r="AX241" s="2" t="s">
        <v>3230</v>
      </c>
      <c r="AY241" s="2" t="s">
        <v>3231</v>
      </c>
      <c r="AZ241" s="2" t="s">
        <v>3231</v>
      </c>
      <c r="BA241" s="2" t="s">
        <v>3232</v>
      </c>
      <c r="BB241" s="2" t="s">
        <v>79</v>
      </c>
      <c r="BD241" s="2" t="s">
        <v>3233</v>
      </c>
      <c r="BE241" s="2" t="s">
        <v>3234</v>
      </c>
      <c r="BF241" s="2" t="s">
        <v>3235</v>
      </c>
    </row>
    <row r="242" spans="1:58" ht="46.5" customHeight="1">
      <c r="A242" s="1"/>
      <c r="B242" s="1" t="s">
        <v>58</v>
      </c>
      <c r="C242" s="1" t="s">
        <v>59</v>
      </c>
      <c r="D242" s="1" t="s">
        <v>3236</v>
      </c>
      <c r="E242" s="1" t="s">
        <v>3237</v>
      </c>
      <c r="F242" s="1" t="s">
        <v>3238</v>
      </c>
      <c r="H242" s="2" t="s">
        <v>63</v>
      </c>
      <c r="I242" s="2" t="s">
        <v>64</v>
      </c>
      <c r="J242" s="2" t="s">
        <v>63</v>
      </c>
      <c r="K242" s="2" t="s">
        <v>92</v>
      </c>
      <c r="L242" s="2" t="s">
        <v>65</v>
      </c>
      <c r="M242" s="1" t="s">
        <v>3239</v>
      </c>
      <c r="N242" s="1" t="s">
        <v>3240</v>
      </c>
      <c r="O242" s="2" t="s">
        <v>1268</v>
      </c>
      <c r="P242" s="1" t="s">
        <v>469</v>
      </c>
      <c r="Q242" s="2" t="s">
        <v>70</v>
      </c>
      <c r="R242" s="2" t="s">
        <v>260</v>
      </c>
      <c r="T242" s="2" t="s">
        <v>72</v>
      </c>
      <c r="U242" s="3">
        <v>2</v>
      </c>
      <c r="V242" s="3">
        <v>2</v>
      </c>
      <c r="W242" s="4" t="s">
        <v>3241</v>
      </c>
      <c r="X242" s="4" t="s">
        <v>3241</v>
      </c>
      <c r="Y242" s="4" t="s">
        <v>543</v>
      </c>
      <c r="Z242" s="4" t="s">
        <v>543</v>
      </c>
      <c r="AA242" s="3">
        <v>274</v>
      </c>
      <c r="AB242" s="3">
        <v>210</v>
      </c>
      <c r="AC242" s="3">
        <v>731</v>
      </c>
      <c r="AD242" s="3">
        <v>1</v>
      </c>
      <c r="AE242" s="3">
        <v>3</v>
      </c>
      <c r="AF242" s="3">
        <v>3</v>
      </c>
      <c r="AG242" s="3">
        <v>21</v>
      </c>
      <c r="AH242" s="3">
        <v>2</v>
      </c>
      <c r="AI242" s="3">
        <v>11</v>
      </c>
      <c r="AJ242" s="3">
        <v>0</v>
      </c>
      <c r="AK242" s="3">
        <v>3</v>
      </c>
      <c r="AL242" s="3">
        <v>1</v>
      </c>
      <c r="AM242" s="3">
        <v>10</v>
      </c>
      <c r="AN242" s="3">
        <v>0</v>
      </c>
      <c r="AO242" s="3">
        <v>1</v>
      </c>
      <c r="AP242" s="3">
        <v>0</v>
      </c>
      <c r="AQ242" s="3">
        <v>0</v>
      </c>
      <c r="AR242" s="2" t="s">
        <v>63</v>
      </c>
      <c r="AS242" s="2" t="s">
        <v>63</v>
      </c>
      <c r="AU242" s="5" t="str">
        <f>HYPERLINK("https://creighton-primo.hosted.exlibrisgroup.com/primo-explore/search?tab=default_tab&amp;search_scope=EVERYTHING&amp;vid=01CRU&amp;lang=en_US&amp;offset=0&amp;query=any,contains,991001738049702656","Catalog Record")</f>
        <v>Catalog Record</v>
      </c>
      <c r="AV242" s="5" t="str">
        <f>HYPERLINK("http://www.worldcat.org/oclc/62078260","WorldCat Record")</f>
        <v>WorldCat Record</v>
      </c>
      <c r="AW242" s="2" t="s">
        <v>3242</v>
      </c>
      <c r="AX242" s="2" t="s">
        <v>3243</v>
      </c>
      <c r="AY242" s="2" t="s">
        <v>3244</v>
      </c>
      <c r="AZ242" s="2" t="s">
        <v>3244</v>
      </c>
      <c r="BA242" s="2" t="s">
        <v>3245</v>
      </c>
      <c r="BB242" s="2" t="s">
        <v>79</v>
      </c>
      <c r="BD242" s="2" t="s">
        <v>3246</v>
      </c>
      <c r="BE242" s="2" t="s">
        <v>3247</v>
      </c>
      <c r="BF242" s="2" t="s">
        <v>3248</v>
      </c>
    </row>
    <row r="243" spans="1:58" ht="46.5" customHeight="1">
      <c r="A243" s="1"/>
      <c r="B243" s="1" t="s">
        <v>58</v>
      </c>
      <c r="C243" s="1" t="s">
        <v>59</v>
      </c>
      <c r="D243" s="1" t="s">
        <v>3249</v>
      </c>
      <c r="E243" s="1" t="s">
        <v>3250</v>
      </c>
      <c r="F243" s="1" t="s">
        <v>2611</v>
      </c>
      <c r="H243" s="2" t="s">
        <v>63</v>
      </c>
      <c r="I243" s="2" t="s">
        <v>64</v>
      </c>
      <c r="J243" s="2" t="s">
        <v>63</v>
      </c>
      <c r="K243" s="2" t="s">
        <v>92</v>
      </c>
      <c r="L243" s="2" t="s">
        <v>65</v>
      </c>
      <c r="M243" s="1" t="s">
        <v>2612</v>
      </c>
      <c r="N243" s="1" t="s">
        <v>3251</v>
      </c>
      <c r="O243" s="2" t="s">
        <v>608</v>
      </c>
      <c r="P243" s="1" t="s">
        <v>469</v>
      </c>
      <c r="Q243" s="2" t="s">
        <v>70</v>
      </c>
      <c r="R243" s="2" t="s">
        <v>260</v>
      </c>
      <c r="T243" s="2" t="s">
        <v>72</v>
      </c>
      <c r="U243" s="3">
        <v>4</v>
      </c>
      <c r="V243" s="3">
        <v>4</v>
      </c>
      <c r="W243" s="4" t="s">
        <v>1136</v>
      </c>
      <c r="X243" s="4" t="s">
        <v>1136</v>
      </c>
      <c r="Y243" s="4" t="s">
        <v>979</v>
      </c>
      <c r="Z243" s="4" t="s">
        <v>979</v>
      </c>
      <c r="AA243" s="3">
        <v>11</v>
      </c>
      <c r="AB243" s="3">
        <v>10</v>
      </c>
      <c r="AC243" s="3">
        <v>158</v>
      </c>
      <c r="AD243" s="3">
        <v>1</v>
      </c>
      <c r="AE243" s="3">
        <v>1</v>
      </c>
      <c r="AF243" s="3">
        <v>0</v>
      </c>
      <c r="AG243" s="3">
        <v>2</v>
      </c>
      <c r="AH243" s="3">
        <v>0</v>
      </c>
      <c r="AI243" s="3">
        <v>2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2" t="s">
        <v>63</v>
      </c>
      <c r="AS243" s="2" t="s">
        <v>92</v>
      </c>
      <c r="AT243" s="5" t="str">
        <f>HYPERLINK("http://catalog.hathitrust.org/Record/007068070","HathiTrust Record")</f>
        <v>HathiTrust Record</v>
      </c>
      <c r="AU243" s="5" t="str">
        <f>HYPERLINK("https://creighton-primo.hosted.exlibrisgroup.com/primo-explore/search?tab=default_tab&amp;search_scope=EVERYTHING&amp;vid=01CRU&amp;lang=en_US&amp;offset=0&amp;query=any,contains,991001511619702656","Catalog Record")</f>
        <v>Catalog Record</v>
      </c>
      <c r="AV243" s="5" t="str">
        <f>HYPERLINK("http://www.worldcat.org/oclc/28233351","WorldCat Record")</f>
        <v>WorldCat Record</v>
      </c>
      <c r="AW243" s="2" t="s">
        <v>2617</v>
      </c>
      <c r="AX243" s="2" t="s">
        <v>3252</v>
      </c>
      <c r="AY243" s="2" t="s">
        <v>3253</v>
      </c>
      <c r="AZ243" s="2" t="s">
        <v>3253</v>
      </c>
      <c r="BA243" s="2" t="s">
        <v>3254</v>
      </c>
      <c r="BB243" s="2" t="s">
        <v>79</v>
      </c>
      <c r="BD243" s="2" t="s">
        <v>3255</v>
      </c>
      <c r="BE243" s="2" t="s">
        <v>3256</v>
      </c>
      <c r="BF243" s="2" t="s">
        <v>3257</v>
      </c>
    </row>
    <row r="244" spans="1:58" ht="46.5" customHeight="1">
      <c r="A244" s="1"/>
      <c r="B244" s="1" t="s">
        <v>58</v>
      </c>
      <c r="C244" s="1" t="s">
        <v>59</v>
      </c>
      <c r="D244" s="1" t="s">
        <v>3258</v>
      </c>
      <c r="E244" s="1" t="s">
        <v>3259</v>
      </c>
      <c r="F244" s="1" t="s">
        <v>3260</v>
      </c>
      <c r="H244" s="2" t="s">
        <v>63</v>
      </c>
      <c r="I244" s="2" t="s">
        <v>64</v>
      </c>
      <c r="J244" s="2" t="s">
        <v>63</v>
      </c>
      <c r="K244" s="2" t="s">
        <v>63</v>
      </c>
      <c r="L244" s="2" t="s">
        <v>65</v>
      </c>
      <c r="N244" s="1" t="s">
        <v>3261</v>
      </c>
      <c r="O244" s="2" t="s">
        <v>119</v>
      </c>
      <c r="Q244" s="2" t="s">
        <v>70</v>
      </c>
      <c r="R244" s="2" t="s">
        <v>89</v>
      </c>
      <c r="S244" s="1" t="s">
        <v>3262</v>
      </c>
      <c r="T244" s="2" t="s">
        <v>72</v>
      </c>
      <c r="U244" s="3">
        <v>8</v>
      </c>
      <c r="V244" s="3">
        <v>8</v>
      </c>
      <c r="W244" s="4" t="s">
        <v>3263</v>
      </c>
      <c r="X244" s="4" t="s">
        <v>3263</v>
      </c>
      <c r="Y244" s="4" t="s">
        <v>262</v>
      </c>
      <c r="Z244" s="4" t="s">
        <v>262</v>
      </c>
      <c r="AA244" s="3">
        <v>155</v>
      </c>
      <c r="AB244" s="3">
        <v>150</v>
      </c>
      <c r="AC244" s="3">
        <v>154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0</v>
      </c>
      <c r="AK244" s="3">
        <v>0</v>
      </c>
      <c r="AL244" s="3">
        <v>1</v>
      </c>
      <c r="AM244" s="3">
        <v>1</v>
      </c>
      <c r="AN244" s="3">
        <v>0</v>
      </c>
      <c r="AO244" s="3">
        <v>0</v>
      </c>
      <c r="AP244" s="3">
        <v>0</v>
      </c>
      <c r="AQ244" s="3">
        <v>0</v>
      </c>
      <c r="AR244" s="2" t="s">
        <v>63</v>
      </c>
      <c r="AS244" s="2" t="s">
        <v>92</v>
      </c>
      <c r="AT244" s="5" t="str">
        <f>HYPERLINK("http://catalog.hathitrust.org/Record/000270341","HathiTrust Record")</f>
        <v>HathiTrust Record</v>
      </c>
      <c r="AU244" s="5" t="str">
        <f>HYPERLINK("https://creighton-primo.hosted.exlibrisgroup.com/primo-explore/search?tab=default_tab&amp;search_scope=EVERYTHING&amp;vid=01CRU&amp;lang=en_US&amp;offset=0&amp;query=any,contains,991000747899702656","Catalog Record")</f>
        <v>Catalog Record</v>
      </c>
      <c r="AV244" s="5" t="str">
        <f>HYPERLINK("http://www.worldcat.org/oclc/8114411","WorldCat Record")</f>
        <v>WorldCat Record</v>
      </c>
      <c r="AW244" s="2" t="s">
        <v>3264</v>
      </c>
      <c r="AX244" s="2" t="s">
        <v>3265</v>
      </c>
      <c r="AY244" s="2" t="s">
        <v>3266</v>
      </c>
      <c r="AZ244" s="2" t="s">
        <v>3266</v>
      </c>
      <c r="BA244" s="2" t="s">
        <v>3267</v>
      </c>
      <c r="BB244" s="2" t="s">
        <v>79</v>
      </c>
      <c r="BD244" s="2" t="s">
        <v>3268</v>
      </c>
      <c r="BE244" s="2" t="s">
        <v>3269</v>
      </c>
      <c r="BF244" s="2" t="s">
        <v>3270</v>
      </c>
    </row>
    <row r="245" spans="1:58" ht="46.5" customHeight="1">
      <c r="A245" s="1"/>
      <c r="B245" s="1" t="s">
        <v>58</v>
      </c>
      <c r="C245" s="1" t="s">
        <v>59</v>
      </c>
      <c r="D245" s="1" t="s">
        <v>3271</v>
      </c>
      <c r="E245" s="1" t="s">
        <v>3272</v>
      </c>
      <c r="F245" s="1" t="s">
        <v>3273</v>
      </c>
      <c r="H245" s="2" t="s">
        <v>63</v>
      </c>
      <c r="I245" s="2" t="s">
        <v>273</v>
      </c>
      <c r="J245" s="2" t="s">
        <v>63</v>
      </c>
      <c r="K245" s="2" t="s">
        <v>63</v>
      </c>
      <c r="L245" s="2" t="s">
        <v>65</v>
      </c>
      <c r="N245" s="1" t="s">
        <v>3274</v>
      </c>
      <c r="O245" s="2" t="s">
        <v>119</v>
      </c>
      <c r="P245" s="1" t="s">
        <v>3275</v>
      </c>
      <c r="Q245" s="2" t="s">
        <v>70</v>
      </c>
      <c r="R245" s="2" t="s">
        <v>89</v>
      </c>
      <c r="T245" s="2" t="s">
        <v>72</v>
      </c>
      <c r="U245" s="3">
        <v>5</v>
      </c>
      <c r="V245" s="3">
        <v>5</v>
      </c>
      <c r="W245" s="4" t="s">
        <v>3276</v>
      </c>
      <c r="X245" s="4" t="s">
        <v>3276</v>
      </c>
      <c r="Y245" s="4" t="s">
        <v>2062</v>
      </c>
      <c r="Z245" s="4" t="s">
        <v>2062</v>
      </c>
      <c r="AA245" s="3">
        <v>135</v>
      </c>
      <c r="AB245" s="3">
        <v>107</v>
      </c>
      <c r="AC245" s="3">
        <v>109</v>
      </c>
      <c r="AD245" s="3">
        <v>1</v>
      </c>
      <c r="AE245" s="3">
        <v>1</v>
      </c>
      <c r="AF245" s="3">
        <v>2</v>
      </c>
      <c r="AG245" s="3">
        <v>2</v>
      </c>
      <c r="AH245" s="3">
        <v>1</v>
      </c>
      <c r="AI245" s="3">
        <v>1</v>
      </c>
      <c r="AJ245" s="3">
        <v>0</v>
      </c>
      <c r="AK245" s="3">
        <v>0</v>
      </c>
      <c r="AL245" s="3">
        <v>2</v>
      </c>
      <c r="AM245" s="3">
        <v>2</v>
      </c>
      <c r="AN245" s="3">
        <v>0</v>
      </c>
      <c r="AO245" s="3">
        <v>0</v>
      </c>
      <c r="AP245" s="3">
        <v>0</v>
      </c>
      <c r="AQ245" s="3">
        <v>0</v>
      </c>
      <c r="AR245" s="2" t="s">
        <v>63</v>
      </c>
      <c r="AS245" s="2" t="s">
        <v>63</v>
      </c>
      <c r="AU245" s="5" t="str">
        <f>HYPERLINK("https://creighton-primo.hosted.exlibrisgroup.com/primo-explore/search?tab=default_tab&amp;search_scope=EVERYTHING&amp;vid=01CRU&amp;lang=en_US&amp;offset=0&amp;query=any,contains,991001176859702656","Catalog Record")</f>
        <v>Catalog Record</v>
      </c>
      <c r="AV245" s="5" t="str">
        <f>HYPERLINK("http://www.worldcat.org/oclc/7733325","WorldCat Record")</f>
        <v>WorldCat Record</v>
      </c>
      <c r="AW245" s="2" t="s">
        <v>3277</v>
      </c>
      <c r="AX245" s="2" t="s">
        <v>3278</v>
      </c>
      <c r="AY245" s="2" t="s">
        <v>3279</v>
      </c>
      <c r="AZ245" s="2" t="s">
        <v>3279</v>
      </c>
      <c r="BA245" s="2" t="s">
        <v>3280</v>
      </c>
      <c r="BB245" s="2" t="s">
        <v>79</v>
      </c>
      <c r="BE245" s="2" t="s">
        <v>3281</v>
      </c>
      <c r="BF245" s="2" t="s">
        <v>3282</v>
      </c>
    </row>
    <row r="246" spans="1:58" ht="46.5" customHeight="1">
      <c r="A246" s="1"/>
      <c r="B246" s="1" t="s">
        <v>58</v>
      </c>
      <c r="C246" s="1" t="s">
        <v>59</v>
      </c>
      <c r="D246" s="1" t="s">
        <v>3283</v>
      </c>
      <c r="E246" s="1" t="s">
        <v>3284</v>
      </c>
      <c r="F246" s="1" t="s">
        <v>3285</v>
      </c>
      <c r="H246" s="2" t="s">
        <v>63</v>
      </c>
      <c r="I246" s="2" t="s">
        <v>64</v>
      </c>
      <c r="J246" s="2" t="s">
        <v>63</v>
      </c>
      <c r="K246" s="2" t="s">
        <v>63</v>
      </c>
      <c r="L246" s="2" t="s">
        <v>65</v>
      </c>
      <c r="N246" s="1" t="s">
        <v>3251</v>
      </c>
      <c r="O246" s="2" t="s">
        <v>608</v>
      </c>
      <c r="P246" s="1" t="s">
        <v>376</v>
      </c>
      <c r="Q246" s="2" t="s">
        <v>70</v>
      </c>
      <c r="R246" s="2" t="s">
        <v>260</v>
      </c>
      <c r="T246" s="2" t="s">
        <v>72</v>
      </c>
      <c r="U246" s="3">
        <v>2</v>
      </c>
      <c r="V246" s="3">
        <v>2</v>
      </c>
      <c r="W246" s="4" t="s">
        <v>1136</v>
      </c>
      <c r="X246" s="4" t="s">
        <v>1136</v>
      </c>
      <c r="Y246" s="4" t="s">
        <v>979</v>
      </c>
      <c r="Z246" s="4" t="s">
        <v>979</v>
      </c>
      <c r="AA246" s="3">
        <v>11</v>
      </c>
      <c r="AB246" s="3">
        <v>10</v>
      </c>
      <c r="AC246" s="3">
        <v>10</v>
      </c>
      <c r="AD246" s="3">
        <v>1</v>
      </c>
      <c r="AE246" s="3">
        <v>1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2" t="s">
        <v>63</v>
      </c>
      <c r="AS246" s="2" t="s">
        <v>63</v>
      </c>
      <c r="AU246" s="5" t="str">
        <f>HYPERLINK("https://creighton-primo.hosted.exlibrisgroup.com/primo-explore/search?tab=default_tab&amp;search_scope=EVERYTHING&amp;vid=01CRU&amp;lang=en_US&amp;offset=0&amp;query=any,contains,991001511649702656","Catalog Record")</f>
        <v>Catalog Record</v>
      </c>
      <c r="AV246" s="5" t="str">
        <f>HYPERLINK("http://www.worldcat.org/oclc/28581559","WorldCat Record")</f>
        <v>WorldCat Record</v>
      </c>
      <c r="AW246" s="2" t="s">
        <v>3286</v>
      </c>
      <c r="AX246" s="2" t="s">
        <v>3287</v>
      </c>
      <c r="AY246" s="2" t="s">
        <v>3288</v>
      </c>
      <c r="AZ246" s="2" t="s">
        <v>3288</v>
      </c>
      <c r="BA246" s="2" t="s">
        <v>3289</v>
      </c>
      <c r="BB246" s="2" t="s">
        <v>79</v>
      </c>
      <c r="BD246" s="2" t="s">
        <v>3290</v>
      </c>
      <c r="BE246" s="2" t="s">
        <v>3291</v>
      </c>
      <c r="BF246" s="2" t="s">
        <v>3292</v>
      </c>
    </row>
    <row r="247" spans="1:58" ht="46.5" customHeight="1">
      <c r="A247" s="1"/>
      <c r="B247" s="1" t="s">
        <v>58</v>
      </c>
      <c r="C247" s="1" t="s">
        <v>59</v>
      </c>
      <c r="D247" s="1" t="s">
        <v>3293</v>
      </c>
      <c r="E247" s="1" t="s">
        <v>3294</v>
      </c>
      <c r="F247" s="1" t="s">
        <v>3295</v>
      </c>
      <c r="H247" s="2" t="s">
        <v>63</v>
      </c>
      <c r="I247" s="2" t="s">
        <v>64</v>
      </c>
      <c r="J247" s="2" t="s">
        <v>63</v>
      </c>
      <c r="K247" s="2" t="s">
        <v>92</v>
      </c>
      <c r="L247" s="2" t="s">
        <v>65</v>
      </c>
      <c r="N247" s="1" t="s">
        <v>3296</v>
      </c>
      <c r="O247" s="2" t="s">
        <v>172</v>
      </c>
      <c r="P247" s="1" t="s">
        <v>105</v>
      </c>
      <c r="Q247" s="2" t="s">
        <v>70</v>
      </c>
      <c r="R247" s="2" t="s">
        <v>892</v>
      </c>
      <c r="T247" s="2" t="s">
        <v>72</v>
      </c>
      <c r="U247" s="3">
        <v>11</v>
      </c>
      <c r="V247" s="3">
        <v>11</v>
      </c>
      <c r="W247" s="4" t="s">
        <v>3297</v>
      </c>
      <c r="X247" s="4" t="s">
        <v>3297</v>
      </c>
      <c r="Y247" s="4" t="s">
        <v>262</v>
      </c>
      <c r="Z247" s="4" t="s">
        <v>262</v>
      </c>
      <c r="AA247" s="3">
        <v>122</v>
      </c>
      <c r="AB247" s="3">
        <v>94</v>
      </c>
      <c r="AC247" s="3">
        <v>314</v>
      </c>
      <c r="AD247" s="3">
        <v>1</v>
      </c>
      <c r="AE247" s="3">
        <v>2</v>
      </c>
      <c r="AF247" s="3">
        <v>1</v>
      </c>
      <c r="AG247" s="3">
        <v>6</v>
      </c>
      <c r="AH247" s="3">
        <v>1</v>
      </c>
      <c r="AI247" s="3">
        <v>4</v>
      </c>
      <c r="AJ247" s="3">
        <v>0</v>
      </c>
      <c r="AK247" s="3">
        <v>1</v>
      </c>
      <c r="AL247" s="3">
        <v>0</v>
      </c>
      <c r="AM247" s="3">
        <v>2</v>
      </c>
      <c r="AN247" s="3">
        <v>0</v>
      </c>
      <c r="AO247" s="3">
        <v>1</v>
      </c>
      <c r="AP247" s="3">
        <v>0</v>
      </c>
      <c r="AQ247" s="3">
        <v>0</v>
      </c>
      <c r="AR247" s="2" t="s">
        <v>63</v>
      </c>
      <c r="AS247" s="2" t="s">
        <v>92</v>
      </c>
      <c r="AT247" s="5" t="str">
        <f>HYPERLINK("http://catalog.hathitrust.org/Record/000315018","HathiTrust Record")</f>
        <v>HathiTrust Record</v>
      </c>
      <c r="AU247" s="5" t="str">
        <f>HYPERLINK("https://creighton-primo.hosted.exlibrisgroup.com/primo-explore/search?tab=default_tab&amp;search_scope=EVERYTHING&amp;vid=01CRU&amp;lang=en_US&amp;offset=0&amp;query=any,contains,991000747939702656","Catalog Record")</f>
        <v>Catalog Record</v>
      </c>
      <c r="AV247" s="5" t="str">
        <f>HYPERLINK("http://www.worldcat.org/oclc/9043234","WorldCat Record")</f>
        <v>WorldCat Record</v>
      </c>
      <c r="AW247" s="2" t="s">
        <v>2712</v>
      </c>
      <c r="AX247" s="2" t="s">
        <v>3298</v>
      </c>
      <c r="AY247" s="2" t="s">
        <v>3299</v>
      </c>
      <c r="AZ247" s="2" t="s">
        <v>3299</v>
      </c>
      <c r="BA247" s="2" t="s">
        <v>3300</v>
      </c>
      <c r="BB247" s="2" t="s">
        <v>79</v>
      </c>
      <c r="BD247" s="2" t="s">
        <v>3301</v>
      </c>
      <c r="BE247" s="2" t="s">
        <v>3302</v>
      </c>
      <c r="BF247" s="2" t="s">
        <v>3303</v>
      </c>
    </row>
    <row r="248" spans="1:58" ht="46.5" customHeight="1">
      <c r="A248" s="1"/>
      <c r="B248" s="1" t="s">
        <v>58</v>
      </c>
      <c r="C248" s="1" t="s">
        <v>59</v>
      </c>
      <c r="D248" s="1" t="s">
        <v>3304</v>
      </c>
      <c r="E248" s="1" t="s">
        <v>3305</v>
      </c>
      <c r="F248" s="1" t="s">
        <v>3306</v>
      </c>
      <c r="H248" s="2" t="s">
        <v>63</v>
      </c>
      <c r="I248" s="2" t="s">
        <v>64</v>
      </c>
      <c r="J248" s="2" t="s">
        <v>63</v>
      </c>
      <c r="K248" s="2" t="s">
        <v>63</v>
      </c>
      <c r="L248" s="2" t="s">
        <v>65</v>
      </c>
      <c r="N248" s="1" t="s">
        <v>3307</v>
      </c>
      <c r="O248" s="2" t="s">
        <v>440</v>
      </c>
      <c r="Q248" s="2" t="s">
        <v>70</v>
      </c>
      <c r="R248" s="2" t="s">
        <v>277</v>
      </c>
      <c r="T248" s="2" t="s">
        <v>72</v>
      </c>
      <c r="U248" s="3">
        <v>0</v>
      </c>
      <c r="V248" s="3">
        <v>0</v>
      </c>
      <c r="W248" s="4" t="s">
        <v>3308</v>
      </c>
      <c r="X248" s="4" t="s">
        <v>3308</v>
      </c>
      <c r="Y248" s="4" t="s">
        <v>3309</v>
      </c>
      <c r="Z248" s="4" t="s">
        <v>3309</v>
      </c>
      <c r="AA248" s="3">
        <v>161</v>
      </c>
      <c r="AB248" s="3">
        <v>109</v>
      </c>
      <c r="AC248" s="3">
        <v>111</v>
      </c>
      <c r="AD248" s="3">
        <v>1</v>
      </c>
      <c r="AE248" s="3">
        <v>1</v>
      </c>
      <c r="AF248" s="3">
        <v>4</v>
      </c>
      <c r="AG248" s="3">
        <v>4</v>
      </c>
      <c r="AH248" s="3">
        <v>2</v>
      </c>
      <c r="AI248" s="3">
        <v>2</v>
      </c>
      <c r="AJ248" s="3">
        <v>1</v>
      </c>
      <c r="AK248" s="3">
        <v>1</v>
      </c>
      <c r="AL248" s="3">
        <v>1</v>
      </c>
      <c r="AM248" s="3">
        <v>1</v>
      </c>
      <c r="AN248" s="3">
        <v>0</v>
      </c>
      <c r="AO248" s="3">
        <v>0</v>
      </c>
      <c r="AP248" s="3">
        <v>0</v>
      </c>
      <c r="AQ248" s="3">
        <v>0</v>
      </c>
      <c r="AR248" s="2" t="s">
        <v>63</v>
      </c>
      <c r="AS248" s="2" t="s">
        <v>92</v>
      </c>
      <c r="AT248" s="5" t="str">
        <f>HYPERLINK("http://catalog.hathitrust.org/Record/004318873","HathiTrust Record")</f>
        <v>HathiTrust Record</v>
      </c>
      <c r="AU248" s="5" t="str">
        <f>HYPERLINK("https://creighton-primo.hosted.exlibrisgroup.com/primo-explore/search?tab=default_tab&amp;search_scope=EVERYTHING&amp;vid=01CRU&amp;lang=en_US&amp;offset=0&amp;query=any,contains,991001464179702656","Catalog Record")</f>
        <v>Catalog Record</v>
      </c>
      <c r="AV248" s="5" t="str">
        <f>HYPERLINK("http://www.worldcat.org/oclc/48383568","WorldCat Record")</f>
        <v>WorldCat Record</v>
      </c>
      <c r="AW248" s="2" t="s">
        <v>3310</v>
      </c>
      <c r="AX248" s="2" t="s">
        <v>3311</v>
      </c>
      <c r="AY248" s="2" t="s">
        <v>3312</v>
      </c>
      <c r="AZ248" s="2" t="s">
        <v>3312</v>
      </c>
      <c r="BA248" s="2" t="s">
        <v>3313</v>
      </c>
      <c r="BB248" s="2" t="s">
        <v>79</v>
      </c>
      <c r="BD248" s="2" t="s">
        <v>3314</v>
      </c>
      <c r="BE248" s="2" t="s">
        <v>3315</v>
      </c>
      <c r="BF248" s="2" t="s">
        <v>3316</v>
      </c>
    </row>
    <row r="249" spans="1:58" ht="46.5" customHeight="1">
      <c r="A249" s="1"/>
      <c r="B249" s="1" t="s">
        <v>58</v>
      </c>
      <c r="C249" s="1" t="s">
        <v>59</v>
      </c>
      <c r="D249" s="1" t="s">
        <v>3317</v>
      </c>
      <c r="E249" s="1" t="s">
        <v>3318</v>
      </c>
      <c r="F249" s="1" t="s">
        <v>3319</v>
      </c>
      <c r="H249" s="2" t="s">
        <v>63</v>
      </c>
      <c r="I249" s="2" t="s">
        <v>64</v>
      </c>
      <c r="J249" s="2" t="s">
        <v>63</v>
      </c>
      <c r="K249" s="2" t="s">
        <v>63</v>
      </c>
      <c r="L249" s="2" t="s">
        <v>65</v>
      </c>
      <c r="M249" s="1" t="s">
        <v>3320</v>
      </c>
      <c r="N249" s="1" t="s">
        <v>3321</v>
      </c>
      <c r="O249" s="2" t="s">
        <v>292</v>
      </c>
      <c r="Q249" s="2" t="s">
        <v>70</v>
      </c>
      <c r="R249" s="2" t="s">
        <v>89</v>
      </c>
      <c r="S249" s="1" t="s">
        <v>3322</v>
      </c>
      <c r="T249" s="2" t="s">
        <v>72</v>
      </c>
      <c r="U249" s="3">
        <v>4</v>
      </c>
      <c r="V249" s="3">
        <v>4</v>
      </c>
      <c r="W249" s="4" t="s">
        <v>3323</v>
      </c>
      <c r="X249" s="4" t="s">
        <v>3323</v>
      </c>
      <c r="Y249" s="4" t="s">
        <v>3324</v>
      </c>
      <c r="Z249" s="4" t="s">
        <v>3324</v>
      </c>
      <c r="AA249" s="3">
        <v>87</v>
      </c>
      <c r="AB249" s="3">
        <v>65</v>
      </c>
      <c r="AC249" s="3">
        <v>67</v>
      </c>
      <c r="AD249" s="3">
        <v>2</v>
      </c>
      <c r="AE249" s="3">
        <v>2</v>
      </c>
      <c r="AF249" s="3">
        <v>1</v>
      </c>
      <c r="AG249" s="3">
        <v>1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1</v>
      </c>
      <c r="AO249" s="3">
        <v>1</v>
      </c>
      <c r="AP249" s="3">
        <v>0</v>
      </c>
      <c r="AQ249" s="3">
        <v>0</v>
      </c>
      <c r="AR249" s="2" t="s">
        <v>63</v>
      </c>
      <c r="AS249" s="2" t="s">
        <v>92</v>
      </c>
      <c r="AT249" s="5" t="str">
        <f>HYPERLINK("http://catalog.hathitrust.org/Record/002237734","HathiTrust Record")</f>
        <v>HathiTrust Record</v>
      </c>
      <c r="AU249" s="5" t="str">
        <f>HYPERLINK("https://creighton-primo.hosted.exlibrisgroup.com/primo-explore/search?tab=default_tab&amp;search_scope=EVERYTHING&amp;vid=01CRU&amp;lang=en_US&amp;offset=0&amp;query=any,contains,991001111769702656","Catalog Record")</f>
        <v>Catalog Record</v>
      </c>
      <c r="AV249" s="5" t="str">
        <f>HYPERLINK("http://www.worldcat.org/oclc/18258255","WorldCat Record")</f>
        <v>WorldCat Record</v>
      </c>
      <c r="AW249" s="2" t="s">
        <v>3325</v>
      </c>
      <c r="AX249" s="2" t="s">
        <v>3326</v>
      </c>
      <c r="AY249" s="2" t="s">
        <v>3327</v>
      </c>
      <c r="AZ249" s="2" t="s">
        <v>3327</v>
      </c>
      <c r="BA249" s="2" t="s">
        <v>3328</v>
      </c>
      <c r="BB249" s="2" t="s">
        <v>79</v>
      </c>
      <c r="BD249" s="2" t="s">
        <v>3329</v>
      </c>
      <c r="BE249" s="2" t="s">
        <v>3330</v>
      </c>
      <c r="BF249" s="2" t="s">
        <v>3331</v>
      </c>
    </row>
    <row r="250" spans="1:58" ht="46.5" customHeight="1">
      <c r="A250" s="1"/>
      <c r="B250" s="1" t="s">
        <v>58</v>
      </c>
      <c r="C250" s="1" t="s">
        <v>59</v>
      </c>
      <c r="D250" s="1" t="s">
        <v>3332</v>
      </c>
      <c r="E250" s="1" t="s">
        <v>3333</v>
      </c>
      <c r="F250" s="1" t="s">
        <v>3334</v>
      </c>
      <c r="H250" s="2" t="s">
        <v>63</v>
      </c>
      <c r="I250" s="2" t="s">
        <v>64</v>
      </c>
      <c r="J250" s="2" t="s">
        <v>63</v>
      </c>
      <c r="K250" s="2" t="s">
        <v>92</v>
      </c>
      <c r="L250" s="2" t="s">
        <v>65</v>
      </c>
      <c r="M250" s="1" t="s">
        <v>3335</v>
      </c>
      <c r="N250" s="1" t="s">
        <v>3336</v>
      </c>
      <c r="O250" s="2" t="s">
        <v>718</v>
      </c>
      <c r="P250" s="1" t="s">
        <v>230</v>
      </c>
      <c r="Q250" s="2" t="s">
        <v>70</v>
      </c>
      <c r="R250" s="2" t="s">
        <v>892</v>
      </c>
      <c r="T250" s="2" t="s">
        <v>72</v>
      </c>
      <c r="U250" s="3">
        <v>3</v>
      </c>
      <c r="V250" s="3">
        <v>3</v>
      </c>
      <c r="W250" s="4" t="s">
        <v>3337</v>
      </c>
      <c r="X250" s="4" t="s">
        <v>3337</v>
      </c>
      <c r="Y250" s="4" t="s">
        <v>2159</v>
      </c>
      <c r="Z250" s="4" t="s">
        <v>2159</v>
      </c>
      <c r="AA250" s="3">
        <v>63</v>
      </c>
      <c r="AB250" s="3">
        <v>47</v>
      </c>
      <c r="AC250" s="3">
        <v>314</v>
      </c>
      <c r="AD250" s="3">
        <v>1</v>
      </c>
      <c r="AE250" s="3">
        <v>2</v>
      </c>
      <c r="AF250" s="3">
        <v>0</v>
      </c>
      <c r="AG250" s="3">
        <v>6</v>
      </c>
      <c r="AH250" s="3">
        <v>0</v>
      </c>
      <c r="AI250" s="3">
        <v>4</v>
      </c>
      <c r="AJ250" s="3">
        <v>0</v>
      </c>
      <c r="AK250" s="3">
        <v>1</v>
      </c>
      <c r="AL250" s="3">
        <v>0</v>
      </c>
      <c r="AM250" s="3">
        <v>2</v>
      </c>
      <c r="AN250" s="3">
        <v>0</v>
      </c>
      <c r="AO250" s="3">
        <v>1</v>
      </c>
      <c r="AP250" s="3">
        <v>0</v>
      </c>
      <c r="AQ250" s="3">
        <v>0</v>
      </c>
      <c r="AR250" s="2" t="s">
        <v>63</v>
      </c>
      <c r="AS250" s="2" t="s">
        <v>63</v>
      </c>
      <c r="AU250" s="5" t="str">
        <f>HYPERLINK("https://creighton-primo.hosted.exlibrisgroup.com/primo-explore/search?tab=default_tab&amp;search_scope=EVERYTHING&amp;vid=01CRU&amp;lang=en_US&amp;offset=0&amp;query=any,contains,991000953649702656","Catalog Record")</f>
        <v>Catalog Record</v>
      </c>
      <c r="AV250" s="5" t="str">
        <f>HYPERLINK("http://www.worldcat.org/oclc/3712062","WorldCat Record")</f>
        <v>WorldCat Record</v>
      </c>
      <c r="AW250" s="2" t="s">
        <v>2712</v>
      </c>
      <c r="AX250" s="2" t="s">
        <v>3338</v>
      </c>
      <c r="AY250" s="2" t="s">
        <v>3339</v>
      </c>
      <c r="AZ250" s="2" t="s">
        <v>3339</v>
      </c>
      <c r="BA250" s="2" t="s">
        <v>3340</v>
      </c>
      <c r="BB250" s="2" t="s">
        <v>79</v>
      </c>
      <c r="BE250" s="2" t="s">
        <v>3341</v>
      </c>
      <c r="BF250" s="2" t="s">
        <v>3342</v>
      </c>
    </row>
    <row r="251" spans="1:58" ht="46.5" customHeight="1">
      <c r="A251" s="1"/>
      <c r="B251" s="1" t="s">
        <v>58</v>
      </c>
      <c r="C251" s="1" t="s">
        <v>59</v>
      </c>
      <c r="D251" s="1" t="s">
        <v>3343</v>
      </c>
      <c r="E251" s="1" t="s">
        <v>3344</v>
      </c>
      <c r="F251" s="1" t="s">
        <v>3345</v>
      </c>
      <c r="H251" s="2" t="s">
        <v>63</v>
      </c>
      <c r="I251" s="2" t="s">
        <v>64</v>
      </c>
      <c r="J251" s="2" t="s">
        <v>63</v>
      </c>
      <c r="K251" s="2" t="s">
        <v>92</v>
      </c>
      <c r="L251" s="2" t="s">
        <v>65</v>
      </c>
      <c r="N251" s="1" t="s">
        <v>3346</v>
      </c>
      <c r="O251" s="2" t="s">
        <v>1201</v>
      </c>
      <c r="Q251" s="2" t="s">
        <v>70</v>
      </c>
      <c r="R251" s="2" t="s">
        <v>277</v>
      </c>
      <c r="S251" s="1" t="s">
        <v>3347</v>
      </c>
      <c r="T251" s="2" t="s">
        <v>72</v>
      </c>
      <c r="U251" s="3">
        <v>9</v>
      </c>
      <c r="V251" s="3">
        <v>9</v>
      </c>
      <c r="W251" s="4" t="s">
        <v>3348</v>
      </c>
      <c r="X251" s="4" t="s">
        <v>3348</v>
      </c>
      <c r="Y251" s="4" t="s">
        <v>2159</v>
      </c>
      <c r="Z251" s="4" t="s">
        <v>2159</v>
      </c>
      <c r="AA251" s="3">
        <v>142</v>
      </c>
      <c r="AB251" s="3">
        <v>91</v>
      </c>
      <c r="AC251" s="3">
        <v>537</v>
      </c>
      <c r="AD251" s="3">
        <v>1</v>
      </c>
      <c r="AE251" s="3">
        <v>2</v>
      </c>
      <c r="AF251" s="3">
        <v>4</v>
      </c>
      <c r="AG251" s="3">
        <v>10</v>
      </c>
      <c r="AH251" s="3">
        <v>3</v>
      </c>
      <c r="AI251" s="3">
        <v>8</v>
      </c>
      <c r="AJ251" s="3">
        <v>1</v>
      </c>
      <c r="AK251" s="3">
        <v>2</v>
      </c>
      <c r="AL251" s="3">
        <v>1</v>
      </c>
      <c r="AM251" s="3">
        <v>1</v>
      </c>
      <c r="AN251" s="3">
        <v>0</v>
      </c>
      <c r="AO251" s="3">
        <v>1</v>
      </c>
      <c r="AP251" s="3">
        <v>0</v>
      </c>
      <c r="AQ251" s="3">
        <v>0</v>
      </c>
      <c r="AR251" s="2" t="s">
        <v>63</v>
      </c>
      <c r="AS251" s="2" t="s">
        <v>92</v>
      </c>
      <c r="AT251" s="5" t="str">
        <f>HYPERLINK("http://catalog.hathitrust.org/Record/000683374","HathiTrust Record")</f>
        <v>HathiTrust Record</v>
      </c>
      <c r="AU251" s="5" t="str">
        <f>HYPERLINK("https://creighton-primo.hosted.exlibrisgroup.com/primo-explore/search?tab=default_tab&amp;search_scope=EVERYTHING&amp;vid=01CRU&amp;lang=en_US&amp;offset=0&amp;query=any,contains,991000953709702656","Catalog Record")</f>
        <v>Catalog Record</v>
      </c>
      <c r="AV251" s="5" t="str">
        <f>HYPERLINK("http://www.worldcat.org/oclc/5286412","WorldCat Record")</f>
        <v>WorldCat Record</v>
      </c>
      <c r="AW251" s="2" t="s">
        <v>3349</v>
      </c>
      <c r="AX251" s="2" t="s">
        <v>3350</v>
      </c>
      <c r="AY251" s="2" t="s">
        <v>3351</v>
      </c>
      <c r="AZ251" s="2" t="s">
        <v>3351</v>
      </c>
      <c r="BA251" s="2" t="s">
        <v>3352</v>
      </c>
      <c r="BB251" s="2" t="s">
        <v>79</v>
      </c>
      <c r="BD251" s="2" t="s">
        <v>3353</v>
      </c>
      <c r="BE251" s="2" t="s">
        <v>3354</v>
      </c>
      <c r="BF251" s="2" t="s">
        <v>3355</v>
      </c>
    </row>
    <row r="252" spans="1:58" ht="46.5" customHeight="1">
      <c r="A252" s="1"/>
      <c r="B252" s="1" t="s">
        <v>58</v>
      </c>
      <c r="C252" s="1" t="s">
        <v>59</v>
      </c>
      <c r="D252" s="1" t="s">
        <v>3356</v>
      </c>
      <c r="E252" s="1" t="s">
        <v>3357</v>
      </c>
      <c r="F252" s="1" t="s">
        <v>3358</v>
      </c>
      <c r="H252" s="2" t="s">
        <v>63</v>
      </c>
      <c r="I252" s="2" t="s">
        <v>64</v>
      </c>
      <c r="J252" s="2" t="s">
        <v>63</v>
      </c>
      <c r="K252" s="2" t="s">
        <v>63</v>
      </c>
      <c r="L252" s="2" t="s">
        <v>65</v>
      </c>
      <c r="M252" s="1" t="s">
        <v>3359</v>
      </c>
      <c r="N252" s="1" t="s">
        <v>3360</v>
      </c>
      <c r="O252" s="2" t="s">
        <v>690</v>
      </c>
      <c r="Q252" s="2" t="s">
        <v>70</v>
      </c>
      <c r="R252" s="2" t="s">
        <v>691</v>
      </c>
      <c r="T252" s="2" t="s">
        <v>72</v>
      </c>
      <c r="U252" s="3">
        <v>0</v>
      </c>
      <c r="V252" s="3">
        <v>0</v>
      </c>
      <c r="W252" s="4" t="s">
        <v>2252</v>
      </c>
      <c r="X252" s="4" t="s">
        <v>2252</v>
      </c>
      <c r="Y252" s="4" t="s">
        <v>1696</v>
      </c>
      <c r="Z252" s="4" t="s">
        <v>1696</v>
      </c>
      <c r="AA252" s="3">
        <v>144</v>
      </c>
      <c r="AB252" s="3">
        <v>108</v>
      </c>
      <c r="AC252" s="3">
        <v>111</v>
      </c>
      <c r="AD252" s="3">
        <v>2</v>
      </c>
      <c r="AE252" s="3">
        <v>2</v>
      </c>
      <c r="AF252" s="3">
        <v>2</v>
      </c>
      <c r="AG252" s="3">
        <v>2</v>
      </c>
      <c r="AH252" s="3">
        <v>0</v>
      </c>
      <c r="AI252" s="3">
        <v>0</v>
      </c>
      <c r="AJ252" s="3">
        <v>0</v>
      </c>
      <c r="AK252" s="3">
        <v>0</v>
      </c>
      <c r="AL252" s="3">
        <v>1</v>
      </c>
      <c r="AM252" s="3">
        <v>1</v>
      </c>
      <c r="AN252" s="3">
        <v>1</v>
      </c>
      <c r="AO252" s="3">
        <v>1</v>
      </c>
      <c r="AP252" s="3">
        <v>0</v>
      </c>
      <c r="AQ252" s="3">
        <v>0</v>
      </c>
      <c r="AR252" s="2" t="s">
        <v>63</v>
      </c>
      <c r="AS252" s="2" t="s">
        <v>63</v>
      </c>
      <c r="AT252" s="5" t="str">
        <f>HYPERLINK("http://catalog.hathitrust.org/Record/001573908","HathiTrust Record")</f>
        <v>HathiTrust Record</v>
      </c>
      <c r="AU252" s="5" t="str">
        <f>HYPERLINK("https://creighton-primo.hosted.exlibrisgroup.com/primo-explore/search?tab=default_tab&amp;search_scope=EVERYTHING&amp;vid=01CRU&amp;lang=en_US&amp;offset=0&amp;query=any,contains,991000952549702656","Catalog Record")</f>
        <v>Catalog Record</v>
      </c>
      <c r="AV252" s="5" t="str">
        <f>HYPERLINK("http://www.worldcat.org/oclc/1399040","WorldCat Record")</f>
        <v>WorldCat Record</v>
      </c>
      <c r="AW252" s="2" t="s">
        <v>3361</v>
      </c>
      <c r="AX252" s="2" t="s">
        <v>3362</v>
      </c>
      <c r="AY252" s="2" t="s">
        <v>3363</v>
      </c>
      <c r="AZ252" s="2" t="s">
        <v>3363</v>
      </c>
      <c r="BA252" s="2" t="s">
        <v>3364</v>
      </c>
      <c r="BB252" s="2" t="s">
        <v>79</v>
      </c>
      <c r="BE252" s="2" t="s">
        <v>3365</v>
      </c>
      <c r="BF252" s="2" t="s">
        <v>3366</v>
      </c>
    </row>
    <row r="253" spans="1:58" ht="46.5" customHeight="1">
      <c r="A253" s="1"/>
      <c r="B253" s="1" t="s">
        <v>58</v>
      </c>
      <c r="C253" s="1" t="s">
        <v>59</v>
      </c>
      <c r="D253" s="1" t="s">
        <v>3367</v>
      </c>
      <c r="E253" s="1" t="s">
        <v>3368</v>
      </c>
      <c r="F253" s="1" t="s">
        <v>3369</v>
      </c>
      <c r="H253" s="2" t="s">
        <v>63</v>
      </c>
      <c r="I253" s="2" t="s">
        <v>64</v>
      </c>
      <c r="J253" s="2" t="s">
        <v>63</v>
      </c>
      <c r="K253" s="2" t="s">
        <v>63</v>
      </c>
      <c r="L253" s="2" t="s">
        <v>65</v>
      </c>
      <c r="N253" s="1" t="s">
        <v>3370</v>
      </c>
      <c r="O253" s="2" t="s">
        <v>132</v>
      </c>
      <c r="Q253" s="2" t="s">
        <v>70</v>
      </c>
      <c r="R253" s="2" t="s">
        <v>1541</v>
      </c>
      <c r="S253" s="1" t="s">
        <v>3371</v>
      </c>
      <c r="T253" s="2" t="s">
        <v>72</v>
      </c>
      <c r="U253" s="3">
        <v>8</v>
      </c>
      <c r="V253" s="3">
        <v>8</v>
      </c>
      <c r="W253" s="4" t="s">
        <v>3372</v>
      </c>
      <c r="X253" s="4" t="s">
        <v>3372</v>
      </c>
      <c r="Y253" s="4" t="s">
        <v>3373</v>
      </c>
      <c r="Z253" s="4" t="s">
        <v>3373</v>
      </c>
      <c r="AA253" s="3">
        <v>93</v>
      </c>
      <c r="AB253" s="3">
        <v>71</v>
      </c>
      <c r="AC253" s="3">
        <v>74</v>
      </c>
      <c r="AD253" s="3">
        <v>1</v>
      </c>
      <c r="AE253" s="3">
        <v>1</v>
      </c>
      <c r="AF253" s="3">
        <v>2</v>
      </c>
      <c r="AG253" s="3">
        <v>2</v>
      </c>
      <c r="AH253" s="3">
        <v>1</v>
      </c>
      <c r="AI253" s="3">
        <v>1</v>
      </c>
      <c r="AJ253" s="3">
        <v>1</v>
      </c>
      <c r="AK253" s="3">
        <v>1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2" t="s">
        <v>63</v>
      </c>
      <c r="AS253" s="2" t="s">
        <v>92</v>
      </c>
      <c r="AT253" s="5" t="str">
        <f>HYPERLINK("http://catalog.hathitrust.org/Record/002527129","HathiTrust Record")</f>
        <v>HathiTrust Record</v>
      </c>
      <c r="AU253" s="5" t="str">
        <f>HYPERLINK("https://creighton-primo.hosted.exlibrisgroup.com/primo-explore/search?tab=default_tab&amp;search_scope=EVERYTHING&amp;vid=01CRU&amp;lang=en_US&amp;offset=0&amp;query=any,contains,991001304419702656","Catalog Record")</f>
        <v>Catalog Record</v>
      </c>
      <c r="AV253" s="5" t="str">
        <f>HYPERLINK("http://www.worldcat.org/oclc/24318421","WorldCat Record")</f>
        <v>WorldCat Record</v>
      </c>
      <c r="AW253" s="2" t="s">
        <v>3374</v>
      </c>
      <c r="AX253" s="2" t="s">
        <v>3375</v>
      </c>
      <c r="AY253" s="2" t="s">
        <v>3376</v>
      </c>
      <c r="AZ253" s="2" t="s">
        <v>3376</v>
      </c>
      <c r="BA253" s="2" t="s">
        <v>3377</v>
      </c>
      <c r="BB253" s="2" t="s">
        <v>79</v>
      </c>
      <c r="BD253" s="2" t="s">
        <v>3378</v>
      </c>
      <c r="BE253" s="2" t="s">
        <v>3379</v>
      </c>
      <c r="BF253" s="2" t="s">
        <v>3380</v>
      </c>
    </row>
    <row r="254" spans="1:58" ht="46.5" customHeight="1">
      <c r="A254" s="1"/>
      <c r="B254" s="1" t="s">
        <v>58</v>
      </c>
      <c r="C254" s="1" t="s">
        <v>59</v>
      </c>
      <c r="D254" s="1" t="s">
        <v>3381</v>
      </c>
      <c r="E254" s="1" t="s">
        <v>3382</v>
      </c>
      <c r="F254" s="1" t="s">
        <v>3383</v>
      </c>
      <c r="H254" s="2" t="s">
        <v>63</v>
      </c>
      <c r="I254" s="2" t="s">
        <v>64</v>
      </c>
      <c r="J254" s="2" t="s">
        <v>63</v>
      </c>
      <c r="K254" s="2" t="s">
        <v>63</v>
      </c>
      <c r="L254" s="2" t="s">
        <v>65</v>
      </c>
      <c r="M254" s="1" t="s">
        <v>3384</v>
      </c>
      <c r="N254" s="1" t="s">
        <v>3385</v>
      </c>
      <c r="O254" s="2" t="s">
        <v>119</v>
      </c>
      <c r="Q254" s="2" t="s">
        <v>70</v>
      </c>
      <c r="R254" s="2" t="s">
        <v>786</v>
      </c>
      <c r="T254" s="2" t="s">
        <v>72</v>
      </c>
      <c r="U254" s="3">
        <v>2</v>
      </c>
      <c r="V254" s="3">
        <v>2</v>
      </c>
      <c r="W254" s="4" t="s">
        <v>3386</v>
      </c>
      <c r="X254" s="4" t="s">
        <v>3386</v>
      </c>
      <c r="Y254" s="4" t="s">
        <v>3387</v>
      </c>
      <c r="Z254" s="4" t="s">
        <v>3387</v>
      </c>
      <c r="AA254" s="3">
        <v>69</v>
      </c>
      <c r="AB254" s="3">
        <v>53</v>
      </c>
      <c r="AC254" s="3">
        <v>57</v>
      </c>
      <c r="AD254" s="3">
        <v>1</v>
      </c>
      <c r="AE254" s="3">
        <v>1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2" t="s">
        <v>63</v>
      </c>
      <c r="AS254" s="2" t="s">
        <v>92</v>
      </c>
      <c r="AT254" s="5" t="str">
        <f>HYPERLINK("http://catalog.hathitrust.org/Record/000279285","HathiTrust Record")</f>
        <v>HathiTrust Record</v>
      </c>
      <c r="AU254" s="5" t="str">
        <f>HYPERLINK("https://creighton-primo.hosted.exlibrisgroup.com/primo-explore/search?tab=default_tab&amp;search_scope=EVERYTHING&amp;vid=01CRU&amp;lang=en_US&amp;offset=0&amp;query=any,contains,991000957579702656","Catalog Record")</f>
        <v>Catalog Record</v>
      </c>
      <c r="AV254" s="5" t="str">
        <f>HYPERLINK("http://www.worldcat.org/oclc/8195091","WorldCat Record")</f>
        <v>WorldCat Record</v>
      </c>
      <c r="AW254" s="2" t="s">
        <v>3388</v>
      </c>
      <c r="AX254" s="2" t="s">
        <v>3389</v>
      </c>
      <c r="AY254" s="2" t="s">
        <v>3390</v>
      </c>
      <c r="AZ254" s="2" t="s">
        <v>3390</v>
      </c>
      <c r="BA254" s="2" t="s">
        <v>3391</v>
      </c>
      <c r="BB254" s="2" t="s">
        <v>79</v>
      </c>
      <c r="BD254" s="2" t="s">
        <v>3392</v>
      </c>
      <c r="BE254" s="2" t="s">
        <v>3393</v>
      </c>
      <c r="BF254" s="2" t="s">
        <v>3394</v>
      </c>
    </row>
    <row r="255" spans="1:58" ht="46.5" customHeight="1">
      <c r="A255" s="1"/>
      <c r="B255" s="1" t="s">
        <v>58</v>
      </c>
      <c r="C255" s="1" t="s">
        <v>59</v>
      </c>
      <c r="D255" s="1" t="s">
        <v>3395</v>
      </c>
      <c r="E255" s="1" t="s">
        <v>3396</v>
      </c>
      <c r="F255" s="1" t="s">
        <v>3397</v>
      </c>
      <c r="H255" s="2" t="s">
        <v>63</v>
      </c>
      <c r="I255" s="2" t="s">
        <v>64</v>
      </c>
      <c r="J255" s="2" t="s">
        <v>63</v>
      </c>
      <c r="K255" s="2" t="s">
        <v>63</v>
      </c>
      <c r="L255" s="2" t="s">
        <v>65</v>
      </c>
      <c r="M255" s="1" t="s">
        <v>3398</v>
      </c>
      <c r="N255" s="1" t="s">
        <v>3399</v>
      </c>
      <c r="O255" s="2" t="s">
        <v>348</v>
      </c>
      <c r="P255" s="1" t="s">
        <v>376</v>
      </c>
      <c r="Q255" s="2" t="s">
        <v>70</v>
      </c>
      <c r="R255" s="2" t="s">
        <v>1364</v>
      </c>
      <c r="T255" s="2" t="s">
        <v>72</v>
      </c>
      <c r="U255" s="3">
        <v>2</v>
      </c>
      <c r="V255" s="3">
        <v>2</v>
      </c>
      <c r="W255" s="4" t="s">
        <v>3400</v>
      </c>
      <c r="X255" s="4" t="s">
        <v>3400</v>
      </c>
      <c r="Y255" s="4" t="s">
        <v>2382</v>
      </c>
      <c r="Z255" s="4" t="s">
        <v>2382</v>
      </c>
      <c r="AA255" s="3">
        <v>167</v>
      </c>
      <c r="AB255" s="3">
        <v>143</v>
      </c>
      <c r="AC255" s="3">
        <v>145</v>
      </c>
      <c r="AD255" s="3">
        <v>2</v>
      </c>
      <c r="AE255" s="3">
        <v>2</v>
      </c>
      <c r="AF255" s="3">
        <v>3</v>
      </c>
      <c r="AG255" s="3">
        <v>3</v>
      </c>
      <c r="AH255" s="3">
        <v>0</v>
      </c>
      <c r="AI255" s="3">
        <v>0</v>
      </c>
      <c r="AJ255" s="3">
        <v>0</v>
      </c>
      <c r="AK255" s="3">
        <v>0</v>
      </c>
      <c r="AL255" s="3">
        <v>2</v>
      </c>
      <c r="AM255" s="3">
        <v>2</v>
      </c>
      <c r="AN255" s="3">
        <v>1</v>
      </c>
      <c r="AO255" s="3">
        <v>1</v>
      </c>
      <c r="AP255" s="3">
        <v>0</v>
      </c>
      <c r="AQ255" s="3">
        <v>0</v>
      </c>
      <c r="AR255" s="2" t="s">
        <v>63</v>
      </c>
      <c r="AS255" s="2" t="s">
        <v>92</v>
      </c>
      <c r="AT255" s="5" t="str">
        <f>HYPERLINK("http://catalog.hathitrust.org/Record/003995897","HathiTrust Record")</f>
        <v>HathiTrust Record</v>
      </c>
      <c r="AU255" s="5" t="str">
        <f>HYPERLINK("https://creighton-primo.hosted.exlibrisgroup.com/primo-explore/search?tab=default_tab&amp;search_scope=EVERYTHING&amp;vid=01CRU&amp;lang=en_US&amp;offset=0&amp;query=any,contains,991001572129702656","Catalog Record")</f>
        <v>Catalog Record</v>
      </c>
      <c r="AV255" s="5" t="str">
        <f>HYPERLINK("http://www.worldcat.org/oclc/37801443","WorldCat Record")</f>
        <v>WorldCat Record</v>
      </c>
      <c r="AW255" s="2" t="s">
        <v>3401</v>
      </c>
      <c r="AX255" s="2" t="s">
        <v>3402</v>
      </c>
      <c r="AY255" s="2" t="s">
        <v>3403</v>
      </c>
      <c r="AZ255" s="2" t="s">
        <v>3403</v>
      </c>
      <c r="BA255" s="2" t="s">
        <v>3404</v>
      </c>
      <c r="BB255" s="2" t="s">
        <v>79</v>
      </c>
      <c r="BD255" s="2" t="s">
        <v>3405</v>
      </c>
      <c r="BE255" s="2" t="s">
        <v>3406</v>
      </c>
      <c r="BF255" s="2" t="s">
        <v>3407</v>
      </c>
    </row>
    <row r="256" spans="1:58" ht="46.5" customHeight="1">
      <c r="A256" s="1"/>
      <c r="B256" s="1" t="s">
        <v>58</v>
      </c>
      <c r="C256" s="1" t="s">
        <v>59</v>
      </c>
      <c r="D256" s="1" t="s">
        <v>3408</v>
      </c>
      <c r="E256" s="1" t="s">
        <v>3409</v>
      </c>
      <c r="F256" s="1" t="s">
        <v>3410</v>
      </c>
      <c r="H256" s="2" t="s">
        <v>63</v>
      </c>
      <c r="I256" s="2" t="s">
        <v>64</v>
      </c>
      <c r="J256" s="2" t="s">
        <v>63</v>
      </c>
      <c r="K256" s="2" t="s">
        <v>63</v>
      </c>
      <c r="L256" s="2" t="s">
        <v>65</v>
      </c>
      <c r="N256" s="1" t="s">
        <v>3411</v>
      </c>
      <c r="O256" s="2" t="s">
        <v>307</v>
      </c>
      <c r="Q256" s="2" t="s">
        <v>70</v>
      </c>
      <c r="R256" s="2" t="s">
        <v>89</v>
      </c>
      <c r="T256" s="2" t="s">
        <v>72</v>
      </c>
      <c r="U256" s="3">
        <v>2</v>
      </c>
      <c r="V256" s="3">
        <v>2</v>
      </c>
      <c r="W256" s="4" t="s">
        <v>3412</v>
      </c>
      <c r="X256" s="4" t="s">
        <v>3412</v>
      </c>
      <c r="Y256" s="4" t="s">
        <v>3387</v>
      </c>
      <c r="Z256" s="4" t="s">
        <v>3387</v>
      </c>
      <c r="AA256" s="3">
        <v>147</v>
      </c>
      <c r="AB256" s="3">
        <v>118</v>
      </c>
      <c r="AC256" s="3">
        <v>143</v>
      </c>
      <c r="AD256" s="3">
        <v>2</v>
      </c>
      <c r="AE256" s="3">
        <v>2</v>
      </c>
      <c r="AF256" s="3">
        <v>4</v>
      </c>
      <c r="AG256" s="3">
        <v>5</v>
      </c>
      <c r="AH256" s="3">
        <v>1</v>
      </c>
      <c r="AI256" s="3">
        <v>2</v>
      </c>
      <c r="AJ256" s="3">
        <v>0</v>
      </c>
      <c r="AK256" s="3">
        <v>0</v>
      </c>
      <c r="AL256" s="3">
        <v>3</v>
      </c>
      <c r="AM256" s="3">
        <v>4</v>
      </c>
      <c r="AN256" s="3">
        <v>1</v>
      </c>
      <c r="AO256" s="3">
        <v>1</v>
      </c>
      <c r="AP256" s="3">
        <v>0</v>
      </c>
      <c r="AQ256" s="3">
        <v>0</v>
      </c>
      <c r="AR256" s="2" t="s">
        <v>63</v>
      </c>
      <c r="AS256" s="2" t="s">
        <v>92</v>
      </c>
      <c r="AT256" s="5" t="str">
        <f>HYPERLINK("http://catalog.hathitrust.org/Record/000666758","HathiTrust Record")</f>
        <v>HathiTrust Record</v>
      </c>
      <c r="AU256" s="5" t="str">
        <f>HYPERLINK("https://creighton-primo.hosted.exlibrisgroup.com/primo-explore/search?tab=default_tab&amp;search_scope=EVERYTHING&amp;vid=01CRU&amp;lang=en_US&amp;offset=0&amp;query=any,contains,991000957629702656","Catalog Record")</f>
        <v>Catalog Record</v>
      </c>
      <c r="AV256" s="5" t="str">
        <f>HYPERLINK("http://www.worldcat.org/oclc/13395345","WorldCat Record")</f>
        <v>WorldCat Record</v>
      </c>
      <c r="AW256" s="2" t="s">
        <v>3413</v>
      </c>
      <c r="AX256" s="2" t="s">
        <v>3414</v>
      </c>
      <c r="AY256" s="2" t="s">
        <v>3415</v>
      </c>
      <c r="AZ256" s="2" t="s">
        <v>3415</v>
      </c>
      <c r="BA256" s="2" t="s">
        <v>3416</v>
      </c>
      <c r="BB256" s="2" t="s">
        <v>79</v>
      </c>
      <c r="BD256" s="2" t="s">
        <v>3417</v>
      </c>
      <c r="BE256" s="2" t="s">
        <v>3418</v>
      </c>
      <c r="BF256" s="2" t="s">
        <v>3419</v>
      </c>
    </row>
    <row r="257" spans="1:58" ht="46.5" customHeight="1">
      <c r="A257" s="1"/>
      <c r="B257" s="1" t="s">
        <v>58</v>
      </c>
      <c r="C257" s="1" t="s">
        <v>59</v>
      </c>
      <c r="D257" s="1" t="s">
        <v>3420</v>
      </c>
      <c r="E257" s="1" t="s">
        <v>3421</v>
      </c>
      <c r="F257" s="1" t="s">
        <v>3422</v>
      </c>
      <c r="H257" s="2" t="s">
        <v>63</v>
      </c>
      <c r="I257" s="2" t="s">
        <v>64</v>
      </c>
      <c r="J257" s="2" t="s">
        <v>63</v>
      </c>
      <c r="K257" s="2" t="s">
        <v>63</v>
      </c>
      <c r="L257" s="2" t="s">
        <v>65</v>
      </c>
      <c r="M257" s="1" t="s">
        <v>3423</v>
      </c>
      <c r="N257" s="1" t="s">
        <v>3424</v>
      </c>
      <c r="O257" s="2" t="s">
        <v>362</v>
      </c>
      <c r="Q257" s="2" t="s">
        <v>70</v>
      </c>
      <c r="R257" s="2" t="s">
        <v>555</v>
      </c>
      <c r="T257" s="2" t="s">
        <v>72</v>
      </c>
      <c r="U257" s="3">
        <v>7</v>
      </c>
      <c r="V257" s="3">
        <v>7</v>
      </c>
      <c r="W257" s="4" t="s">
        <v>3425</v>
      </c>
      <c r="X257" s="4" t="s">
        <v>3425</v>
      </c>
      <c r="Y257" s="4" t="s">
        <v>3426</v>
      </c>
      <c r="Z257" s="4" t="s">
        <v>3426</v>
      </c>
      <c r="AA257" s="3">
        <v>305</v>
      </c>
      <c r="AB257" s="3">
        <v>193</v>
      </c>
      <c r="AC257" s="3">
        <v>291</v>
      </c>
      <c r="AD257" s="3">
        <v>1</v>
      </c>
      <c r="AE257" s="3">
        <v>1</v>
      </c>
      <c r="AF257" s="3">
        <v>4</v>
      </c>
      <c r="AG257" s="3">
        <v>7</v>
      </c>
      <c r="AH257" s="3">
        <v>1</v>
      </c>
      <c r="AI257" s="3">
        <v>3</v>
      </c>
      <c r="AJ257" s="3">
        <v>3</v>
      </c>
      <c r="AK257" s="3">
        <v>4</v>
      </c>
      <c r="AL257" s="3">
        <v>1</v>
      </c>
      <c r="AM257" s="3">
        <v>2</v>
      </c>
      <c r="AN257" s="3">
        <v>0</v>
      </c>
      <c r="AO257" s="3">
        <v>0</v>
      </c>
      <c r="AP257" s="3">
        <v>0</v>
      </c>
      <c r="AQ257" s="3">
        <v>0</v>
      </c>
      <c r="AR257" s="2" t="s">
        <v>63</v>
      </c>
      <c r="AS257" s="2" t="s">
        <v>63</v>
      </c>
      <c r="AU257" s="5" t="str">
        <f>HYPERLINK("https://creighton-primo.hosted.exlibrisgroup.com/primo-explore/search?tab=default_tab&amp;search_scope=EVERYTHING&amp;vid=01CRU&amp;lang=en_US&amp;offset=0&amp;query=any,contains,991000447319702656","Catalog Record")</f>
        <v>Catalog Record</v>
      </c>
      <c r="AV257" s="5" t="str">
        <f>HYPERLINK("http://www.worldcat.org/oclc/57254391","WorldCat Record")</f>
        <v>WorldCat Record</v>
      </c>
      <c r="AW257" s="2" t="s">
        <v>3427</v>
      </c>
      <c r="AX257" s="2" t="s">
        <v>3428</v>
      </c>
      <c r="AY257" s="2" t="s">
        <v>3429</v>
      </c>
      <c r="AZ257" s="2" t="s">
        <v>3429</v>
      </c>
      <c r="BA257" s="2" t="s">
        <v>3430</v>
      </c>
      <c r="BB257" s="2" t="s">
        <v>79</v>
      </c>
      <c r="BD257" s="2" t="s">
        <v>3431</v>
      </c>
      <c r="BE257" s="2" t="s">
        <v>3432</v>
      </c>
      <c r="BF257" s="2" t="s">
        <v>3433</v>
      </c>
    </row>
    <row r="258" spans="1:58" ht="46.5" customHeight="1">
      <c r="A258" s="1"/>
      <c r="B258" s="1" t="s">
        <v>58</v>
      </c>
      <c r="C258" s="1" t="s">
        <v>59</v>
      </c>
      <c r="D258" s="1" t="s">
        <v>3434</v>
      </c>
      <c r="E258" s="1" t="s">
        <v>3435</v>
      </c>
      <c r="F258" s="1" t="s">
        <v>3436</v>
      </c>
      <c r="H258" s="2" t="s">
        <v>63</v>
      </c>
      <c r="I258" s="2" t="s">
        <v>64</v>
      </c>
      <c r="J258" s="2" t="s">
        <v>63</v>
      </c>
      <c r="K258" s="2" t="s">
        <v>63</v>
      </c>
      <c r="L258" s="2" t="s">
        <v>65</v>
      </c>
      <c r="M258" s="1" t="s">
        <v>3437</v>
      </c>
      <c r="N258" s="1" t="s">
        <v>3438</v>
      </c>
      <c r="O258" s="2" t="s">
        <v>1201</v>
      </c>
      <c r="Q258" s="2" t="s">
        <v>70</v>
      </c>
      <c r="R258" s="2" t="s">
        <v>555</v>
      </c>
      <c r="S258" s="1" t="s">
        <v>3439</v>
      </c>
      <c r="T258" s="2" t="s">
        <v>72</v>
      </c>
      <c r="U258" s="3">
        <v>2</v>
      </c>
      <c r="V258" s="3">
        <v>2</v>
      </c>
      <c r="W258" s="4" t="s">
        <v>3440</v>
      </c>
      <c r="X258" s="4" t="s">
        <v>3440</v>
      </c>
      <c r="Y258" s="4" t="s">
        <v>3387</v>
      </c>
      <c r="Z258" s="4" t="s">
        <v>3387</v>
      </c>
      <c r="AA258" s="3">
        <v>270</v>
      </c>
      <c r="AB258" s="3">
        <v>164</v>
      </c>
      <c r="AC258" s="3">
        <v>274</v>
      </c>
      <c r="AD258" s="3">
        <v>1</v>
      </c>
      <c r="AE258" s="3">
        <v>1</v>
      </c>
      <c r="AF258" s="3">
        <v>4</v>
      </c>
      <c r="AG258" s="3">
        <v>9</v>
      </c>
      <c r="AH258" s="3">
        <v>1</v>
      </c>
      <c r="AI258" s="3">
        <v>3</v>
      </c>
      <c r="AJ258" s="3">
        <v>2</v>
      </c>
      <c r="AK258" s="3">
        <v>4</v>
      </c>
      <c r="AL258" s="3">
        <v>2</v>
      </c>
      <c r="AM258" s="3">
        <v>5</v>
      </c>
      <c r="AN258" s="3">
        <v>0</v>
      </c>
      <c r="AO258" s="3">
        <v>0</v>
      </c>
      <c r="AP258" s="3">
        <v>0</v>
      </c>
      <c r="AQ258" s="3">
        <v>0</v>
      </c>
      <c r="AR258" s="2" t="s">
        <v>63</v>
      </c>
      <c r="AS258" s="2" t="s">
        <v>63</v>
      </c>
      <c r="AU258" s="5" t="str">
        <f>HYPERLINK("https://creighton-primo.hosted.exlibrisgroup.com/primo-explore/search?tab=default_tab&amp;search_scope=EVERYTHING&amp;vid=01CRU&amp;lang=en_US&amp;offset=0&amp;query=any,contains,991000957669702656","Catalog Record")</f>
        <v>Catalog Record</v>
      </c>
      <c r="AV258" s="5" t="str">
        <f>HYPERLINK("http://www.worldcat.org/oclc/3843503","WorldCat Record")</f>
        <v>WorldCat Record</v>
      </c>
      <c r="AW258" s="2" t="s">
        <v>3441</v>
      </c>
      <c r="AX258" s="2" t="s">
        <v>3442</v>
      </c>
      <c r="AY258" s="2" t="s">
        <v>3443</v>
      </c>
      <c r="AZ258" s="2" t="s">
        <v>3443</v>
      </c>
      <c r="BA258" s="2" t="s">
        <v>3444</v>
      </c>
      <c r="BB258" s="2" t="s">
        <v>79</v>
      </c>
      <c r="BD258" s="2" t="s">
        <v>3445</v>
      </c>
      <c r="BE258" s="2" t="s">
        <v>3446</v>
      </c>
      <c r="BF258" s="2" t="s">
        <v>3447</v>
      </c>
    </row>
    <row r="259" spans="1:58" ht="46.5" customHeight="1">
      <c r="A259" s="1"/>
      <c r="B259" s="1" t="s">
        <v>58</v>
      </c>
      <c r="C259" s="1" t="s">
        <v>59</v>
      </c>
      <c r="D259" s="1" t="s">
        <v>3448</v>
      </c>
      <c r="E259" s="1" t="s">
        <v>3449</v>
      </c>
      <c r="F259" s="1" t="s">
        <v>3450</v>
      </c>
      <c r="H259" s="2" t="s">
        <v>63</v>
      </c>
      <c r="I259" s="2" t="s">
        <v>64</v>
      </c>
      <c r="J259" s="2" t="s">
        <v>63</v>
      </c>
      <c r="K259" s="2" t="s">
        <v>63</v>
      </c>
      <c r="L259" s="2" t="s">
        <v>65</v>
      </c>
      <c r="N259" s="1" t="s">
        <v>3451</v>
      </c>
      <c r="O259" s="2" t="s">
        <v>132</v>
      </c>
      <c r="P259" s="1" t="s">
        <v>157</v>
      </c>
      <c r="Q259" s="2" t="s">
        <v>70</v>
      </c>
      <c r="R259" s="2" t="s">
        <v>89</v>
      </c>
      <c r="T259" s="2" t="s">
        <v>72</v>
      </c>
      <c r="U259" s="3">
        <v>11</v>
      </c>
      <c r="V259" s="3">
        <v>11</v>
      </c>
      <c r="W259" s="4" t="s">
        <v>3452</v>
      </c>
      <c r="X259" s="4" t="s">
        <v>3452</v>
      </c>
      <c r="Y259" s="4" t="s">
        <v>3453</v>
      </c>
      <c r="Z259" s="4" t="s">
        <v>3453</v>
      </c>
      <c r="AA259" s="3">
        <v>151</v>
      </c>
      <c r="AB259" s="3">
        <v>98</v>
      </c>
      <c r="AC259" s="3">
        <v>100</v>
      </c>
      <c r="AD259" s="3">
        <v>1</v>
      </c>
      <c r="AE259" s="3">
        <v>1</v>
      </c>
      <c r="AF259" s="3">
        <v>5</v>
      </c>
      <c r="AG259" s="3">
        <v>5</v>
      </c>
      <c r="AH259" s="3">
        <v>2</v>
      </c>
      <c r="AI259" s="3">
        <v>2</v>
      </c>
      <c r="AJ259" s="3">
        <v>2</v>
      </c>
      <c r="AK259" s="3">
        <v>2</v>
      </c>
      <c r="AL259" s="3">
        <v>1</v>
      </c>
      <c r="AM259" s="3">
        <v>1</v>
      </c>
      <c r="AN259" s="3">
        <v>0</v>
      </c>
      <c r="AO259" s="3">
        <v>0</v>
      </c>
      <c r="AP259" s="3">
        <v>0</v>
      </c>
      <c r="AQ259" s="3">
        <v>0</v>
      </c>
      <c r="AR259" s="2" t="s">
        <v>63</v>
      </c>
      <c r="AS259" s="2" t="s">
        <v>92</v>
      </c>
      <c r="AT259" s="5" t="str">
        <f>HYPERLINK("http://catalog.hathitrust.org/Record/002501401","HathiTrust Record")</f>
        <v>HathiTrust Record</v>
      </c>
      <c r="AU259" s="5" t="str">
        <f>HYPERLINK("https://creighton-primo.hosted.exlibrisgroup.com/primo-explore/search?tab=default_tab&amp;search_scope=EVERYTHING&amp;vid=01CRU&amp;lang=en_US&amp;offset=0&amp;query=any,contains,991001031639702656","Catalog Record")</f>
        <v>Catalog Record</v>
      </c>
      <c r="AV259" s="5" t="str">
        <f>HYPERLINK("http://www.worldcat.org/oclc/24246648","WorldCat Record")</f>
        <v>WorldCat Record</v>
      </c>
      <c r="AW259" s="2" t="s">
        <v>3454</v>
      </c>
      <c r="AX259" s="2" t="s">
        <v>3455</v>
      </c>
      <c r="AY259" s="2" t="s">
        <v>3456</v>
      </c>
      <c r="AZ259" s="2" t="s">
        <v>3456</v>
      </c>
      <c r="BA259" s="2" t="s">
        <v>3457</v>
      </c>
      <c r="BB259" s="2" t="s">
        <v>79</v>
      </c>
      <c r="BD259" s="2" t="s">
        <v>3458</v>
      </c>
      <c r="BE259" s="2" t="s">
        <v>3459</v>
      </c>
      <c r="BF259" s="2" t="s">
        <v>3460</v>
      </c>
    </row>
    <row r="260" spans="1:58" ht="46.5" customHeight="1">
      <c r="A260" s="1"/>
      <c r="B260" s="1" t="s">
        <v>58</v>
      </c>
      <c r="C260" s="1" t="s">
        <v>59</v>
      </c>
      <c r="D260" s="1" t="s">
        <v>3461</v>
      </c>
      <c r="E260" s="1" t="s">
        <v>3462</v>
      </c>
      <c r="F260" s="1" t="s">
        <v>3463</v>
      </c>
      <c r="H260" s="2" t="s">
        <v>63</v>
      </c>
      <c r="I260" s="2" t="s">
        <v>64</v>
      </c>
      <c r="J260" s="2" t="s">
        <v>63</v>
      </c>
      <c r="K260" s="2" t="s">
        <v>63</v>
      </c>
      <c r="L260" s="2" t="s">
        <v>65</v>
      </c>
      <c r="M260" s="1" t="s">
        <v>3464</v>
      </c>
      <c r="N260" s="1" t="s">
        <v>3465</v>
      </c>
      <c r="O260" s="2" t="s">
        <v>829</v>
      </c>
      <c r="Q260" s="2" t="s">
        <v>70</v>
      </c>
      <c r="R260" s="2" t="s">
        <v>277</v>
      </c>
      <c r="T260" s="2" t="s">
        <v>72</v>
      </c>
      <c r="U260" s="3">
        <v>9</v>
      </c>
      <c r="V260" s="3">
        <v>9</v>
      </c>
      <c r="W260" s="4" t="s">
        <v>3466</v>
      </c>
      <c r="X260" s="4" t="s">
        <v>3466</v>
      </c>
      <c r="Y260" s="4" t="s">
        <v>3387</v>
      </c>
      <c r="Z260" s="4" t="s">
        <v>3387</v>
      </c>
      <c r="AA260" s="3">
        <v>188</v>
      </c>
      <c r="AB260" s="3">
        <v>134</v>
      </c>
      <c r="AC260" s="3">
        <v>136</v>
      </c>
      <c r="AD260" s="3">
        <v>3</v>
      </c>
      <c r="AE260" s="3">
        <v>3</v>
      </c>
      <c r="AF260" s="3">
        <v>4</v>
      </c>
      <c r="AG260" s="3">
        <v>4</v>
      </c>
      <c r="AH260" s="3">
        <v>1</v>
      </c>
      <c r="AI260" s="3">
        <v>1</v>
      </c>
      <c r="AJ260" s="3">
        <v>1</v>
      </c>
      <c r="AK260" s="3">
        <v>1</v>
      </c>
      <c r="AL260" s="3">
        <v>0</v>
      </c>
      <c r="AM260" s="3">
        <v>0</v>
      </c>
      <c r="AN260" s="3">
        <v>2</v>
      </c>
      <c r="AO260" s="3">
        <v>2</v>
      </c>
      <c r="AP260" s="3">
        <v>0</v>
      </c>
      <c r="AQ260" s="3">
        <v>0</v>
      </c>
      <c r="AR260" s="2" t="s">
        <v>63</v>
      </c>
      <c r="AS260" s="2" t="s">
        <v>92</v>
      </c>
      <c r="AT260" s="5" t="str">
        <f>HYPERLINK("http://catalog.hathitrust.org/Record/000694067","HathiTrust Record")</f>
        <v>HathiTrust Record</v>
      </c>
      <c r="AU260" s="5" t="str">
        <f>HYPERLINK("https://creighton-primo.hosted.exlibrisgroup.com/primo-explore/search?tab=default_tab&amp;search_scope=EVERYTHING&amp;vid=01CRU&amp;lang=en_US&amp;offset=0&amp;query=any,contains,991000957709702656","Catalog Record")</f>
        <v>Catalog Record</v>
      </c>
      <c r="AV260" s="5" t="str">
        <f>HYPERLINK("http://www.worldcat.org/oclc/1992083","WorldCat Record")</f>
        <v>WorldCat Record</v>
      </c>
      <c r="AW260" s="2" t="s">
        <v>3467</v>
      </c>
      <c r="AX260" s="2" t="s">
        <v>3468</v>
      </c>
      <c r="AY260" s="2" t="s">
        <v>3469</v>
      </c>
      <c r="AZ260" s="2" t="s">
        <v>3469</v>
      </c>
      <c r="BA260" s="2" t="s">
        <v>3470</v>
      </c>
      <c r="BB260" s="2" t="s">
        <v>79</v>
      </c>
      <c r="BD260" s="2" t="s">
        <v>3471</v>
      </c>
      <c r="BE260" s="2" t="s">
        <v>3472</v>
      </c>
      <c r="BF260" s="2" t="s">
        <v>3473</v>
      </c>
    </row>
    <row r="261" spans="1:58" ht="46.5" customHeight="1">
      <c r="A261" s="1"/>
      <c r="B261" s="1" t="s">
        <v>58</v>
      </c>
      <c r="C261" s="1" t="s">
        <v>59</v>
      </c>
      <c r="D261" s="1" t="s">
        <v>3474</v>
      </c>
      <c r="E261" s="1" t="s">
        <v>3475</v>
      </c>
      <c r="F261" s="1" t="s">
        <v>3476</v>
      </c>
      <c r="H261" s="2" t="s">
        <v>63</v>
      </c>
      <c r="I261" s="2" t="s">
        <v>64</v>
      </c>
      <c r="J261" s="2" t="s">
        <v>63</v>
      </c>
      <c r="K261" s="2" t="s">
        <v>63</v>
      </c>
      <c r="L261" s="2" t="s">
        <v>65</v>
      </c>
      <c r="N261" s="1" t="s">
        <v>3477</v>
      </c>
      <c r="O261" s="2" t="s">
        <v>198</v>
      </c>
      <c r="Q261" s="2" t="s">
        <v>70</v>
      </c>
      <c r="R261" s="2" t="s">
        <v>377</v>
      </c>
      <c r="S261" s="1" t="s">
        <v>3478</v>
      </c>
      <c r="T261" s="2" t="s">
        <v>72</v>
      </c>
      <c r="U261" s="3">
        <v>8</v>
      </c>
      <c r="V261" s="3">
        <v>8</v>
      </c>
      <c r="W261" s="4" t="s">
        <v>3412</v>
      </c>
      <c r="X261" s="4" t="s">
        <v>3412</v>
      </c>
      <c r="Y261" s="4" t="s">
        <v>3373</v>
      </c>
      <c r="Z261" s="4" t="s">
        <v>3373</v>
      </c>
      <c r="AA261" s="3">
        <v>133</v>
      </c>
      <c r="AB261" s="3">
        <v>98</v>
      </c>
      <c r="AC261" s="3">
        <v>102</v>
      </c>
      <c r="AD261" s="3">
        <v>1</v>
      </c>
      <c r="AE261" s="3">
        <v>1</v>
      </c>
      <c r="AF261" s="3">
        <v>5</v>
      </c>
      <c r="AG261" s="3">
        <v>5</v>
      </c>
      <c r="AH261" s="3">
        <v>0</v>
      </c>
      <c r="AI261" s="3">
        <v>0</v>
      </c>
      <c r="AJ261" s="3">
        <v>1</v>
      </c>
      <c r="AK261" s="3">
        <v>1</v>
      </c>
      <c r="AL261" s="3">
        <v>4</v>
      </c>
      <c r="AM261" s="3">
        <v>4</v>
      </c>
      <c r="AN261" s="3">
        <v>0</v>
      </c>
      <c r="AO261" s="3">
        <v>0</v>
      </c>
      <c r="AP261" s="3">
        <v>0</v>
      </c>
      <c r="AQ261" s="3">
        <v>0</v>
      </c>
      <c r="AR261" s="2" t="s">
        <v>63</v>
      </c>
      <c r="AS261" s="2" t="s">
        <v>92</v>
      </c>
      <c r="AT261" s="5" t="str">
        <f>HYPERLINK("http://catalog.hathitrust.org/Record/002528875","HathiTrust Record")</f>
        <v>HathiTrust Record</v>
      </c>
      <c r="AU261" s="5" t="str">
        <f>HYPERLINK("https://creighton-primo.hosted.exlibrisgroup.com/primo-explore/search?tab=default_tab&amp;search_scope=EVERYTHING&amp;vid=01CRU&amp;lang=en_US&amp;offset=0&amp;query=any,contains,991001304649702656","Catalog Record")</f>
        <v>Catalog Record</v>
      </c>
      <c r="AV261" s="5" t="str">
        <f>HYPERLINK("http://www.worldcat.org/oclc/27435100","WorldCat Record")</f>
        <v>WorldCat Record</v>
      </c>
      <c r="AW261" s="2" t="s">
        <v>3479</v>
      </c>
      <c r="AX261" s="2" t="s">
        <v>3480</v>
      </c>
      <c r="AY261" s="2" t="s">
        <v>3481</v>
      </c>
      <c r="AZ261" s="2" t="s">
        <v>3481</v>
      </c>
      <c r="BA261" s="2" t="s">
        <v>3482</v>
      </c>
      <c r="BB261" s="2" t="s">
        <v>79</v>
      </c>
      <c r="BD261" s="2" t="s">
        <v>3483</v>
      </c>
      <c r="BE261" s="2" t="s">
        <v>3484</v>
      </c>
      <c r="BF261" s="2" t="s">
        <v>3485</v>
      </c>
    </row>
    <row r="262" spans="1:58" ht="46.5" customHeight="1">
      <c r="A262" s="1"/>
      <c r="B262" s="1" t="s">
        <v>58</v>
      </c>
      <c r="C262" s="1" t="s">
        <v>59</v>
      </c>
      <c r="D262" s="1" t="s">
        <v>3486</v>
      </c>
      <c r="E262" s="1" t="s">
        <v>3487</v>
      </c>
      <c r="F262" s="1" t="s">
        <v>3488</v>
      </c>
      <c r="H262" s="2" t="s">
        <v>63</v>
      </c>
      <c r="I262" s="2" t="s">
        <v>64</v>
      </c>
      <c r="J262" s="2" t="s">
        <v>63</v>
      </c>
      <c r="K262" s="2" t="s">
        <v>63</v>
      </c>
      <c r="L262" s="2" t="s">
        <v>65</v>
      </c>
      <c r="M262" s="1" t="s">
        <v>3489</v>
      </c>
      <c r="N262" s="1" t="s">
        <v>3490</v>
      </c>
      <c r="O262" s="2" t="s">
        <v>172</v>
      </c>
      <c r="Q262" s="2" t="s">
        <v>70</v>
      </c>
      <c r="R262" s="2" t="s">
        <v>89</v>
      </c>
      <c r="T262" s="2" t="s">
        <v>72</v>
      </c>
      <c r="U262" s="3">
        <v>7</v>
      </c>
      <c r="V262" s="3">
        <v>7</v>
      </c>
      <c r="W262" s="4" t="s">
        <v>3491</v>
      </c>
      <c r="X262" s="4" t="s">
        <v>3491</v>
      </c>
      <c r="Y262" s="4" t="s">
        <v>3387</v>
      </c>
      <c r="Z262" s="4" t="s">
        <v>3387</v>
      </c>
      <c r="AA262" s="3">
        <v>264</v>
      </c>
      <c r="AB262" s="3">
        <v>227</v>
      </c>
      <c r="AC262" s="3">
        <v>233</v>
      </c>
      <c r="AD262" s="3">
        <v>2</v>
      </c>
      <c r="AE262" s="3">
        <v>2</v>
      </c>
      <c r="AF262" s="3">
        <v>7</v>
      </c>
      <c r="AG262" s="3">
        <v>7</v>
      </c>
      <c r="AH262" s="3">
        <v>2</v>
      </c>
      <c r="AI262" s="3">
        <v>2</v>
      </c>
      <c r="AJ262" s="3">
        <v>2</v>
      </c>
      <c r="AK262" s="3">
        <v>2</v>
      </c>
      <c r="AL262" s="3">
        <v>4</v>
      </c>
      <c r="AM262" s="3">
        <v>4</v>
      </c>
      <c r="AN262" s="3">
        <v>1</v>
      </c>
      <c r="AO262" s="3">
        <v>1</v>
      </c>
      <c r="AP262" s="3">
        <v>0</v>
      </c>
      <c r="AQ262" s="3">
        <v>0</v>
      </c>
      <c r="AR262" s="2" t="s">
        <v>63</v>
      </c>
      <c r="AS262" s="2" t="s">
        <v>92</v>
      </c>
      <c r="AT262" s="5" t="str">
        <f>HYPERLINK("http://catalog.hathitrust.org/Record/000162117","HathiTrust Record")</f>
        <v>HathiTrust Record</v>
      </c>
      <c r="AU262" s="5" t="str">
        <f>HYPERLINK("https://creighton-primo.hosted.exlibrisgroup.com/primo-explore/search?tab=default_tab&amp;search_scope=EVERYTHING&amp;vid=01CRU&amp;lang=en_US&amp;offset=0&amp;query=any,contains,991000957749702656","Catalog Record")</f>
        <v>Catalog Record</v>
      </c>
      <c r="AV262" s="5" t="str">
        <f>HYPERLINK("http://www.worldcat.org/oclc/8952110","WorldCat Record")</f>
        <v>WorldCat Record</v>
      </c>
      <c r="AW262" s="2" t="s">
        <v>3492</v>
      </c>
      <c r="AX262" s="2" t="s">
        <v>3493</v>
      </c>
      <c r="AY262" s="2" t="s">
        <v>3494</v>
      </c>
      <c r="AZ262" s="2" t="s">
        <v>3494</v>
      </c>
      <c r="BA262" s="2" t="s">
        <v>3495</v>
      </c>
      <c r="BB262" s="2" t="s">
        <v>79</v>
      </c>
      <c r="BD262" s="2" t="s">
        <v>3496</v>
      </c>
      <c r="BE262" s="2" t="s">
        <v>3497</v>
      </c>
      <c r="BF262" s="2" t="s">
        <v>3498</v>
      </c>
    </row>
    <row r="263" spans="1:58" ht="46.5" customHeight="1">
      <c r="A263" s="1"/>
      <c r="B263" s="1" t="s">
        <v>58</v>
      </c>
      <c r="C263" s="1" t="s">
        <v>59</v>
      </c>
      <c r="D263" s="1" t="s">
        <v>3499</v>
      </c>
      <c r="E263" s="1" t="s">
        <v>3500</v>
      </c>
      <c r="F263" s="1" t="s">
        <v>3501</v>
      </c>
      <c r="H263" s="2" t="s">
        <v>63</v>
      </c>
      <c r="I263" s="2" t="s">
        <v>64</v>
      </c>
      <c r="J263" s="2" t="s">
        <v>63</v>
      </c>
      <c r="K263" s="2" t="s">
        <v>92</v>
      </c>
      <c r="L263" s="2" t="s">
        <v>65</v>
      </c>
      <c r="M263" s="1" t="s">
        <v>3502</v>
      </c>
      <c r="N263" s="1" t="s">
        <v>3503</v>
      </c>
      <c r="O263" s="2" t="s">
        <v>198</v>
      </c>
      <c r="P263" s="1" t="s">
        <v>88</v>
      </c>
      <c r="Q263" s="2" t="s">
        <v>70</v>
      </c>
      <c r="R263" s="2" t="s">
        <v>277</v>
      </c>
      <c r="T263" s="2" t="s">
        <v>72</v>
      </c>
      <c r="U263" s="3">
        <v>2</v>
      </c>
      <c r="V263" s="3">
        <v>2</v>
      </c>
      <c r="W263" s="4" t="s">
        <v>3504</v>
      </c>
      <c r="X263" s="4" t="s">
        <v>3504</v>
      </c>
      <c r="Y263" s="4" t="s">
        <v>3505</v>
      </c>
      <c r="Z263" s="4" t="s">
        <v>3505</v>
      </c>
      <c r="AA263" s="3">
        <v>480</v>
      </c>
      <c r="AB263" s="3">
        <v>356</v>
      </c>
      <c r="AC263" s="3">
        <v>1061</v>
      </c>
      <c r="AD263" s="3">
        <v>4</v>
      </c>
      <c r="AE263" s="3">
        <v>14</v>
      </c>
      <c r="AF263" s="3">
        <v>20</v>
      </c>
      <c r="AG263" s="3">
        <v>51</v>
      </c>
      <c r="AH263" s="3">
        <v>7</v>
      </c>
      <c r="AI263" s="3">
        <v>19</v>
      </c>
      <c r="AJ263" s="3">
        <v>6</v>
      </c>
      <c r="AK263" s="3">
        <v>12</v>
      </c>
      <c r="AL263" s="3">
        <v>10</v>
      </c>
      <c r="AM263" s="3">
        <v>22</v>
      </c>
      <c r="AN263" s="3">
        <v>3</v>
      </c>
      <c r="AO263" s="3">
        <v>9</v>
      </c>
      <c r="AP263" s="3">
        <v>0</v>
      </c>
      <c r="AQ263" s="3">
        <v>0</v>
      </c>
      <c r="AR263" s="2" t="s">
        <v>63</v>
      </c>
      <c r="AS263" s="2" t="s">
        <v>92</v>
      </c>
      <c r="AT263" s="5" t="str">
        <f>HYPERLINK("http://catalog.hathitrust.org/Record/002480197","HathiTrust Record")</f>
        <v>HathiTrust Record</v>
      </c>
      <c r="AU263" s="5" t="str">
        <f>HYPERLINK("https://creighton-primo.hosted.exlibrisgroup.com/primo-explore/search?tab=default_tab&amp;search_scope=EVERYTHING&amp;vid=01CRU&amp;lang=en_US&amp;offset=0&amp;query=any,contains,991001023399702656","Catalog Record")</f>
        <v>Catalog Record</v>
      </c>
      <c r="AV263" s="5" t="str">
        <f>HYPERLINK("http://www.worldcat.org/oclc/22983425","WorldCat Record")</f>
        <v>WorldCat Record</v>
      </c>
      <c r="AW263" s="2" t="s">
        <v>3506</v>
      </c>
      <c r="AX263" s="2" t="s">
        <v>3507</v>
      </c>
      <c r="AY263" s="2" t="s">
        <v>3508</v>
      </c>
      <c r="AZ263" s="2" t="s">
        <v>3508</v>
      </c>
      <c r="BA263" s="2" t="s">
        <v>3509</v>
      </c>
      <c r="BB263" s="2" t="s">
        <v>79</v>
      </c>
      <c r="BD263" s="2" t="s">
        <v>3510</v>
      </c>
      <c r="BE263" s="2" t="s">
        <v>3511</v>
      </c>
      <c r="BF263" s="2" t="s">
        <v>3512</v>
      </c>
    </row>
    <row r="264" spans="1:58" ht="46.5" customHeight="1">
      <c r="A264" s="1"/>
      <c r="B264" s="1" t="s">
        <v>58</v>
      </c>
      <c r="C264" s="1" t="s">
        <v>59</v>
      </c>
      <c r="D264" s="1" t="s">
        <v>3513</v>
      </c>
      <c r="E264" s="1" t="s">
        <v>3514</v>
      </c>
      <c r="F264" s="1" t="s">
        <v>3515</v>
      </c>
      <c r="H264" s="2" t="s">
        <v>63</v>
      </c>
      <c r="I264" s="2" t="s">
        <v>64</v>
      </c>
      <c r="J264" s="2" t="s">
        <v>63</v>
      </c>
      <c r="K264" s="2" t="s">
        <v>63</v>
      </c>
      <c r="L264" s="2" t="s">
        <v>65</v>
      </c>
      <c r="M264" s="1" t="s">
        <v>3516</v>
      </c>
      <c r="N264" s="1" t="s">
        <v>3517</v>
      </c>
      <c r="O264" s="2" t="s">
        <v>407</v>
      </c>
      <c r="Q264" s="2" t="s">
        <v>70</v>
      </c>
      <c r="R264" s="2" t="s">
        <v>89</v>
      </c>
      <c r="T264" s="2" t="s">
        <v>72</v>
      </c>
      <c r="U264" s="3">
        <v>8</v>
      </c>
      <c r="V264" s="3">
        <v>8</v>
      </c>
      <c r="W264" s="4" t="s">
        <v>3518</v>
      </c>
      <c r="X264" s="4" t="s">
        <v>3518</v>
      </c>
      <c r="Y264" s="4" t="s">
        <v>773</v>
      </c>
      <c r="Z264" s="4" t="s">
        <v>773</v>
      </c>
      <c r="AA264" s="3">
        <v>102</v>
      </c>
      <c r="AB264" s="3">
        <v>78</v>
      </c>
      <c r="AC264" s="3">
        <v>80</v>
      </c>
      <c r="AD264" s="3">
        <v>1</v>
      </c>
      <c r="AE264" s="3">
        <v>1</v>
      </c>
      <c r="AF264" s="3">
        <v>5</v>
      </c>
      <c r="AG264" s="3">
        <v>5</v>
      </c>
      <c r="AH264" s="3">
        <v>2</v>
      </c>
      <c r="AI264" s="3">
        <v>2</v>
      </c>
      <c r="AJ264" s="3">
        <v>1</v>
      </c>
      <c r="AK264" s="3">
        <v>1</v>
      </c>
      <c r="AL264" s="3">
        <v>2</v>
      </c>
      <c r="AM264" s="3">
        <v>2</v>
      </c>
      <c r="AN264" s="3">
        <v>0</v>
      </c>
      <c r="AO264" s="3">
        <v>0</v>
      </c>
      <c r="AP264" s="3">
        <v>0</v>
      </c>
      <c r="AQ264" s="3">
        <v>0</v>
      </c>
      <c r="AR264" s="2" t="s">
        <v>63</v>
      </c>
      <c r="AS264" s="2" t="s">
        <v>92</v>
      </c>
      <c r="AT264" s="5" t="str">
        <f>HYPERLINK("http://catalog.hathitrust.org/Record/001942707","HathiTrust Record")</f>
        <v>HathiTrust Record</v>
      </c>
      <c r="AU264" s="5" t="str">
        <f>HYPERLINK("https://creighton-primo.hosted.exlibrisgroup.com/primo-explore/search?tab=default_tab&amp;search_scope=EVERYTHING&amp;vid=01CRU&amp;lang=en_US&amp;offset=0&amp;query=any,contains,991001453539702656","Catalog Record")</f>
        <v>Catalog Record</v>
      </c>
      <c r="AV264" s="5" t="str">
        <f>HYPERLINK("http://www.worldcat.org/oclc/19847368","WorldCat Record")</f>
        <v>WorldCat Record</v>
      </c>
      <c r="AW264" s="2" t="s">
        <v>3519</v>
      </c>
      <c r="AX264" s="2" t="s">
        <v>3520</v>
      </c>
      <c r="AY264" s="2" t="s">
        <v>3521</v>
      </c>
      <c r="AZ264" s="2" t="s">
        <v>3521</v>
      </c>
      <c r="BA264" s="2" t="s">
        <v>3522</v>
      </c>
      <c r="BB264" s="2" t="s">
        <v>79</v>
      </c>
      <c r="BD264" s="2" t="s">
        <v>3523</v>
      </c>
      <c r="BE264" s="2" t="s">
        <v>3524</v>
      </c>
      <c r="BF264" s="2" t="s">
        <v>3525</v>
      </c>
    </row>
    <row r="265" spans="1:58" ht="46.5" customHeight="1">
      <c r="A265" s="1"/>
      <c r="B265" s="1" t="s">
        <v>58</v>
      </c>
      <c r="C265" s="1" t="s">
        <v>59</v>
      </c>
      <c r="D265" s="1" t="s">
        <v>3526</v>
      </c>
      <c r="E265" s="1" t="s">
        <v>3527</v>
      </c>
      <c r="F265" s="1" t="s">
        <v>3528</v>
      </c>
      <c r="H265" s="2" t="s">
        <v>63</v>
      </c>
      <c r="I265" s="2" t="s">
        <v>64</v>
      </c>
      <c r="J265" s="2" t="s">
        <v>63</v>
      </c>
      <c r="K265" s="2" t="s">
        <v>63</v>
      </c>
      <c r="L265" s="2" t="s">
        <v>65</v>
      </c>
      <c r="N265" s="1" t="s">
        <v>3529</v>
      </c>
      <c r="O265" s="2" t="s">
        <v>104</v>
      </c>
      <c r="Q265" s="2" t="s">
        <v>70</v>
      </c>
      <c r="R265" s="2" t="s">
        <v>89</v>
      </c>
      <c r="S265" s="1" t="s">
        <v>3530</v>
      </c>
      <c r="T265" s="2" t="s">
        <v>72</v>
      </c>
      <c r="U265" s="3">
        <v>5</v>
      </c>
      <c r="V265" s="3">
        <v>5</v>
      </c>
      <c r="W265" s="4" t="s">
        <v>3531</v>
      </c>
      <c r="X265" s="4" t="s">
        <v>3531</v>
      </c>
      <c r="Y265" s="4" t="s">
        <v>3387</v>
      </c>
      <c r="Z265" s="4" t="s">
        <v>3387</v>
      </c>
      <c r="AA265" s="3">
        <v>151</v>
      </c>
      <c r="AB265" s="3">
        <v>106</v>
      </c>
      <c r="AC265" s="3">
        <v>108</v>
      </c>
      <c r="AD265" s="3">
        <v>1</v>
      </c>
      <c r="AE265" s="3">
        <v>1</v>
      </c>
      <c r="AF265" s="3">
        <v>3</v>
      </c>
      <c r="AG265" s="3">
        <v>3</v>
      </c>
      <c r="AH265" s="3">
        <v>1</v>
      </c>
      <c r="AI265" s="3">
        <v>1</v>
      </c>
      <c r="AJ265" s="3">
        <v>2</v>
      </c>
      <c r="AK265" s="3">
        <v>2</v>
      </c>
      <c r="AL265" s="3">
        <v>1</v>
      </c>
      <c r="AM265" s="3">
        <v>1</v>
      </c>
      <c r="AN265" s="3">
        <v>0</v>
      </c>
      <c r="AO265" s="3">
        <v>0</v>
      </c>
      <c r="AP265" s="3">
        <v>0</v>
      </c>
      <c r="AQ265" s="3">
        <v>0</v>
      </c>
      <c r="AR265" s="2" t="s">
        <v>63</v>
      </c>
      <c r="AS265" s="2" t="s">
        <v>92</v>
      </c>
      <c r="AT265" s="5" t="str">
        <f>HYPERLINK("http://catalog.hathitrust.org/Record/000459996","HathiTrust Record")</f>
        <v>HathiTrust Record</v>
      </c>
      <c r="AU265" s="5" t="str">
        <f>HYPERLINK("https://creighton-primo.hosted.exlibrisgroup.com/primo-explore/search?tab=default_tab&amp;search_scope=EVERYTHING&amp;vid=01CRU&amp;lang=en_US&amp;offset=0&amp;query=any,contains,991000957789702656","Catalog Record")</f>
        <v>Catalog Record</v>
      </c>
      <c r="AV265" s="5" t="str">
        <f>HYPERLINK("http://www.worldcat.org/oclc/11518064","WorldCat Record")</f>
        <v>WorldCat Record</v>
      </c>
      <c r="AW265" s="2" t="s">
        <v>3532</v>
      </c>
      <c r="AX265" s="2" t="s">
        <v>3533</v>
      </c>
      <c r="AY265" s="2" t="s">
        <v>3534</v>
      </c>
      <c r="AZ265" s="2" t="s">
        <v>3534</v>
      </c>
      <c r="BA265" s="2" t="s">
        <v>3535</v>
      </c>
      <c r="BB265" s="2" t="s">
        <v>79</v>
      </c>
      <c r="BD265" s="2" t="s">
        <v>3536</v>
      </c>
      <c r="BE265" s="2" t="s">
        <v>3537</v>
      </c>
      <c r="BF265" s="2" t="s">
        <v>3538</v>
      </c>
    </row>
    <row r="266" spans="1:58" ht="46.5" customHeight="1">
      <c r="A266" s="1"/>
      <c r="B266" s="1" t="s">
        <v>58</v>
      </c>
      <c r="C266" s="1" t="s">
        <v>59</v>
      </c>
      <c r="D266" s="1" t="s">
        <v>3539</v>
      </c>
      <c r="E266" s="1" t="s">
        <v>3540</v>
      </c>
      <c r="F266" s="1" t="s">
        <v>3541</v>
      </c>
      <c r="H266" s="2" t="s">
        <v>63</v>
      </c>
      <c r="I266" s="2" t="s">
        <v>64</v>
      </c>
      <c r="J266" s="2" t="s">
        <v>63</v>
      </c>
      <c r="K266" s="2" t="s">
        <v>63</v>
      </c>
      <c r="L266" s="2" t="s">
        <v>65</v>
      </c>
      <c r="N266" s="1" t="s">
        <v>3542</v>
      </c>
      <c r="O266" s="2" t="s">
        <v>1201</v>
      </c>
      <c r="Q266" s="2" t="s">
        <v>70</v>
      </c>
      <c r="R266" s="2" t="s">
        <v>277</v>
      </c>
      <c r="T266" s="2" t="s">
        <v>72</v>
      </c>
      <c r="U266" s="3">
        <v>4</v>
      </c>
      <c r="V266" s="3">
        <v>4</v>
      </c>
      <c r="W266" s="4" t="s">
        <v>3214</v>
      </c>
      <c r="X266" s="4" t="s">
        <v>3214</v>
      </c>
      <c r="Y266" s="4" t="s">
        <v>3387</v>
      </c>
      <c r="Z266" s="4" t="s">
        <v>3387</v>
      </c>
      <c r="AA266" s="3">
        <v>104</v>
      </c>
      <c r="AB266" s="3">
        <v>71</v>
      </c>
      <c r="AC266" s="3">
        <v>102</v>
      </c>
      <c r="AD266" s="3">
        <v>1</v>
      </c>
      <c r="AE266" s="3">
        <v>1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2" t="s">
        <v>63</v>
      </c>
      <c r="AS266" s="2" t="s">
        <v>92</v>
      </c>
      <c r="AT266" s="5" t="str">
        <f>HYPERLINK("http://catalog.hathitrust.org/Record/000300845","HathiTrust Record")</f>
        <v>HathiTrust Record</v>
      </c>
      <c r="AU266" s="5" t="str">
        <f>HYPERLINK("https://creighton-primo.hosted.exlibrisgroup.com/primo-explore/search?tab=default_tab&amp;search_scope=EVERYTHING&amp;vid=01CRU&amp;lang=en_US&amp;offset=0&amp;query=any,contains,991000957829702656","Catalog Record")</f>
        <v>Catalog Record</v>
      </c>
      <c r="AV266" s="5" t="str">
        <f>HYPERLINK("http://www.worldcat.org/oclc/4933187","WorldCat Record")</f>
        <v>WorldCat Record</v>
      </c>
      <c r="AW266" s="2" t="s">
        <v>3543</v>
      </c>
      <c r="AX266" s="2" t="s">
        <v>3544</v>
      </c>
      <c r="AY266" s="2" t="s">
        <v>3545</v>
      </c>
      <c r="AZ266" s="2" t="s">
        <v>3545</v>
      </c>
      <c r="BA266" s="2" t="s">
        <v>3546</v>
      </c>
      <c r="BB266" s="2" t="s">
        <v>79</v>
      </c>
      <c r="BD266" s="2" t="s">
        <v>3547</v>
      </c>
      <c r="BE266" s="2" t="s">
        <v>3548</v>
      </c>
      <c r="BF266" s="2" t="s">
        <v>3549</v>
      </c>
    </row>
    <row r="267" spans="1:58" ht="46.5" customHeight="1">
      <c r="A267" s="1"/>
      <c r="B267" s="1" t="s">
        <v>58</v>
      </c>
      <c r="C267" s="1" t="s">
        <v>59</v>
      </c>
      <c r="D267" s="1" t="s">
        <v>3550</v>
      </c>
      <c r="E267" s="1" t="s">
        <v>3551</v>
      </c>
      <c r="F267" s="1" t="s">
        <v>3552</v>
      </c>
      <c r="H267" s="2" t="s">
        <v>63</v>
      </c>
      <c r="I267" s="2" t="s">
        <v>64</v>
      </c>
      <c r="J267" s="2" t="s">
        <v>63</v>
      </c>
      <c r="K267" s="2" t="s">
        <v>63</v>
      </c>
      <c r="L267" s="2" t="s">
        <v>65</v>
      </c>
      <c r="M267" s="1" t="s">
        <v>3553</v>
      </c>
      <c r="N267" s="1" t="s">
        <v>2297</v>
      </c>
      <c r="O267" s="2" t="s">
        <v>407</v>
      </c>
      <c r="P267" s="1" t="s">
        <v>259</v>
      </c>
      <c r="Q267" s="2" t="s">
        <v>70</v>
      </c>
      <c r="R267" s="2" t="s">
        <v>89</v>
      </c>
      <c r="T267" s="2" t="s">
        <v>72</v>
      </c>
      <c r="U267" s="3">
        <v>9</v>
      </c>
      <c r="V267" s="3">
        <v>9</v>
      </c>
      <c r="W267" s="4" t="s">
        <v>3554</v>
      </c>
      <c r="X267" s="4" t="s">
        <v>3554</v>
      </c>
      <c r="Y267" s="4" t="s">
        <v>773</v>
      </c>
      <c r="Z267" s="4" t="s">
        <v>773</v>
      </c>
      <c r="AA267" s="3">
        <v>164</v>
      </c>
      <c r="AB267" s="3">
        <v>112</v>
      </c>
      <c r="AC267" s="3">
        <v>211</v>
      </c>
      <c r="AD267" s="3">
        <v>1</v>
      </c>
      <c r="AE267" s="3">
        <v>1</v>
      </c>
      <c r="AF267" s="3">
        <v>6</v>
      </c>
      <c r="AG267" s="3">
        <v>7</v>
      </c>
      <c r="AH267" s="3">
        <v>3</v>
      </c>
      <c r="AI267" s="3">
        <v>3</v>
      </c>
      <c r="AJ267" s="3">
        <v>1</v>
      </c>
      <c r="AK267" s="3">
        <v>1</v>
      </c>
      <c r="AL267" s="3">
        <v>2</v>
      </c>
      <c r="AM267" s="3">
        <v>3</v>
      </c>
      <c r="AN267" s="3">
        <v>0</v>
      </c>
      <c r="AO267" s="3">
        <v>0</v>
      </c>
      <c r="AP267" s="3">
        <v>0</v>
      </c>
      <c r="AQ267" s="3">
        <v>0</v>
      </c>
      <c r="AR267" s="2" t="s">
        <v>63</v>
      </c>
      <c r="AS267" s="2" t="s">
        <v>92</v>
      </c>
      <c r="AT267" s="5" t="str">
        <f>HYPERLINK("http://catalog.hathitrust.org/Record/001842658","HathiTrust Record")</f>
        <v>HathiTrust Record</v>
      </c>
      <c r="AU267" s="5" t="str">
        <f>HYPERLINK("https://creighton-primo.hosted.exlibrisgroup.com/primo-explore/search?tab=default_tab&amp;search_scope=EVERYTHING&amp;vid=01CRU&amp;lang=en_US&amp;offset=0&amp;query=any,contains,991001453609702656","Catalog Record")</f>
        <v>Catalog Record</v>
      </c>
      <c r="AV267" s="5" t="str">
        <f>HYPERLINK("http://www.worldcat.org/oclc/20318620","WorldCat Record")</f>
        <v>WorldCat Record</v>
      </c>
      <c r="AW267" s="2" t="s">
        <v>3555</v>
      </c>
      <c r="AX267" s="2" t="s">
        <v>3556</v>
      </c>
      <c r="AY267" s="2" t="s">
        <v>3557</v>
      </c>
      <c r="AZ267" s="2" t="s">
        <v>3557</v>
      </c>
      <c r="BA267" s="2" t="s">
        <v>3558</v>
      </c>
      <c r="BB267" s="2" t="s">
        <v>79</v>
      </c>
      <c r="BD267" s="2" t="s">
        <v>3559</v>
      </c>
      <c r="BE267" s="2" t="s">
        <v>3560</v>
      </c>
      <c r="BF267" s="2" t="s">
        <v>3561</v>
      </c>
    </row>
    <row r="268" spans="1:58" ht="46.5" customHeight="1">
      <c r="A268" s="1"/>
      <c r="B268" s="1" t="s">
        <v>58</v>
      </c>
      <c r="C268" s="1" t="s">
        <v>59</v>
      </c>
      <c r="D268" s="1" t="s">
        <v>3562</v>
      </c>
      <c r="E268" s="1" t="s">
        <v>3563</v>
      </c>
      <c r="F268" s="1" t="s">
        <v>3564</v>
      </c>
      <c r="H268" s="2" t="s">
        <v>63</v>
      </c>
      <c r="I268" s="2" t="s">
        <v>64</v>
      </c>
      <c r="J268" s="2" t="s">
        <v>63</v>
      </c>
      <c r="K268" s="2" t="s">
        <v>63</v>
      </c>
      <c r="L268" s="2" t="s">
        <v>65</v>
      </c>
      <c r="M268" s="1" t="s">
        <v>3565</v>
      </c>
      <c r="N268" s="1" t="s">
        <v>3566</v>
      </c>
      <c r="O268" s="2" t="s">
        <v>132</v>
      </c>
      <c r="P268" s="1" t="s">
        <v>88</v>
      </c>
      <c r="Q268" s="2" t="s">
        <v>70</v>
      </c>
      <c r="R268" s="2" t="s">
        <v>277</v>
      </c>
      <c r="T268" s="2" t="s">
        <v>72</v>
      </c>
      <c r="U268" s="3">
        <v>2</v>
      </c>
      <c r="V268" s="3">
        <v>2</v>
      </c>
      <c r="W268" s="4" t="s">
        <v>3518</v>
      </c>
      <c r="X268" s="4" t="s">
        <v>3518</v>
      </c>
      <c r="Y268" s="4" t="s">
        <v>1627</v>
      </c>
      <c r="Z268" s="4" t="s">
        <v>1627</v>
      </c>
      <c r="AA268" s="3">
        <v>190</v>
      </c>
      <c r="AB268" s="3">
        <v>133</v>
      </c>
      <c r="AC268" s="3">
        <v>663</v>
      </c>
      <c r="AD268" s="3">
        <v>1</v>
      </c>
      <c r="AE268" s="3">
        <v>1</v>
      </c>
      <c r="AF268" s="3">
        <v>7</v>
      </c>
      <c r="AG268" s="3">
        <v>16</v>
      </c>
      <c r="AH268" s="3">
        <v>3</v>
      </c>
      <c r="AI268" s="3">
        <v>8</v>
      </c>
      <c r="AJ268" s="3">
        <v>2</v>
      </c>
      <c r="AK268" s="3">
        <v>6</v>
      </c>
      <c r="AL268" s="3">
        <v>2</v>
      </c>
      <c r="AM268" s="3">
        <v>6</v>
      </c>
      <c r="AN268" s="3">
        <v>0</v>
      </c>
      <c r="AO268" s="3">
        <v>0</v>
      </c>
      <c r="AP268" s="3">
        <v>0</v>
      </c>
      <c r="AQ268" s="3">
        <v>0</v>
      </c>
      <c r="AR268" s="2" t="s">
        <v>63</v>
      </c>
      <c r="AS268" s="2" t="s">
        <v>63</v>
      </c>
      <c r="AU268" s="5" t="str">
        <f>HYPERLINK("https://creighton-primo.hosted.exlibrisgroup.com/primo-explore/search?tab=default_tab&amp;search_scope=EVERYTHING&amp;vid=01CRU&amp;lang=en_US&amp;offset=0&amp;query=any,contains,991001131009702656","Catalog Record")</f>
        <v>Catalog Record</v>
      </c>
      <c r="AV268" s="5" t="str">
        <f>HYPERLINK("http://www.worldcat.org/oclc/23732173","WorldCat Record")</f>
        <v>WorldCat Record</v>
      </c>
      <c r="AW268" s="2" t="s">
        <v>3567</v>
      </c>
      <c r="AX268" s="2" t="s">
        <v>3568</v>
      </c>
      <c r="AY268" s="2" t="s">
        <v>3569</v>
      </c>
      <c r="AZ268" s="2" t="s">
        <v>3569</v>
      </c>
      <c r="BA268" s="2" t="s">
        <v>3570</v>
      </c>
      <c r="BB268" s="2" t="s">
        <v>79</v>
      </c>
      <c r="BD268" s="2" t="s">
        <v>3571</v>
      </c>
      <c r="BE268" s="2" t="s">
        <v>3572</v>
      </c>
      <c r="BF268" s="2" t="s">
        <v>3573</v>
      </c>
    </row>
    <row r="269" spans="1:58" ht="46.5" customHeight="1">
      <c r="A269" s="1"/>
      <c r="B269" s="1" t="s">
        <v>58</v>
      </c>
      <c r="C269" s="1" t="s">
        <v>59</v>
      </c>
      <c r="D269" s="1" t="s">
        <v>3574</v>
      </c>
      <c r="E269" s="1" t="s">
        <v>3575</v>
      </c>
      <c r="F269" s="1" t="s">
        <v>3576</v>
      </c>
      <c r="H269" s="2" t="s">
        <v>63</v>
      </c>
      <c r="I269" s="2" t="s">
        <v>64</v>
      </c>
      <c r="J269" s="2" t="s">
        <v>63</v>
      </c>
      <c r="K269" s="2" t="s">
        <v>92</v>
      </c>
      <c r="L269" s="2" t="s">
        <v>65</v>
      </c>
      <c r="M269" s="1" t="s">
        <v>3577</v>
      </c>
      <c r="N269" s="1" t="s">
        <v>3578</v>
      </c>
      <c r="O269" s="2" t="s">
        <v>608</v>
      </c>
      <c r="Q269" s="2" t="s">
        <v>70</v>
      </c>
      <c r="R269" s="2" t="s">
        <v>200</v>
      </c>
      <c r="T269" s="2" t="s">
        <v>72</v>
      </c>
      <c r="U269" s="3">
        <v>7</v>
      </c>
      <c r="V269" s="3">
        <v>7</v>
      </c>
      <c r="W269" s="4" t="s">
        <v>3579</v>
      </c>
      <c r="X269" s="4" t="s">
        <v>3579</v>
      </c>
      <c r="Y269" s="4" t="s">
        <v>3579</v>
      </c>
      <c r="Z269" s="4" t="s">
        <v>3579</v>
      </c>
      <c r="AA269" s="3">
        <v>207</v>
      </c>
      <c r="AB269" s="3">
        <v>176</v>
      </c>
      <c r="AC269" s="3">
        <v>535</v>
      </c>
      <c r="AD269" s="3">
        <v>2</v>
      </c>
      <c r="AE269" s="3">
        <v>2</v>
      </c>
      <c r="AF269" s="3">
        <v>7</v>
      </c>
      <c r="AG269" s="3">
        <v>22</v>
      </c>
      <c r="AH269" s="3">
        <v>3</v>
      </c>
      <c r="AI269" s="3">
        <v>12</v>
      </c>
      <c r="AJ269" s="3">
        <v>1</v>
      </c>
      <c r="AK269" s="3">
        <v>4</v>
      </c>
      <c r="AL269" s="3">
        <v>4</v>
      </c>
      <c r="AM269" s="3">
        <v>12</v>
      </c>
      <c r="AN269" s="3">
        <v>0</v>
      </c>
      <c r="AO269" s="3">
        <v>0</v>
      </c>
      <c r="AP269" s="3">
        <v>0</v>
      </c>
      <c r="AQ269" s="3">
        <v>0</v>
      </c>
      <c r="AR269" s="2" t="s">
        <v>63</v>
      </c>
      <c r="AS269" s="2" t="s">
        <v>92</v>
      </c>
      <c r="AT269" s="5" t="str">
        <f>HYPERLINK("http://catalog.hathitrust.org/Record/002630887","HathiTrust Record")</f>
        <v>HathiTrust Record</v>
      </c>
      <c r="AU269" s="5" t="str">
        <f>HYPERLINK("https://creighton-primo.hosted.exlibrisgroup.com/primo-explore/search?tab=default_tab&amp;search_scope=EVERYTHING&amp;vid=01CRU&amp;lang=en_US&amp;offset=0&amp;query=any,contains,991000674619702656","Catalog Record")</f>
        <v>Catalog Record</v>
      </c>
      <c r="AV269" s="5" t="str">
        <f>HYPERLINK("http://www.worldcat.org/oclc/27311142","WorldCat Record")</f>
        <v>WorldCat Record</v>
      </c>
      <c r="AW269" s="2" t="s">
        <v>3580</v>
      </c>
      <c r="AX269" s="2" t="s">
        <v>3581</v>
      </c>
      <c r="AY269" s="2" t="s">
        <v>3582</v>
      </c>
      <c r="AZ269" s="2" t="s">
        <v>3582</v>
      </c>
      <c r="BA269" s="2" t="s">
        <v>3583</v>
      </c>
      <c r="BB269" s="2" t="s">
        <v>79</v>
      </c>
      <c r="BD269" s="2" t="s">
        <v>3584</v>
      </c>
      <c r="BE269" s="2" t="s">
        <v>3585</v>
      </c>
      <c r="BF269" s="2" t="s">
        <v>3586</v>
      </c>
    </row>
    <row r="270" spans="1:58" ht="46.5" customHeight="1">
      <c r="A270" s="1"/>
      <c r="B270" s="1" t="s">
        <v>58</v>
      </c>
      <c r="C270" s="1" t="s">
        <v>59</v>
      </c>
      <c r="D270" s="1" t="s">
        <v>3587</v>
      </c>
      <c r="E270" s="1" t="s">
        <v>3588</v>
      </c>
      <c r="F270" s="1" t="s">
        <v>3589</v>
      </c>
      <c r="H270" s="2" t="s">
        <v>63</v>
      </c>
      <c r="I270" s="2" t="s">
        <v>64</v>
      </c>
      <c r="J270" s="2" t="s">
        <v>63</v>
      </c>
      <c r="K270" s="2" t="s">
        <v>63</v>
      </c>
      <c r="L270" s="2" t="s">
        <v>65</v>
      </c>
      <c r="M270" s="1" t="s">
        <v>3590</v>
      </c>
      <c r="N270" s="1" t="s">
        <v>3591</v>
      </c>
      <c r="O270" s="2" t="s">
        <v>172</v>
      </c>
      <c r="Q270" s="2" t="s">
        <v>70</v>
      </c>
      <c r="R270" s="2" t="s">
        <v>3592</v>
      </c>
      <c r="S270" s="1" t="s">
        <v>3593</v>
      </c>
      <c r="T270" s="2" t="s">
        <v>72</v>
      </c>
      <c r="U270" s="3">
        <v>5</v>
      </c>
      <c r="V270" s="3">
        <v>5</v>
      </c>
      <c r="W270" s="4" t="s">
        <v>3594</v>
      </c>
      <c r="X270" s="4" t="s">
        <v>3594</v>
      </c>
      <c r="Y270" s="4" t="s">
        <v>3594</v>
      </c>
      <c r="Z270" s="4" t="s">
        <v>3594</v>
      </c>
      <c r="AA270" s="3">
        <v>108</v>
      </c>
      <c r="AB270" s="3">
        <v>90</v>
      </c>
      <c r="AC270" s="3">
        <v>140</v>
      </c>
      <c r="AD270" s="3">
        <v>1</v>
      </c>
      <c r="AE270" s="3">
        <v>1</v>
      </c>
      <c r="AF270" s="3">
        <v>3</v>
      </c>
      <c r="AG270" s="3">
        <v>3</v>
      </c>
      <c r="AH270" s="3">
        <v>1</v>
      </c>
      <c r="AI270" s="3">
        <v>1</v>
      </c>
      <c r="AJ270" s="3">
        <v>1</v>
      </c>
      <c r="AK270" s="3">
        <v>1</v>
      </c>
      <c r="AL270" s="3">
        <v>1</v>
      </c>
      <c r="AM270" s="3">
        <v>1</v>
      </c>
      <c r="AN270" s="3">
        <v>0</v>
      </c>
      <c r="AO270" s="3">
        <v>0</v>
      </c>
      <c r="AP270" s="3">
        <v>0</v>
      </c>
      <c r="AQ270" s="3">
        <v>0</v>
      </c>
      <c r="AR270" s="2" t="s">
        <v>63</v>
      </c>
      <c r="AS270" s="2" t="s">
        <v>92</v>
      </c>
      <c r="AT270" s="5" t="str">
        <f>HYPERLINK("http://catalog.hathitrust.org/Record/003794824","HathiTrust Record")</f>
        <v>HathiTrust Record</v>
      </c>
      <c r="AU270" s="5" t="str">
        <f>HYPERLINK("https://creighton-primo.hosted.exlibrisgroup.com/primo-explore/search?tab=default_tab&amp;search_scope=EVERYTHING&amp;vid=01CRU&amp;lang=en_US&amp;offset=0&amp;query=any,contains,991000775369702656","Catalog Record")</f>
        <v>Catalog Record</v>
      </c>
      <c r="AV270" s="5" t="str">
        <f>HYPERLINK("http://www.worldcat.org/oclc/10268203","WorldCat Record")</f>
        <v>WorldCat Record</v>
      </c>
      <c r="AW270" s="2" t="s">
        <v>3595</v>
      </c>
      <c r="AX270" s="2" t="s">
        <v>3596</v>
      </c>
      <c r="AY270" s="2" t="s">
        <v>3597</v>
      </c>
      <c r="AZ270" s="2" t="s">
        <v>3597</v>
      </c>
      <c r="BA270" s="2" t="s">
        <v>3598</v>
      </c>
      <c r="BB270" s="2" t="s">
        <v>79</v>
      </c>
      <c r="BD270" s="2" t="s">
        <v>3599</v>
      </c>
      <c r="BE270" s="2" t="s">
        <v>3600</v>
      </c>
      <c r="BF270" s="2" t="s">
        <v>3601</v>
      </c>
    </row>
    <row r="271" spans="1:58" ht="46.5" customHeight="1">
      <c r="A271" s="1"/>
      <c r="B271" s="1" t="s">
        <v>58</v>
      </c>
      <c r="C271" s="1" t="s">
        <v>59</v>
      </c>
      <c r="D271" s="1" t="s">
        <v>3602</v>
      </c>
      <c r="E271" s="1" t="s">
        <v>3603</v>
      </c>
      <c r="F271" s="1" t="s">
        <v>3604</v>
      </c>
      <c r="H271" s="2" t="s">
        <v>63</v>
      </c>
      <c r="I271" s="2" t="s">
        <v>64</v>
      </c>
      <c r="J271" s="2" t="s">
        <v>92</v>
      </c>
      <c r="K271" s="2" t="s">
        <v>63</v>
      </c>
      <c r="L271" s="2" t="s">
        <v>65</v>
      </c>
      <c r="M271" s="1" t="s">
        <v>3605</v>
      </c>
      <c r="N271" s="1" t="s">
        <v>3606</v>
      </c>
      <c r="O271" s="2" t="s">
        <v>119</v>
      </c>
      <c r="P271" s="1" t="s">
        <v>157</v>
      </c>
      <c r="Q271" s="2" t="s">
        <v>70</v>
      </c>
      <c r="R271" s="2" t="s">
        <v>89</v>
      </c>
      <c r="S271" s="1" t="s">
        <v>3607</v>
      </c>
      <c r="T271" s="2" t="s">
        <v>72</v>
      </c>
      <c r="U271" s="3">
        <v>6</v>
      </c>
      <c r="V271" s="3">
        <v>6</v>
      </c>
      <c r="W271" s="4" t="s">
        <v>3608</v>
      </c>
      <c r="X271" s="4" t="s">
        <v>3608</v>
      </c>
      <c r="Y271" s="4" t="s">
        <v>3387</v>
      </c>
      <c r="Z271" s="4" t="s">
        <v>3387</v>
      </c>
      <c r="AA271" s="3">
        <v>372</v>
      </c>
      <c r="AB271" s="3">
        <v>294</v>
      </c>
      <c r="AC271" s="3">
        <v>578</v>
      </c>
      <c r="AD271" s="3">
        <v>6</v>
      </c>
      <c r="AE271" s="3">
        <v>9</v>
      </c>
      <c r="AF271" s="3">
        <v>18</v>
      </c>
      <c r="AG271" s="3">
        <v>32</v>
      </c>
      <c r="AH271" s="3">
        <v>5</v>
      </c>
      <c r="AI271" s="3">
        <v>9</v>
      </c>
      <c r="AJ271" s="3">
        <v>4</v>
      </c>
      <c r="AK271" s="3">
        <v>7</v>
      </c>
      <c r="AL271" s="3">
        <v>10</v>
      </c>
      <c r="AM271" s="3">
        <v>16</v>
      </c>
      <c r="AN271" s="3">
        <v>4</v>
      </c>
      <c r="AO271" s="3">
        <v>7</v>
      </c>
      <c r="AP271" s="3">
        <v>0</v>
      </c>
      <c r="AQ271" s="3">
        <v>0</v>
      </c>
      <c r="AR271" s="2" t="s">
        <v>63</v>
      </c>
      <c r="AS271" s="2" t="s">
        <v>92</v>
      </c>
      <c r="AT271" s="5" t="str">
        <f>HYPERLINK("http://catalog.hathitrust.org/Record/000109633","HathiTrust Record")</f>
        <v>HathiTrust Record</v>
      </c>
      <c r="AU271" s="5" t="str">
        <f>HYPERLINK("https://creighton-primo.hosted.exlibrisgroup.com/primo-explore/search?tab=default_tab&amp;search_scope=EVERYTHING&amp;vid=01CRU&amp;lang=en_US&amp;offset=0&amp;query=any,contains,991000957869702656","Catalog Record")</f>
        <v>Catalog Record</v>
      </c>
      <c r="AV271" s="5" t="str">
        <f>HYPERLINK("http://www.worldcat.org/oclc/7925458","WorldCat Record")</f>
        <v>WorldCat Record</v>
      </c>
      <c r="AW271" s="2" t="s">
        <v>3609</v>
      </c>
      <c r="AX271" s="2" t="s">
        <v>3610</v>
      </c>
      <c r="AY271" s="2" t="s">
        <v>3611</v>
      </c>
      <c r="AZ271" s="2" t="s">
        <v>3611</v>
      </c>
      <c r="BA271" s="2" t="s">
        <v>3612</v>
      </c>
      <c r="BB271" s="2" t="s">
        <v>79</v>
      </c>
      <c r="BD271" s="2" t="s">
        <v>3613</v>
      </c>
      <c r="BE271" s="2" t="s">
        <v>3614</v>
      </c>
      <c r="BF271" s="2" t="s">
        <v>3615</v>
      </c>
    </row>
    <row r="272" spans="1:58" ht="46.5" customHeight="1">
      <c r="A272" s="1"/>
      <c r="B272" s="1" t="s">
        <v>58</v>
      </c>
      <c r="C272" s="1" t="s">
        <v>59</v>
      </c>
      <c r="D272" s="1" t="s">
        <v>3616</v>
      </c>
      <c r="E272" s="1" t="s">
        <v>3617</v>
      </c>
      <c r="F272" s="1" t="s">
        <v>3618</v>
      </c>
      <c r="H272" s="2" t="s">
        <v>63</v>
      </c>
      <c r="I272" s="2" t="s">
        <v>64</v>
      </c>
      <c r="J272" s="2" t="s">
        <v>63</v>
      </c>
      <c r="K272" s="2" t="s">
        <v>63</v>
      </c>
      <c r="L272" s="2" t="s">
        <v>65</v>
      </c>
      <c r="M272" s="1" t="s">
        <v>3619</v>
      </c>
      <c r="O272" s="2" t="s">
        <v>423</v>
      </c>
      <c r="Q272" s="2" t="s">
        <v>70</v>
      </c>
      <c r="R272" s="2" t="s">
        <v>1364</v>
      </c>
      <c r="T272" s="2" t="s">
        <v>72</v>
      </c>
      <c r="U272" s="3">
        <v>5</v>
      </c>
      <c r="V272" s="3">
        <v>5</v>
      </c>
      <c r="W272" s="4" t="s">
        <v>3620</v>
      </c>
      <c r="X272" s="4" t="s">
        <v>3620</v>
      </c>
      <c r="Y272" s="4" t="s">
        <v>3621</v>
      </c>
      <c r="Z272" s="4" t="s">
        <v>3621</v>
      </c>
      <c r="AA272" s="3">
        <v>70</v>
      </c>
      <c r="AB272" s="3">
        <v>64</v>
      </c>
      <c r="AC272" s="3">
        <v>64</v>
      </c>
      <c r="AD272" s="3">
        <v>1</v>
      </c>
      <c r="AE272" s="3">
        <v>1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2" t="s">
        <v>63</v>
      </c>
      <c r="AS272" s="2" t="s">
        <v>63</v>
      </c>
      <c r="AU272" s="5" t="str">
        <f>HYPERLINK("https://creighton-primo.hosted.exlibrisgroup.com/primo-explore/search?tab=default_tab&amp;search_scope=EVERYTHING&amp;vid=01CRU&amp;lang=en_US&amp;offset=0&amp;query=any,contains,991001354669702656","Catalog Record")</f>
        <v>Catalog Record</v>
      </c>
      <c r="AV272" s="5" t="str">
        <f>HYPERLINK("http://www.worldcat.org/oclc/20494662","WorldCat Record")</f>
        <v>WorldCat Record</v>
      </c>
      <c r="AW272" s="2" t="s">
        <v>3622</v>
      </c>
      <c r="AX272" s="2" t="s">
        <v>3623</v>
      </c>
      <c r="AY272" s="2" t="s">
        <v>3624</v>
      </c>
      <c r="AZ272" s="2" t="s">
        <v>3624</v>
      </c>
      <c r="BA272" s="2" t="s">
        <v>3625</v>
      </c>
      <c r="BB272" s="2" t="s">
        <v>79</v>
      </c>
      <c r="BD272" s="2" t="s">
        <v>3626</v>
      </c>
      <c r="BE272" s="2" t="s">
        <v>3627</v>
      </c>
      <c r="BF272" s="2" t="s">
        <v>3628</v>
      </c>
    </row>
    <row r="273" spans="1:58" ht="46.5" customHeight="1">
      <c r="A273" s="1"/>
      <c r="B273" s="1" t="s">
        <v>58</v>
      </c>
      <c r="C273" s="1" t="s">
        <v>59</v>
      </c>
      <c r="D273" s="1" t="s">
        <v>3629</v>
      </c>
      <c r="E273" s="1" t="s">
        <v>3630</v>
      </c>
      <c r="F273" s="1" t="s">
        <v>3631</v>
      </c>
      <c r="H273" s="2" t="s">
        <v>63</v>
      </c>
      <c r="I273" s="2" t="s">
        <v>64</v>
      </c>
      <c r="J273" s="2" t="s">
        <v>63</v>
      </c>
      <c r="K273" s="2" t="s">
        <v>63</v>
      </c>
      <c r="L273" s="2" t="s">
        <v>65</v>
      </c>
      <c r="N273" s="1" t="s">
        <v>3632</v>
      </c>
      <c r="O273" s="2" t="s">
        <v>1296</v>
      </c>
      <c r="Q273" s="2" t="s">
        <v>70</v>
      </c>
      <c r="R273" s="2" t="s">
        <v>260</v>
      </c>
      <c r="T273" s="2" t="s">
        <v>72</v>
      </c>
      <c r="U273" s="3">
        <v>0</v>
      </c>
      <c r="V273" s="3">
        <v>0</v>
      </c>
      <c r="W273" s="4" t="s">
        <v>3633</v>
      </c>
      <c r="X273" s="4" t="s">
        <v>3633</v>
      </c>
      <c r="Y273" s="4" t="s">
        <v>3634</v>
      </c>
      <c r="Z273" s="4" t="s">
        <v>3634</v>
      </c>
      <c r="AA273" s="3">
        <v>182</v>
      </c>
      <c r="AB273" s="3">
        <v>121</v>
      </c>
      <c r="AC273" s="3">
        <v>499</v>
      </c>
      <c r="AD273" s="3">
        <v>1</v>
      </c>
      <c r="AE273" s="3">
        <v>5</v>
      </c>
      <c r="AF273" s="3">
        <v>3</v>
      </c>
      <c r="AG273" s="3">
        <v>22</v>
      </c>
      <c r="AH273" s="3">
        <v>0</v>
      </c>
      <c r="AI273" s="3">
        <v>6</v>
      </c>
      <c r="AJ273" s="3">
        <v>2</v>
      </c>
      <c r="AK273" s="3">
        <v>7</v>
      </c>
      <c r="AL273" s="3">
        <v>1</v>
      </c>
      <c r="AM273" s="3">
        <v>6</v>
      </c>
      <c r="AN273" s="3">
        <v>0</v>
      </c>
      <c r="AO273" s="3">
        <v>4</v>
      </c>
      <c r="AP273" s="3">
        <v>0</v>
      </c>
      <c r="AQ273" s="3">
        <v>1</v>
      </c>
      <c r="AR273" s="2" t="s">
        <v>63</v>
      </c>
      <c r="AS273" s="2" t="s">
        <v>63</v>
      </c>
      <c r="AU273" s="5" t="str">
        <f>HYPERLINK("https://creighton-primo.hosted.exlibrisgroup.com/primo-explore/search?tab=default_tab&amp;search_scope=EVERYTHING&amp;vid=01CRU&amp;lang=en_US&amp;offset=0&amp;query=any,contains,991000551529702656","Catalog Record")</f>
        <v>Catalog Record</v>
      </c>
      <c r="AV273" s="5" t="str">
        <f>HYPERLINK("http://www.worldcat.org/oclc/47659400","WorldCat Record")</f>
        <v>WorldCat Record</v>
      </c>
      <c r="AW273" s="2" t="s">
        <v>3635</v>
      </c>
      <c r="AX273" s="2" t="s">
        <v>3636</v>
      </c>
      <c r="AY273" s="2" t="s">
        <v>3637</v>
      </c>
      <c r="AZ273" s="2" t="s">
        <v>3637</v>
      </c>
      <c r="BA273" s="2" t="s">
        <v>3638</v>
      </c>
      <c r="BB273" s="2" t="s">
        <v>79</v>
      </c>
      <c r="BD273" s="2" t="s">
        <v>3639</v>
      </c>
      <c r="BE273" s="2" t="s">
        <v>3640</v>
      </c>
      <c r="BF273" s="2" t="s">
        <v>3641</v>
      </c>
    </row>
    <row r="274" spans="1:58" ht="46.5" customHeight="1">
      <c r="A274" s="1"/>
      <c r="B274" s="1" t="s">
        <v>58</v>
      </c>
      <c r="C274" s="1" t="s">
        <v>59</v>
      </c>
      <c r="D274" s="1" t="s">
        <v>3642</v>
      </c>
      <c r="E274" s="1" t="s">
        <v>3643</v>
      </c>
      <c r="F274" s="1" t="s">
        <v>2878</v>
      </c>
      <c r="H274" s="2" t="s">
        <v>63</v>
      </c>
      <c r="I274" s="2" t="s">
        <v>64</v>
      </c>
      <c r="J274" s="2" t="s">
        <v>63</v>
      </c>
      <c r="K274" s="2" t="s">
        <v>92</v>
      </c>
      <c r="L274" s="2" t="s">
        <v>65</v>
      </c>
      <c r="M274" s="1" t="s">
        <v>2879</v>
      </c>
      <c r="N274" s="1" t="s">
        <v>3644</v>
      </c>
      <c r="O274" s="2" t="s">
        <v>198</v>
      </c>
      <c r="P274" s="1" t="s">
        <v>88</v>
      </c>
      <c r="Q274" s="2" t="s">
        <v>70</v>
      </c>
      <c r="R274" s="2" t="s">
        <v>2644</v>
      </c>
      <c r="T274" s="2" t="s">
        <v>72</v>
      </c>
      <c r="U274" s="3">
        <v>7</v>
      </c>
      <c r="V274" s="3">
        <v>7</v>
      </c>
      <c r="W274" s="4" t="s">
        <v>3645</v>
      </c>
      <c r="X274" s="4" t="s">
        <v>3645</v>
      </c>
      <c r="Y274" s="4" t="s">
        <v>3646</v>
      </c>
      <c r="Z274" s="4" t="s">
        <v>3646</v>
      </c>
      <c r="AA274" s="3">
        <v>32</v>
      </c>
      <c r="AB274" s="3">
        <v>26</v>
      </c>
      <c r="AC274" s="3">
        <v>189</v>
      </c>
      <c r="AD274" s="3">
        <v>1</v>
      </c>
      <c r="AE274" s="3">
        <v>2</v>
      </c>
      <c r="AF274" s="3">
        <v>1</v>
      </c>
      <c r="AG274" s="3">
        <v>6</v>
      </c>
      <c r="AH274" s="3">
        <v>1</v>
      </c>
      <c r="AI274" s="3">
        <v>4</v>
      </c>
      <c r="AJ274" s="3">
        <v>0</v>
      </c>
      <c r="AK274" s="3">
        <v>1</v>
      </c>
      <c r="AL274" s="3">
        <v>0</v>
      </c>
      <c r="AM274" s="3">
        <v>1</v>
      </c>
      <c r="AN274" s="3">
        <v>0</v>
      </c>
      <c r="AO274" s="3">
        <v>1</v>
      </c>
      <c r="AP274" s="3">
        <v>0</v>
      </c>
      <c r="AQ274" s="3">
        <v>0</v>
      </c>
      <c r="AR274" s="2" t="s">
        <v>63</v>
      </c>
      <c r="AS274" s="2" t="s">
        <v>92</v>
      </c>
      <c r="AT274" s="5" t="str">
        <f>HYPERLINK("http://catalog.hathitrust.org/Record/002613566","HathiTrust Record")</f>
        <v>HathiTrust Record</v>
      </c>
      <c r="AU274" s="5" t="str">
        <f>HYPERLINK("https://creighton-primo.hosted.exlibrisgroup.com/primo-explore/search?tab=default_tab&amp;search_scope=EVERYTHING&amp;vid=01CRU&amp;lang=en_US&amp;offset=0&amp;query=any,contains,991001026729702656","Catalog Record")</f>
        <v>Catalog Record</v>
      </c>
      <c r="AV274" s="5" t="str">
        <f>HYPERLINK("http://www.worldcat.org/oclc/19930415","WorldCat Record")</f>
        <v>WorldCat Record</v>
      </c>
      <c r="AW274" s="2" t="s">
        <v>2881</v>
      </c>
      <c r="AX274" s="2" t="s">
        <v>3647</v>
      </c>
      <c r="AY274" s="2" t="s">
        <v>3648</v>
      </c>
      <c r="AZ274" s="2" t="s">
        <v>3648</v>
      </c>
      <c r="BA274" s="2" t="s">
        <v>3649</v>
      </c>
      <c r="BB274" s="2" t="s">
        <v>79</v>
      </c>
      <c r="BD274" s="2" t="s">
        <v>3650</v>
      </c>
      <c r="BE274" s="2" t="s">
        <v>3651</v>
      </c>
      <c r="BF274" s="2" t="s">
        <v>3652</v>
      </c>
    </row>
    <row r="275" spans="1:58" ht="46.5" customHeight="1">
      <c r="A275" s="1"/>
      <c r="B275" s="1" t="s">
        <v>58</v>
      </c>
      <c r="C275" s="1" t="s">
        <v>59</v>
      </c>
      <c r="D275" s="1" t="s">
        <v>3653</v>
      </c>
      <c r="E275" s="1" t="s">
        <v>3654</v>
      </c>
      <c r="F275" s="1" t="s">
        <v>3655</v>
      </c>
      <c r="H275" s="2" t="s">
        <v>63</v>
      </c>
      <c r="I275" s="2" t="s">
        <v>64</v>
      </c>
      <c r="J275" s="2" t="s">
        <v>63</v>
      </c>
      <c r="K275" s="2" t="s">
        <v>63</v>
      </c>
      <c r="L275" s="2" t="s">
        <v>65</v>
      </c>
      <c r="M275" s="1" t="s">
        <v>3656</v>
      </c>
      <c r="N275" s="1" t="s">
        <v>3657</v>
      </c>
      <c r="O275" s="2" t="s">
        <v>132</v>
      </c>
      <c r="P275" s="1" t="s">
        <v>157</v>
      </c>
      <c r="Q275" s="2" t="s">
        <v>70</v>
      </c>
      <c r="R275" s="2" t="s">
        <v>89</v>
      </c>
      <c r="T275" s="2" t="s">
        <v>72</v>
      </c>
      <c r="U275" s="3">
        <v>11</v>
      </c>
      <c r="V275" s="3">
        <v>11</v>
      </c>
      <c r="W275" s="4" t="s">
        <v>3658</v>
      </c>
      <c r="X275" s="4" t="s">
        <v>3658</v>
      </c>
      <c r="Y275" s="4" t="s">
        <v>3659</v>
      </c>
      <c r="Z275" s="4" t="s">
        <v>3659</v>
      </c>
      <c r="AA275" s="3">
        <v>38</v>
      </c>
      <c r="AB275" s="3">
        <v>33</v>
      </c>
      <c r="AC275" s="3">
        <v>72</v>
      </c>
      <c r="AD275" s="3">
        <v>1</v>
      </c>
      <c r="AE275" s="3">
        <v>1</v>
      </c>
      <c r="AF275" s="3">
        <v>1</v>
      </c>
      <c r="AG275" s="3">
        <v>2</v>
      </c>
      <c r="AH275" s="3">
        <v>1</v>
      </c>
      <c r="AI275" s="3">
        <v>2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2" t="s">
        <v>63</v>
      </c>
      <c r="AS275" s="2" t="s">
        <v>92</v>
      </c>
      <c r="AT275" s="5" t="str">
        <f>HYPERLINK("http://catalog.hathitrust.org/Record/002550398","HathiTrust Record")</f>
        <v>HathiTrust Record</v>
      </c>
      <c r="AU275" s="5" t="str">
        <f>HYPERLINK("https://creighton-primo.hosted.exlibrisgroup.com/primo-explore/search?tab=default_tab&amp;search_scope=EVERYTHING&amp;vid=01CRU&amp;lang=en_US&amp;offset=0&amp;query=any,contains,991001350689702656","Catalog Record")</f>
        <v>Catalog Record</v>
      </c>
      <c r="AV275" s="5" t="str">
        <f>HYPERLINK("http://www.worldcat.org/oclc/25591456","WorldCat Record")</f>
        <v>WorldCat Record</v>
      </c>
      <c r="AW275" s="2" t="s">
        <v>3660</v>
      </c>
      <c r="AX275" s="2" t="s">
        <v>3661</v>
      </c>
      <c r="AY275" s="2" t="s">
        <v>3662</v>
      </c>
      <c r="AZ275" s="2" t="s">
        <v>3662</v>
      </c>
      <c r="BA275" s="2" t="s">
        <v>3663</v>
      </c>
      <c r="BB275" s="2" t="s">
        <v>79</v>
      </c>
      <c r="BD275" s="2" t="s">
        <v>3664</v>
      </c>
      <c r="BE275" s="2" t="s">
        <v>3665</v>
      </c>
      <c r="BF275" s="2" t="s">
        <v>3666</v>
      </c>
    </row>
    <row r="276" spans="1:58" ht="46.5" customHeight="1">
      <c r="A276" s="1"/>
      <c r="B276" s="1" t="s">
        <v>58</v>
      </c>
      <c r="C276" s="1" t="s">
        <v>59</v>
      </c>
      <c r="D276" s="1" t="s">
        <v>3667</v>
      </c>
      <c r="E276" s="1" t="s">
        <v>3668</v>
      </c>
      <c r="F276" s="1" t="s">
        <v>3669</v>
      </c>
      <c r="H276" s="2" t="s">
        <v>63</v>
      </c>
      <c r="I276" s="2" t="s">
        <v>64</v>
      </c>
      <c r="J276" s="2" t="s">
        <v>63</v>
      </c>
      <c r="K276" s="2" t="s">
        <v>63</v>
      </c>
      <c r="L276" s="2" t="s">
        <v>65</v>
      </c>
      <c r="M276" s="1" t="s">
        <v>3670</v>
      </c>
      <c r="N276" s="1" t="s">
        <v>3671</v>
      </c>
      <c r="O276" s="2" t="s">
        <v>307</v>
      </c>
      <c r="Q276" s="2" t="s">
        <v>70</v>
      </c>
      <c r="R276" s="2" t="s">
        <v>89</v>
      </c>
      <c r="S276" s="1" t="s">
        <v>3672</v>
      </c>
      <c r="T276" s="2" t="s">
        <v>72</v>
      </c>
      <c r="U276" s="3">
        <v>3</v>
      </c>
      <c r="V276" s="3">
        <v>3</v>
      </c>
      <c r="W276" s="4" t="s">
        <v>3673</v>
      </c>
      <c r="X276" s="4" t="s">
        <v>3673</v>
      </c>
      <c r="Y276" s="4" t="s">
        <v>3387</v>
      </c>
      <c r="Z276" s="4" t="s">
        <v>3387</v>
      </c>
      <c r="AA276" s="3">
        <v>259</v>
      </c>
      <c r="AB276" s="3">
        <v>216</v>
      </c>
      <c r="AC276" s="3">
        <v>233</v>
      </c>
      <c r="AD276" s="3">
        <v>1</v>
      </c>
      <c r="AE276" s="3">
        <v>1</v>
      </c>
      <c r="AF276" s="3">
        <v>11</v>
      </c>
      <c r="AG276" s="3">
        <v>11</v>
      </c>
      <c r="AH276" s="3">
        <v>3</v>
      </c>
      <c r="AI276" s="3">
        <v>3</v>
      </c>
      <c r="AJ276" s="3">
        <v>3</v>
      </c>
      <c r="AK276" s="3">
        <v>3</v>
      </c>
      <c r="AL276" s="3">
        <v>10</v>
      </c>
      <c r="AM276" s="3">
        <v>10</v>
      </c>
      <c r="AN276" s="3">
        <v>0</v>
      </c>
      <c r="AO276" s="3">
        <v>0</v>
      </c>
      <c r="AP276" s="3">
        <v>0</v>
      </c>
      <c r="AQ276" s="3">
        <v>0</v>
      </c>
      <c r="AR276" s="2" t="s">
        <v>63</v>
      </c>
      <c r="AS276" s="2" t="s">
        <v>92</v>
      </c>
      <c r="AT276" s="5" t="str">
        <f>HYPERLINK("http://catalog.hathitrust.org/Record/000556493","HathiTrust Record")</f>
        <v>HathiTrust Record</v>
      </c>
      <c r="AU276" s="5" t="str">
        <f>HYPERLINK("https://creighton-primo.hosted.exlibrisgroup.com/primo-explore/search?tab=default_tab&amp;search_scope=EVERYTHING&amp;vid=01CRU&amp;lang=en_US&amp;offset=0&amp;query=any,contains,991000957919702656","Catalog Record")</f>
        <v>Catalog Record</v>
      </c>
      <c r="AV276" s="5" t="str">
        <f>HYPERLINK("http://www.worldcat.org/oclc/13822758","WorldCat Record")</f>
        <v>WorldCat Record</v>
      </c>
      <c r="AW276" s="2" t="s">
        <v>3674</v>
      </c>
      <c r="AX276" s="2" t="s">
        <v>3675</v>
      </c>
      <c r="AY276" s="2" t="s">
        <v>3676</v>
      </c>
      <c r="AZ276" s="2" t="s">
        <v>3676</v>
      </c>
      <c r="BA276" s="2" t="s">
        <v>3677</v>
      </c>
      <c r="BB276" s="2" t="s">
        <v>79</v>
      </c>
      <c r="BD276" s="2" t="s">
        <v>3678</v>
      </c>
      <c r="BE276" s="2" t="s">
        <v>3679</v>
      </c>
      <c r="BF276" s="2" t="s">
        <v>3680</v>
      </c>
    </row>
    <row r="277" spans="1:58" ht="46.5" customHeight="1">
      <c r="A277" s="1"/>
      <c r="B277" s="1" t="s">
        <v>58</v>
      </c>
      <c r="C277" s="1" t="s">
        <v>59</v>
      </c>
      <c r="D277" s="1" t="s">
        <v>3681</v>
      </c>
      <c r="E277" s="1" t="s">
        <v>3682</v>
      </c>
      <c r="F277" s="1" t="s">
        <v>3683</v>
      </c>
      <c r="H277" s="2" t="s">
        <v>63</v>
      </c>
      <c r="I277" s="2" t="s">
        <v>64</v>
      </c>
      <c r="J277" s="2" t="s">
        <v>63</v>
      </c>
      <c r="K277" s="2" t="s">
        <v>63</v>
      </c>
      <c r="L277" s="2" t="s">
        <v>65</v>
      </c>
      <c r="N277" s="1" t="s">
        <v>3684</v>
      </c>
      <c r="O277" s="2" t="s">
        <v>718</v>
      </c>
      <c r="P277" s="1" t="s">
        <v>69</v>
      </c>
      <c r="Q277" s="2" t="s">
        <v>70</v>
      </c>
      <c r="R277" s="2" t="s">
        <v>277</v>
      </c>
      <c r="T277" s="2" t="s">
        <v>72</v>
      </c>
      <c r="U277" s="3">
        <v>6</v>
      </c>
      <c r="V277" s="3">
        <v>6</v>
      </c>
      <c r="W277" s="4" t="s">
        <v>3685</v>
      </c>
      <c r="X277" s="4" t="s">
        <v>3685</v>
      </c>
      <c r="Y277" s="4" t="s">
        <v>3387</v>
      </c>
      <c r="Z277" s="4" t="s">
        <v>3387</v>
      </c>
      <c r="AA277" s="3">
        <v>278</v>
      </c>
      <c r="AB277" s="3">
        <v>193</v>
      </c>
      <c r="AC277" s="3">
        <v>200</v>
      </c>
      <c r="AD277" s="3">
        <v>2</v>
      </c>
      <c r="AE277" s="3">
        <v>2</v>
      </c>
      <c r="AF277" s="3">
        <v>8</v>
      </c>
      <c r="AG277" s="3">
        <v>8</v>
      </c>
      <c r="AH277" s="3">
        <v>2</v>
      </c>
      <c r="AI277" s="3">
        <v>2</v>
      </c>
      <c r="AJ277" s="3">
        <v>2</v>
      </c>
      <c r="AK277" s="3">
        <v>2</v>
      </c>
      <c r="AL277" s="3">
        <v>6</v>
      </c>
      <c r="AM277" s="3">
        <v>6</v>
      </c>
      <c r="AN277" s="3">
        <v>1</v>
      </c>
      <c r="AO277" s="3">
        <v>1</v>
      </c>
      <c r="AP277" s="3">
        <v>0</v>
      </c>
      <c r="AQ277" s="3">
        <v>0</v>
      </c>
      <c r="AR277" s="2" t="s">
        <v>63</v>
      </c>
      <c r="AS277" s="2" t="s">
        <v>92</v>
      </c>
      <c r="AT277" s="5" t="str">
        <f>HYPERLINK("http://catalog.hathitrust.org/Record/000135552","HathiTrust Record")</f>
        <v>HathiTrust Record</v>
      </c>
      <c r="AU277" s="5" t="str">
        <f>HYPERLINK("https://creighton-primo.hosted.exlibrisgroup.com/primo-explore/search?tab=default_tab&amp;search_scope=EVERYTHING&amp;vid=01CRU&amp;lang=en_US&amp;offset=0&amp;query=any,contains,991000957969702656","Catalog Record")</f>
        <v>Catalog Record</v>
      </c>
      <c r="AV277" s="5" t="str">
        <f>HYPERLINK("http://www.worldcat.org/oclc/3844717","WorldCat Record")</f>
        <v>WorldCat Record</v>
      </c>
      <c r="AW277" s="2" t="s">
        <v>3686</v>
      </c>
      <c r="AX277" s="2" t="s">
        <v>3687</v>
      </c>
      <c r="AY277" s="2" t="s">
        <v>3688</v>
      </c>
      <c r="AZ277" s="2" t="s">
        <v>3688</v>
      </c>
      <c r="BA277" s="2" t="s">
        <v>3689</v>
      </c>
      <c r="BB277" s="2" t="s">
        <v>79</v>
      </c>
      <c r="BD277" s="2" t="s">
        <v>3690</v>
      </c>
      <c r="BE277" s="2" t="s">
        <v>3691</v>
      </c>
      <c r="BF277" s="2" t="s">
        <v>3692</v>
      </c>
    </row>
    <row r="278" spans="1:58" ht="46.5" customHeight="1">
      <c r="A278" s="1"/>
      <c r="B278" s="1" t="s">
        <v>58</v>
      </c>
      <c r="C278" s="1" t="s">
        <v>59</v>
      </c>
      <c r="D278" s="1" t="s">
        <v>3693</v>
      </c>
      <c r="E278" s="1" t="s">
        <v>3694</v>
      </c>
      <c r="F278" s="1" t="s">
        <v>3695</v>
      </c>
      <c r="H278" s="2" t="s">
        <v>63</v>
      </c>
      <c r="I278" s="2" t="s">
        <v>64</v>
      </c>
      <c r="J278" s="2" t="s">
        <v>63</v>
      </c>
      <c r="K278" s="2" t="s">
        <v>63</v>
      </c>
      <c r="L278" s="2" t="s">
        <v>65</v>
      </c>
      <c r="N278" s="1" t="s">
        <v>3696</v>
      </c>
      <c r="O278" s="2" t="s">
        <v>275</v>
      </c>
      <c r="Q278" s="2" t="s">
        <v>70</v>
      </c>
      <c r="R278" s="2" t="s">
        <v>1364</v>
      </c>
      <c r="T278" s="2" t="s">
        <v>72</v>
      </c>
      <c r="U278" s="3">
        <v>1</v>
      </c>
      <c r="V278" s="3">
        <v>1</v>
      </c>
      <c r="W278" s="4" t="s">
        <v>3697</v>
      </c>
      <c r="X278" s="4" t="s">
        <v>3697</v>
      </c>
      <c r="Y278" s="4" t="s">
        <v>2817</v>
      </c>
      <c r="Z278" s="4" t="s">
        <v>2817</v>
      </c>
      <c r="AA278" s="3">
        <v>222</v>
      </c>
      <c r="AB278" s="3">
        <v>196</v>
      </c>
      <c r="AC278" s="3">
        <v>203</v>
      </c>
      <c r="AD278" s="3">
        <v>1</v>
      </c>
      <c r="AE278" s="3">
        <v>1</v>
      </c>
      <c r="AF278" s="3">
        <v>5</v>
      </c>
      <c r="AG278" s="3">
        <v>5</v>
      </c>
      <c r="AH278" s="3">
        <v>2</v>
      </c>
      <c r="AI278" s="3">
        <v>2</v>
      </c>
      <c r="AJ278" s="3">
        <v>1</v>
      </c>
      <c r="AK278" s="3">
        <v>1</v>
      </c>
      <c r="AL278" s="3">
        <v>4</v>
      </c>
      <c r="AM278" s="3">
        <v>4</v>
      </c>
      <c r="AN278" s="3">
        <v>0</v>
      </c>
      <c r="AO278" s="3">
        <v>0</v>
      </c>
      <c r="AP278" s="3">
        <v>0</v>
      </c>
      <c r="AQ278" s="3">
        <v>0</v>
      </c>
      <c r="AR278" s="2" t="s">
        <v>63</v>
      </c>
      <c r="AS278" s="2" t="s">
        <v>92</v>
      </c>
      <c r="AT278" s="5" t="str">
        <f>HYPERLINK("http://catalog.hathitrust.org/Record/003062356","HathiTrust Record")</f>
        <v>HathiTrust Record</v>
      </c>
      <c r="AU278" s="5" t="str">
        <f>HYPERLINK("https://creighton-primo.hosted.exlibrisgroup.com/primo-explore/search?tab=default_tab&amp;search_scope=EVERYTHING&amp;vid=01CRU&amp;lang=en_US&amp;offset=0&amp;query=any,contains,991001552669702656","Catalog Record")</f>
        <v>Catalog Record</v>
      </c>
      <c r="AV278" s="5" t="str">
        <f>HYPERLINK("http://www.worldcat.org/oclc/33440562","WorldCat Record")</f>
        <v>WorldCat Record</v>
      </c>
      <c r="AW278" s="2" t="s">
        <v>3698</v>
      </c>
      <c r="AX278" s="2" t="s">
        <v>3699</v>
      </c>
      <c r="AY278" s="2" t="s">
        <v>3700</v>
      </c>
      <c r="AZ278" s="2" t="s">
        <v>3700</v>
      </c>
      <c r="BA278" s="2" t="s">
        <v>3701</v>
      </c>
      <c r="BB278" s="2" t="s">
        <v>79</v>
      </c>
      <c r="BD278" s="2" t="s">
        <v>3702</v>
      </c>
      <c r="BE278" s="2" t="s">
        <v>3703</v>
      </c>
      <c r="BF278" s="2" t="s">
        <v>3704</v>
      </c>
    </row>
    <row r="279" spans="1:58" ht="46.5" customHeight="1">
      <c r="A279" s="1"/>
      <c r="B279" s="1" t="s">
        <v>58</v>
      </c>
      <c r="C279" s="1" t="s">
        <v>59</v>
      </c>
      <c r="D279" s="1" t="s">
        <v>3705</v>
      </c>
      <c r="E279" s="1" t="s">
        <v>3706</v>
      </c>
      <c r="F279" s="1" t="s">
        <v>3707</v>
      </c>
      <c r="H279" s="2" t="s">
        <v>63</v>
      </c>
      <c r="I279" s="2" t="s">
        <v>64</v>
      </c>
      <c r="J279" s="2" t="s">
        <v>63</v>
      </c>
      <c r="K279" s="2" t="s">
        <v>63</v>
      </c>
      <c r="L279" s="2" t="s">
        <v>65</v>
      </c>
      <c r="N279" s="1" t="s">
        <v>2044</v>
      </c>
      <c r="O279" s="2" t="s">
        <v>87</v>
      </c>
      <c r="Q279" s="2" t="s">
        <v>70</v>
      </c>
      <c r="R279" s="2" t="s">
        <v>89</v>
      </c>
      <c r="T279" s="2" t="s">
        <v>72</v>
      </c>
      <c r="U279" s="3">
        <v>23</v>
      </c>
      <c r="V279" s="3">
        <v>23</v>
      </c>
      <c r="W279" s="4" t="s">
        <v>3708</v>
      </c>
      <c r="X279" s="4" t="s">
        <v>3708</v>
      </c>
      <c r="Y279" s="4" t="s">
        <v>3709</v>
      </c>
      <c r="Z279" s="4" t="s">
        <v>3709</v>
      </c>
      <c r="AA279" s="3">
        <v>329</v>
      </c>
      <c r="AB279" s="3">
        <v>237</v>
      </c>
      <c r="AC279" s="3">
        <v>244</v>
      </c>
      <c r="AD279" s="3">
        <v>2</v>
      </c>
      <c r="AE279" s="3">
        <v>2</v>
      </c>
      <c r="AF279" s="3">
        <v>13</v>
      </c>
      <c r="AG279" s="3">
        <v>14</v>
      </c>
      <c r="AH279" s="3">
        <v>4</v>
      </c>
      <c r="AI279" s="3">
        <v>5</v>
      </c>
      <c r="AJ279" s="3">
        <v>5</v>
      </c>
      <c r="AK279" s="3">
        <v>5</v>
      </c>
      <c r="AL279" s="3">
        <v>6</v>
      </c>
      <c r="AM279" s="3">
        <v>7</v>
      </c>
      <c r="AN279" s="3">
        <v>1</v>
      </c>
      <c r="AO279" s="3">
        <v>1</v>
      </c>
      <c r="AP279" s="3">
        <v>0</v>
      </c>
      <c r="AQ279" s="3">
        <v>0</v>
      </c>
      <c r="AR279" s="2" t="s">
        <v>63</v>
      </c>
      <c r="AS279" s="2" t="s">
        <v>63</v>
      </c>
      <c r="AU279" s="5" t="str">
        <f>HYPERLINK("https://creighton-primo.hosted.exlibrisgroup.com/primo-explore/search?tab=default_tab&amp;search_scope=EVERYTHING&amp;vid=01CRU&amp;lang=en_US&amp;offset=0&amp;query=any,contains,991001537899702656","Catalog Record")</f>
        <v>Catalog Record</v>
      </c>
      <c r="AV279" s="5" t="str">
        <f>HYPERLINK("http://www.worldcat.org/oclc/15630691","WorldCat Record")</f>
        <v>WorldCat Record</v>
      </c>
      <c r="AW279" s="2" t="s">
        <v>3710</v>
      </c>
      <c r="AX279" s="2" t="s">
        <v>3711</v>
      </c>
      <c r="AY279" s="2" t="s">
        <v>3712</v>
      </c>
      <c r="AZ279" s="2" t="s">
        <v>3712</v>
      </c>
      <c r="BA279" s="2" t="s">
        <v>3713</v>
      </c>
      <c r="BB279" s="2" t="s">
        <v>79</v>
      </c>
      <c r="BD279" s="2" t="s">
        <v>3714</v>
      </c>
      <c r="BE279" s="2" t="s">
        <v>3715</v>
      </c>
      <c r="BF279" s="2" t="s">
        <v>3716</v>
      </c>
    </row>
    <row r="280" spans="1:58" ht="46.5" customHeight="1">
      <c r="A280" s="1"/>
      <c r="B280" s="1" t="s">
        <v>58</v>
      </c>
      <c r="C280" s="1" t="s">
        <v>59</v>
      </c>
      <c r="D280" s="1" t="s">
        <v>3717</v>
      </c>
      <c r="E280" s="1" t="s">
        <v>3718</v>
      </c>
      <c r="F280" s="1" t="s">
        <v>3719</v>
      </c>
      <c r="H280" s="2" t="s">
        <v>63</v>
      </c>
      <c r="I280" s="2" t="s">
        <v>64</v>
      </c>
      <c r="J280" s="2" t="s">
        <v>63</v>
      </c>
      <c r="K280" s="2" t="s">
        <v>92</v>
      </c>
      <c r="L280" s="2" t="s">
        <v>65</v>
      </c>
      <c r="M280" s="1" t="s">
        <v>3720</v>
      </c>
      <c r="N280" s="1" t="s">
        <v>3721</v>
      </c>
      <c r="O280" s="2" t="s">
        <v>407</v>
      </c>
      <c r="P280" s="1" t="s">
        <v>105</v>
      </c>
      <c r="Q280" s="2" t="s">
        <v>70</v>
      </c>
      <c r="R280" s="2" t="s">
        <v>200</v>
      </c>
      <c r="T280" s="2" t="s">
        <v>72</v>
      </c>
      <c r="U280" s="3">
        <v>15</v>
      </c>
      <c r="V280" s="3">
        <v>15</v>
      </c>
      <c r="W280" s="4" t="s">
        <v>3722</v>
      </c>
      <c r="X280" s="4" t="s">
        <v>3722</v>
      </c>
      <c r="Y280" s="4" t="s">
        <v>3723</v>
      </c>
      <c r="Z280" s="4" t="s">
        <v>3723</v>
      </c>
      <c r="AA280" s="3">
        <v>216</v>
      </c>
      <c r="AB280" s="3">
        <v>185</v>
      </c>
      <c r="AC280" s="3">
        <v>1409</v>
      </c>
      <c r="AD280" s="3">
        <v>1</v>
      </c>
      <c r="AE280" s="3">
        <v>12</v>
      </c>
      <c r="AF280" s="3">
        <v>5</v>
      </c>
      <c r="AG280" s="3">
        <v>49</v>
      </c>
      <c r="AH280" s="3">
        <v>2</v>
      </c>
      <c r="AI280" s="3">
        <v>22</v>
      </c>
      <c r="AJ280" s="3">
        <v>0</v>
      </c>
      <c r="AK280" s="3">
        <v>9</v>
      </c>
      <c r="AL280" s="3">
        <v>3</v>
      </c>
      <c r="AM280" s="3">
        <v>20</v>
      </c>
      <c r="AN280" s="3">
        <v>0</v>
      </c>
      <c r="AO280" s="3">
        <v>9</v>
      </c>
      <c r="AP280" s="3">
        <v>0</v>
      </c>
      <c r="AQ280" s="3">
        <v>0</v>
      </c>
      <c r="AR280" s="2" t="s">
        <v>63</v>
      </c>
      <c r="AS280" s="2" t="s">
        <v>92</v>
      </c>
      <c r="AT280" s="5" t="str">
        <f>HYPERLINK("http://catalog.hathitrust.org/Record/001944436","HathiTrust Record")</f>
        <v>HathiTrust Record</v>
      </c>
      <c r="AU280" s="5" t="str">
        <f>HYPERLINK("https://creighton-primo.hosted.exlibrisgroup.com/primo-explore/search?tab=default_tab&amp;search_scope=EVERYTHING&amp;vid=01CRU&amp;lang=en_US&amp;offset=0&amp;query=any,contains,991001356379702656","Catalog Record")</f>
        <v>Catalog Record</v>
      </c>
      <c r="AV280" s="5" t="str">
        <f>HYPERLINK("http://www.worldcat.org/oclc/20261584","WorldCat Record")</f>
        <v>WorldCat Record</v>
      </c>
      <c r="AW280" s="2" t="s">
        <v>3724</v>
      </c>
      <c r="AX280" s="2" t="s">
        <v>3725</v>
      </c>
      <c r="AY280" s="2" t="s">
        <v>3726</v>
      </c>
      <c r="AZ280" s="2" t="s">
        <v>3726</v>
      </c>
      <c r="BA280" s="2" t="s">
        <v>3727</v>
      </c>
      <c r="BB280" s="2" t="s">
        <v>79</v>
      </c>
      <c r="BD280" s="2" t="s">
        <v>3728</v>
      </c>
      <c r="BE280" s="2" t="s">
        <v>3729</v>
      </c>
      <c r="BF280" s="2" t="s">
        <v>3730</v>
      </c>
    </row>
    <row r="281" spans="1:58" ht="46.5" customHeight="1">
      <c r="A281" s="1"/>
      <c r="B281" s="1" t="s">
        <v>58</v>
      </c>
      <c r="C281" s="1" t="s">
        <v>59</v>
      </c>
      <c r="D281" s="1" t="s">
        <v>3731</v>
      </c>
      <c r="E281" s="1" t="s">
        <v>3732</v>
      </c>
      <c r="F281" s="1" t="s">
        <v>3733</v>
      </c>
      <c r="H281" s="2" t="s">
        <v>63</v>
      </c>
      <c r="I281" s="2" t="s">
        <v>64</v>
      </c>
      <c r="J281" s="2" t="s">
        <v>63</v>
      </c>
      <c r="K281" s="2" t="s">
        <v>92</v>
      </c>
      <c r="L281" s="2" t="s">
        <v>64</v>
      </c>
      <c r="M281" s="1" t="s">
        <v>3734</v>
      </c>
      <c r="N281" s="1" t="s">
        <v>2880</v>
      </c>
      <c r="O281" s="2" t="s">
        <v>229</v>
      </c>
      <c r="P281" s="1" t="s">
        <v>259</v>
      </c>
      <c r="Q281" s="2" t="s">
        <v>70</v>
      </c>
      <c r="R281" s="2" t="s">
        <v>1364</v>
      </c>
      <c r="T281" s="2" t="s">
        <v>72</v>
      </c>
      <c r="U281" s="3">
        <v>6</v>
      </c>
      <c r="V281" s="3">
        <v>6</v>
      </c>
      <c r="W281" s="4" t="s">
        <v>3735</v>
      </c>
      <c r="X281" s="4" t="s">
        <v>3735</v>
      </c>
      <c r="Y281" s="4" t="s">
        <v>3736</v>
      </c>
      <c r="Z281" s="4" t="s">
        <v>3736</v>
      </c>
      <c r="AA281" s="3">
        <v>141</v>
      </c>
      <c r="AB281" s="3">
        <v>119</v>
      </c>
      <c r="AC281" s="3">
        <v>602</v>
      </c>
      <c r="AD281" s="3">
        <v>1</v>
      </c>
      <c r="AE281" s="3">
        <v>2</v>
      </c>
      <c r="AF281" s="3">
        <v>2</v>
      </c>
      <c r="AG281" s="3">
        <v>28</v>
      </c>
      <c r="AH281" s="3">
        <v>1</v>
      </c>
      <c r="AI281" s="3">
        <v>12</v>
      </c>
      <c r="AJ281" s="3">
        <v>0</v>
      </c>
      <c r="AK281" s="3">
        <v>5</v>
      </c>
      <c r="AL281" s="3">
        <v>1</v>
      </c>
      <c r="AM281" s="3">
        <v>16</v>
      </c>
      <c r="AN281" s="3">
        <v>0</v>
      </c>
      <c r="AO281" s="3">
        <v>1</v>
      </c>
      <c r="AP281" s="3">
        <v>0</v>
      </c>
      <c r="AQ281" s="3">
        <v>1</v>
      </c>
      <c r="AR281" s="2" t="s">
        <v>63</v>
      </c>
      <c r="AS281" s="2" t="s">
        <v>63</v>
      </c>
      <c r="AU281" s="5" t="str">
        <f>HYPERLINK("https://creighton-primo.hosted.exlibrisgroup.com/primo-explore/search?tab=default_tab&amp;search_scope=EVERYTHING&amp;vid=01CRU&amp;lang=en_US&amp;offset=0&amp;query=any,contains,991001263119702656","Catalog Record")</f>
        <v>Catalog Record</v>
      </c>
      <c r="AV281" s="5" t="str">
        <f>HYPERLINK("http://www.worldcat.org/oclc/34990004","WorldCat Record")</f>
        <v>WorldCat Record</v>
      </c>
      <c r="AW281" s="2" t="s">
        <v>3737</v>
      </c>
      <c r="AX281" s="2" t="s">
        <v>3738</v>
      </c>
      <c r="AY281" s="2" t="s">
        <v>3739</v>
      </c>
      <c r="AZ281" s="2" t="s">
        <v>3739</v>
      </c>
      <c r="BA281" s="2" t="s">
        <v>3740</v>
      </c>
      <c r="BB281" s="2" t="s">
        <v>79</v>
      </c>
      <c r="BD281" s="2" t="s">
        <v>3741</v>
      </c>
      <c r="BE281" s="2" t="s">
        <v>3742</v>
      </c>
      <c r="BF281" s="2" t="s">
        <v>3743</v>
      </c>
    </row>
    <row r="282" spans="1:58" ht="46.5" customHeight="1">
      <c r="A282" s="1"/>
      <c r="B282" s="1" t="s">
        <v>58</v>
      </c>
      <c r="C282" s="1" t="s">
        <v>59</v>
      </c>
      <c r="D282" s="1" t="s">
        <v>3744</v>
      </c>
      <c r="E282" s="1" t="s">
        <v>3745</v>
      </c>
      <c r="F282" s="1" t="s">
        <v>3733</v>
      </c>
      <c r="H282" s="2" t="s">
        <v>63</v>
      </c>
      <c r="I282" s="2" t="s">
        <v>64</v>
      </c>
      <c r="J282" s="2" t="s">
        <v>63</v>
      </c>
      <c r="K282" s="2" t="s">
        <v>92</v>
      </c>
      <c r="L282" s="2" t="s">
        <v>64</v>
      </c>
      <c r="M282" s="1" t="s">
        <v>3734</v>
      </c>
      <c r="N282" s="1" t="s">
        <v>3746</v>
      </c>
      <c r="O282" s="2" t="s">
        <v>440</v>
      </c>
      <c r="P282" s="1" t="s">
        <v>230</v>
      </c>
      <c r="Q282" s="2" t="s">
        <v>70</v>
      </c>
      <c r="R282" s="2" t="s">
        <v>1364</v>
      </c>
      <c r="T282" s="2" t="s">
        <v>72</v>
      </c>
      <c r="U282" s="3">
        <v>2</v>
      </c>
      <c r="V282" s="3">
        <v>2</v>
      </c>
      <c r="W282" s="4" t="s">
        <v>3747</v>
      </c>
      <c r="X282" s="4" t="s">
        <v>3747</v>
      </c>
      <c r="Y282" s="4" t="s">
        <v>3748</v>
      </c>
      <c r="Z282" s="4" t="s">
        <v>3748</v>
      </c>
      <c r="AA282" s="3">
        <v>195</v>
      </c>
      <c r="AB282" s="3">
        <v>163</v>
      </c>
      <c r="AC282" s="3">
        <v>602</v>
      </c>
      <c r="AD282" s="3">
        <v>1</v>
      </c>
      <c r="AE282" s="3">
        <v>2</v>
      </c>
      <c r="AF282" s="3">
        <v>8</v>
      </c>
      <c r="AG282" s="3">
        <v>28</v>
      </c>
      <c r="AH282" s="3">
        <v>4</v>
      </c>
      <c r="AI282" s="3">
        <v>12</v>
      </c>
      <c r="AJ282" s="3">
        <v>0</v>
      </c>
      <c r="AK282" s="3">
        <v>5</v>
      </c>
      <c r="AL282" s="3">
        <v>6</v>
      </c>
      <c r="AM282" s="3">
        <v>16</v>
      </c>
      <c r="AN282" s="3">
        <v>0</v>
      </c>
      <c r="AO282" s="3">
        <v>1</v>
      </c>
      <c r="AP282" s="3">
        <v>0</v>
      </c>
      <c r="AQ282" s="3">
        <v>1</v>
      </c>
      <c r="AR282" s="2" t="s">
        <v>63</v>
      </c>
      <c r="AS282" s="2" t="s">
        <v>92</v>
      </c>
      <c r="AT282" s="5" t="str">
        <f>HYPERLINK("http://catalog.hathitrust.org/Record/004295665","HathiTrust Record")</f>
        <v>HathiTrust Record</v>
      </c>
      <c r="AU282" s="5" t="str">
        <f>HYPERLINK("https://creighton-primo.hosted.exlibrisgroup.com/primo-explore/search?tab=default_tab&amp;search_scope=EVERYTHING&amp;vid=01CRU&amp;lang=en_US&amp;offset=0&amp;query=any,contains,991000369099702656","Catalog Record")</f>
        <v>Catalog Record</v>
      </c>
      <c r="AV282" s="5" t="str">
        <f>HYPERLINK("http://www.worldcat.org/oclc/49512675","WorldCat Record")</f>
        <v>WorldCat Record</v>
      </c>
      <c r="AW282" s="2" t="s">
        <v>3737</v>
      </c>
      <c r="AX282" s="2" t="s">
        <v>3749</v>
      </c>
      <c r="AY282" s="2" t="s">
        <v>3750</v>
      </c>
      <c r="AZ282" s="2" t="s">
        <v>3750</v>
      </c>
      <c r="BA282" s="2" t="s">
        <v>3751</v>
      </c>
      <c r="BB282" s="2" t="s">
        <v>79</v>
      </c>
      <c r="BD282" s="2" t="s">
        <v>3752</v>
      </c>
      <c r="BE282" s="2" t="s">
        <v>3753</v>
      </c>
      <c r="BF282" s="2" t="s">
        <v>3754</v>
      </c>
    </row>
    <row r="283" spans="1:58" ht="46.5" customHeight="1">
      <c r="A283" s="1"/>
      <c r="B283" s="1" t="s">
        <v>58</v>
      </c>
      <c r="C283" s="1" t="s">
        <v>59</v>
      </c>
      <c r="D283" s="1" t="s">
        <v>3755</v>
      </c>
      <c r="E283" s="1" t="s">
        <v>3756</v>
      </c>
      <c r="F283" s="1" t="s">
        <v>3733</v>
      </c>
      <c r="H283" s="2" t="s">
        <v>63</v>
      </c>
      <c r="I283" s="2" t="s">
        <v>64</v>
      </c>
      <c r="J283" s="2" t="s">
        <v>63</v>
      </c>
      <c r="K283" s="2" t="s">
        <v>92</v>
      </c>
      <c r="L283" s="2" t="s">
        <v>64</v>
      </c>
      <c r="M283" s="1" t="s">
        <v>3734</v>
      </c>
      <c r="N283" s="1" t="s">
        <v>3757</v>
      </c>
      <c r="O283" s="2" t="s">
        <v>362</v>
      </c>
      <c r="P283" s="1" t="s">
        <v>105</v>
      </c>
      <c r="Q283" s="2" t="s">
        <v>70</v>
      </c>
      <c r="R283" s="2" t="s">
        <v>1364</v>
      </c>
      <c r="T283" s="2" t="s">
        <v>72</v>
      </c>
      <c r="U283" s="3">
        <v>0</v>
      </c>
      <c r="V283" s="3">
        <v>0</v>
      </c>
      <c r="W283" s="4" t="s">
        <v>3758</v>
      </c>
      <c r="X283" s="4" t="s">
        <v>3758</v>
      </c>
      <c r="Y283" s="4" t="s">
        <v>3759</v>
      </c>
      <c r="Z283" s="4" t="s">
        <v>3759</v>
      </c>
      <c r="AA283" s="3">
        <v>135</v>
      </c>
      <c r="AB283" s="3">
        <v>108</v>
      </c>
      <c r="AC283" s="3">
        <v>602</v>
      </c>
      <c r="AD283" s="3">
        <v>1</v>
      </c>
      <c r="AE283" s="3">
        <v>2</v>
      </c>
      <c r="AF283" s="3">
        <v>4</v>
      </c>
      <c r="AG283" s="3">
        <v>28</v>
      </c>
      <c r="AH283" s="3">
        <v>2</v>
      </c>
      <c r="AI283" s="3">
        <v>12</v>
      </c>
      <c r="AJ283" s="3">
        <v>1</v>
      </c>
      <c r="AK283" s="3">
        <v>5</v>
      </c>
      <c r="AL283" s="3">
        <v>2</v>
      </c>
      <c r="AM283" s="3">
        <v>16</v>
      </c>
      <c r="AN283" s="3">
        <v>0</v>
      </c>
      <c r="AO283" s="3">
        <v>1</v>
      </c>
      <c r="AP283" s="3">
        <v>0</v>
      </c>
      <c r="AQ283" s="3">
        <v>1</v>
      </c>
      <c r="AR283" s="2" t="s">
        <v>63</v>
      </c>
      <c r="AS283" s="2" t="s">
        <v>92</v>
      </c>
      <c r="AT283" s="5" t="str">
        <f>HYPERLINK("http://catalog.hathitrust.org/Record/005029798","HathiTrust Record")</f>
        <v>HathiTrust Record</v>
      </c>
      <c r="AU283" s="5" t="str">
        <f>HYPERLINK("https://creighton-primo.hosted.exlibrisgroup.com/primo-explore/search?tab=default_tab&amp;search_scope=EVERYTHING&amp;vid=01CRU&amp;lang=en_US&amp;offset=0&amp;query=any,contains,991000463229702656","Catalog Record")</f>
        <v>Catalog Record</v>
      </c>
      <c r="AV283" s="5" t="str">
        <f>HYPERLINK("http://www.worldcat.org/oclc/57514997","WorldCat Record")</f>
        <v>WorldCat Record</v>
      </c>
      <c r="AW283" s="2" t="s">
        <v>3737</v>
      </c>
      <c r="AX283" s="2" t="s">
        <v>3760</v>
      </c>
      <c r="AY283" s="2" t="s">
        <v>3761</v>
      </c>
      <c r="AZ283" s="2" t="s">
        <v>3761</v>
      </c>
      <c r="BA283" s="2" t="s">
        <v>3762</v>
      </c>
      <c r="BB283" s="2" t="s">
        <v>79</v>
      </c>
      <c r="BD283" s="2" t="s">
        <v>3763</v>
      </c>
      <c r="BE283" s="2" t="s">
        <v>3764</v>
      </c>
      <c r="BF283" s="2" t="s">
        <v>3765</v>
      </c>
    </row>
    <row r="284" spans="1:58" ht="46.5" customHeight="1">
      <c r="A284" s="1"/>
      <c r="B284" s="1" t="s">
        <v>58</v>
      </c>
      <c r="C284" s="1" t="s">
        <v>59</v>
      </c>
      <c r="D284" s="1" t="s">
        <v>3766</v>
      </c>
      <c r="E284" s="1" t="s">
        <v>3767</v>
      </c>
      <c r="F284" s="1" t="s">
        <v>3768</v>
      </c>
      <c r="H284" s="2" t="s">
        <v>63</v>
      </c>
      <c r="I284" s="2" t="s">
        <v>64</v>
      </c>
      <c r="J284" s="2" t="s">
        <v>63</v>
      </c>
      <c r="K284" s="2" t="s">
        <v>63</v>
      </c>
      <c r="L284" s="2" t="s">
        <v>65</v>
      </c>
      <c r="M284" s="1" t="s">
        <v>648</v>
      </c>
      <c r="N284" s="1" t="s">
        <v>3769</v>
      </c>
      <c r="O284" s="2" t="s">
        <v>172</v>
      </c>
      <c r="P284" s="1" t="s">
        <v>157</v>
      </c>
      <c r="Q284" s="2" t="s">
        <v>70</v>
      </c>
      <c r="R284" s="2" t="s">
        <v>555</v>
      </c>
      <c r="T284" s="2" t="s">
        <v>72</v>
      </c>
      <c r="U284" s="3">
        <v>15</v>
      </c>
      <c r="V284" s="3">
        <v>15</v>
      </c>
      <c r="W284" s="4" t="s">
        <v>3518</v>
      </c>
      <c r="X284" s="4" t="s">
        <v>3518</v>
      </c>
      <c r="Y284" s="4" t="s">
        <v>3770</v>
      </c>
      <c r="Z284" s="4" t="s">
        <v>3770</v>
      </c>
      <c r="AA284" s="3">
        <v>151</v>
      </c>
      <c r="AB284" s="3">
        <v>124</v>
      </c>
      <c r="AC284" s="3">
        <v>205</v>
      </c>
      <c r="AD284" s="3">
        <v>1</v>
      </c>
      <c r="AE284" s="3">
        <v>2</v>
      </c>
      <c r="AF284" s="3">
        <v>9</v>
      </c>
      <c r="AG284" s="3">
        <v>12</v>
      </c>
      <c r="AH284" s="3">
        <v>4</v>
      </c>
      <c r="AI284" s="3">
        <v>5</v>
      </c>
      <c r="AJ284" s="3">
        <v>2</v>
      </c>
      <c r="AK284" s="3">
        <v>2</v>
      </c>
      <c r="AL284" s="3">
        <v>6</v>
      </c>
      <c r="AM284" s="3">
        <v>7</v>
      </c>
      <c r="AN284" s="3">
        <v>0</v>
      </c>
      <c r="AO284" s="3">
        <v>1</v>
      </c>
      <c r="AP284" s="3">
        <v>0</v>
      </c>
      <c r="AQ284" s="3">
        <v>0</v>
      </c>
      <c r="AR284" s="2" t="s">
        <v>63</v>
      </c>
      <c r="AS284" s="2" t="s">
        <v>92</v>
      </c>
      <c r="AT284" s="5" t="str">
        <f>HYPERLINK("http://catalog.hathitrust.org/Record/008513909","HathiTrust Record")</f>
        <v>HathiTrust Record</v>
      </c>
      <c r="AU284" s="5" t="str">
        <f>HYPERLINK("https://creighton-primo.hosted.exlibrisgroup.com/primo-explore/search?tab=default_tab&amp;search_scope=EVERYTHING&amp;vid=01CRU&amp;lang=en_US&amp;offset=0&amp;query=any,contains,991000747989702656","Catalog Record")</f>
        <v>Catalog Record</v>
      </c>
      <c r="AV284" s="5" t="str">
        <f>HYPERLINK("http://www.worldcat.org/oclc/9875221","WorldCat Record")</f>
        <v>WorldCat Record</v>
      </c>
      <c r="AW284" s="2" t="s">
        <v>3771</v>
      </c>
      <c r="AX284" s="2" t="s">
        <v>3772</v>
      </c>
      <c r="AY284" s="2" t="s">
        <v>3773</v>
      </c>
      <c r="AZ284" s="2" t="s">
        <v>3773</v>
      </c>
      <c r="BA284" s="2" t="s">
        <v>3774</v>
      </c>
      <c r="BB284" s="2" t="s">
        <v>79</v>
      </c>
      <c r="BD284" s="2" t="s">
        <v>3775</v>
      </c>
      <c r="BE284" s="2" t="s">
        <v>3776</v>
      </c>
      <c r="BF284" s="2" t="s">
        <v>3777</v>
      </c>
    </row>
    <row r="285" spans="1:58" ht="46.5" customHeight="1">
      <c r="A285" s="1"/>
      <c r="B285" s="1" t="s">
        <v>58</v>
      </c>
      <c r="C285" s="1" t="s">
        <v>59</v>
      </c>
      <c r="D285" s="1" t="s">
        <v>3778</v>
      </c>
      <c r="E285" s="1" t="s">
        <v>3779</v>
      </c>
      <c r="F285" s="1" t="s">
        <v>3780</v>
      </c>
      <c r="H285" s="2" t="s">
        <v>63</v>
      </c>
      <c r="I285" s="2" t="s">
        <v>64</v>
      </c>
      <c r="J285" s="2" t="s">
        <v>63</v>
      </c>
      <c r="K285" s="2" t="s">
        <v>63</v>
      </c>
      <c r="L285" s="2" t="s">
        <v>65</v>
      </c>
      <c r="N285" s="1" t="s">
        <v>3781</v>
      </c>
      <c r="O285" s="2" t="s">
        <v>594</v>
      </c>
      <c r="Q285" s="2" t="s">
        <v>70</v>
      </c>
      <c r="R285" s="2" t="s">
        <v>2284</v>
      </c>
      <c r="T285" s="2" t="s">
        <v>72</v>
      </c>
      <c r="U285" s="3">
        <v>3</v>
      </c>
      <c r="V285" s="3">
        <v>3</v>
      </c>
      <c r="W285" s="4" t="s">
        <v>3782</v>
      </c>
      <c r="X285" s="4" t="s">
        <v>3782</v>
      </c>
      <c r="Y285" s="4" t="s">
        <v>1940</v>
      </c>
      <c r="Z285" s="4" t="s">
        <v>1940</v>
      </c>
      <c r="AA285" s="3">
        <v>101</v>
      </c>
      <c r="AB285" s="3">
        <v>73</v>
      </c>
      <c r="AC285" s="3">
        <v>83</v>
      </c>
      <c r="AD285" s="3">
        <v>1</v>
      </c>
      <c r="AE285" s="3">
        <v>1</v>
      </c>
      <c r="AF285" s="3">
        <v>2</v>
      </c>
      <c r="AG285" s="3">
        <v>2</v>
      </c>
      <c r="AH285" s="3">
        <v>0</v>
      </c>
      <c r="AI285" s="3">
        <v>0</v>
      </c>
      <c r="AJ285" s="3">
        <v>1</v>
      </c>
      <c r="AK285" s="3">
        <v>1</v>
      </c>
      <c r="AL285" s="3">
        <v>1</v>
      </c>
      <c r="AM285" s="3">
        <v>1</v>
      </c>
      <c r="AN285" s="3">
        <v>0</v>
      </c>
      <c r="AO285" s="3">
        <v>0</v>
      </c>
      <c r="AP285" s="3">
        <v>0</v>
      </c>
      <c r="AQ285" s="3">
        <v>0</v>
      </c>
      <c r="AR285" s="2" t="s">
        <v>63</v>
      </c>
      <c r="AS285" s="2" t="s">
        <v>92</v>
      </c>
      <c r="AT285" s="5" t="str">
        <f>HYPERLINK("http://catalog.hathitrust.org/Record/000725100","HathiTrust Record")</f>
        <v>HathiTrust Record</v>
      </c>
      <c r="AU285" s="5" t="str">
        <f>HYPERLINK("https://creighton-primo.hosted.exlibrisgroup.com/primo-explore/search?tab=default_tab&amp;search_scope=EVERYTHING&amp;vid=01CRU&amp;lang=en_US&amp;offset=0&amp;query=any,contains,991000958049702656","Catalog Record")</f>
        <v>Catalog Record</v>
      </c>
      <c r="AV285" s="5" t="str">
        <f>HYPERLINK("http://www.worldcat.org/oclc/2425565","WorldCat Record")</f>
        <v>WorldCat Record</v>
      </c>
      <c r="AW285" s="2" t="s">
        <v>3783</v>
      </c>
      <c r="AX285" s="2" t="s">
        <v>3784</v>
      </c>
      <c r="AY285" s="2" t="s">
        <v>3785</v>
      </c>
      <c r="AZ285" s="2" t="s">
        <v>3785</v>
      </c>
      <c r="BA285" s="2" t="s">
        <v>3786</v>
      </c>
      <c r="BB285" s="2" t="s">
        <v>79</v>
      </c>
      <c r="BE285" s="2" t="s">
        <v>3787</v>
      </c>
      <c r="BF285" s="2" t="s">
        <v>3788</v>
      </c>
    </row>
    <row r="286" spans="1:58" ht="46.5" customHeight="1">
      <c r="A286" s="1"/>
      <c r="B286" s="1" t="s">
        <v>58</v>
      </c>
      <c r="C286" s="1" t="s">
        <v>59</v>
      </c>
      <c r="D286" s="1" t="s">
        <v>3789</v>
      </c>
      <c r="E286" s="1" t="s">
        <v>3790</v>
      </c>
      <c r="F286" s="1" t="s">
        <v>3791</v>
      </c>
      <c r="H286" s="2" t="s">
        <v>63</v>
      </c>
      <c r="I286" s="2" t="s">
        <v>64</v>
      </c>
      <c r="J286" s="2" t="s">
        <v>63</v>
      </c>
      <c r="K286" s="2" t="s">
        <v>63</v>
      </c>
      <c r="L286" s="2" t="s">
        <v>65</v>
      </c>
      <c r="M286" s="1" t="s">
        <v>3792</v>
      </c>
      <c r="N286" s="1" t="s">
        <v>3793</v>
      </c>
      <c r="O286" s="2" t="s">
        <v>1031</v>
      </c>
      <c r="Q286" s="2" t="s">
        <v>70</v>
      </c>
      <c r="R286" s="2" t="s">
        <v>470</v>
      </c>
      <c r="T286" s="2" t="s">
        <v>72</v>
      </c>
      <c r="U286" s="3">
        <v>4</v>
      </c>
      <c r="V286" s="3">
        <v>4</v>
      </c>
      <c r="W286" s="4" t="s">
        <v>3794</v>
      </c>
      <c r="X286" s="4" t="s">
        <v>3794</v>
      </c>
      <c r="Y286" s="4" t="s">
        <v>3387</v>
      </c>
      <c r="Z286" s="4" t="s">
        <v>3387</v>
      </c>
      <c r="AA286" s="3">
        <v>135</v>
      </c>
      <c r="AB286" s="3">
        <v>103</v>
      </c>
      <c r="AC286" s="3">
        <v>103</v>
      </c>
      <c r="AD286" s="3">
        <v>2</v>
      </c>
      <c r="AE286" s="3">
        <v>2</v>
      </c>
      <c r="AF286" s="3">
        <v>4</v>
      </c>
      <c r="AG286" s="3">
        <v>4</v>
      </c>
      <c r="AH286" s="3">
        <v>1</v>
      </c>
      <c r="AI286" s="3">
        <v>1</v>
      </c>
      <c r="AJ286" s="3">
        <v>2</v>
      </c>
      <c r="AK286" s="3">
        <v>2</v>
      </c>
      <c r="AL286" s="3">
        <v>1</v>
      </c>
      <c r="AM286" s="3">
        <v>1</v>
      </c>
      <c r="AN286" s="3">
        <v>1</v>
      </c>
      <c r="AO286" s="3">
        <v>1</v>
      </c>
      <c r="AP286" s="3">
        <v>0</v>
      </c>
      <c r="AQ286" s="3">
        <v>0</v>
      </c>
      <c r="AR286" s="2" t="s">
        <v>63</v>
      </c>
      <c r="AS286" s="2" t="s">
        <v>63</v>
      </c>
      <c r="AU286" s="5" t="str">
        <f>HYPERLINK("https://creighton-primo.hosted.exlibrisgroup.com/primo-explore/search?tab=default_tab&amp;search_scope=EVERYTHING&amp;vid=01CRU&amp;lang=en_US&amp;offset=0&amp;query=any,contains,991000958089702656","Catalog Record")</f>
        <v>Catalog Record</v>
      </c>
      <c r="AV286" s="5" t="str">
        <f>HYPERLINK("http://www.worldcat.org/oclc/2542655","WorldCat Record")</f>
        <v>WorldCat Record</v>
      </c>
      <c r="AW286" s="2" t="s">
        <v>3795</v>
      </c>
      <c r="AX286" s="2" t="s">
        <v>3796</v>
      </c>
      <c r="AY286" s="2" t="s">
        <v>3797</v>
      </c>
      <c r="AZ286" s="2" t="s">
        <v>3797</v>
      </c>
      <c r="BA286" s="2" t="s">
        <v>3798</v>
      </c>
      <c r="BB286" s="2" t="s">
        <v>79</v>
      </c>
      <c r="BD286" s="2" t="s">
        <v>3799</v>
      </c>
      <c r="BE286" s="2" t="s">
        <v>3800</v>
      </c>
      <c r="BF286" s="2" t="s">
        <v>3801</v>
      </c>
    </row>
    <row r="287" spans="1:58" ht="46.5" customHeight="1">
      <c r="A287" s="1"/>
      <c r="B287" s="1" t="s">
        <v>58</v>
      </c>
      <c r="C287" s="1" t="s">
        <v>59</v>
      </c>
      <c r="D287" s="1" t="s">
        <v>3802</v>
      </c>
      <c r="E287" s="1" t="s">
        <v>3803</v>
      </c>
      <c r="F287" s="1" t="s">
        <v>3804</v>
      </c>
      <c r="H287" s="2" t="s">
        <v>63</v>
      </c>
      <c r="I287" s="2" t="s">
        <v>64</v>
      </c>
      <c r="J287" s="2" t="s">
        <v>63</v>
      </c>
      <c r="K287" s="2" t="s">
        <v>92</v>
      </c>
      <c r="L287" s="2" t="s">
        <v>65</v>
      </c>
      <c r="N287" s="1" t="s">
        <v>3805</v>
      </c>
      <c r="O287" s="2" t="s">
        <v>348</v>
      </c>
      <c r="P287" s="1" t="s">
        <v>157</v>
      </c>
      <c r="Q287" s="2" t="s">
        <v>70</v>
      </c>
      <c r="R287" s="2" t="s">
        <v>1364</v>
      </c>
      <c r="T287" s="2" t="s">
        <v>72</v>
      </c>
      <c r="U287" s="3">
        <v>10</v>
      </c>
      <c r="V287" s="3">
        <v>10</v>
      </c>
      <c r="W287" s="4" t="s">
        <v>3806</v>
      </c>
      <c r="X287" s="4" t="s">
        <v>3806</v>
      </c>
      <c r="Y287" s="4" t="s">
        <v>3807</v>
      </c>
      <c r="Z287" s="4" t="s">
        <v>3807</v>
      </c>
      <c r="AA287" s="3">
        <v>274</v>
      </c>
      <c r="AB287" s="3">
        <v>224</v>
      </c>
      <c r="AC287" s="3">
        <v>391</v>
      </c>
      <c r="AD287" s="3">
        <v>2</v>
      </c>
      <c r="AE287" s="3">
        <v>3</v>
      </c>
      <c r="AF287" s="3">
        <v>14</v>
      </c>
      <c r="AG287" s="3">
        <v>18</v>
      </c>
      <c r="AH287" s="3">
        <v>4</v>
      </c>
      <c r="AI287" s="3">
        <v>6</v>
      </c>
      <c r="AJ287" s="3">
        <v>3</v>
      </c>
      <c r="AK287" s="3">
        <v>4</v>
      </c>
      <c r="AL287" s="3">
        <v>9</v>
      </c>
      <c r="AM287" s="3">
        <v>12</v>
      </c>
      <c r="AN287" s="3">
        <v>1</v>
      </c>
      <c r="AO287" s="3">
        <v>1</v>
      </c>
      <c r="AP287" s="3">
        <v>1</v>
      </c>
      <c r="AQ287" s="3">
        <v>1</v>
      </c>
      <c r="AR287" s="2" t="s">
        <v>63</v>
      </c>
      <c r="AS287" s="2" t="s">
        <v>63</v>
      </c>
      <c r="AU287" s="5" t="str">
        <f>HYPERLINK("https://creighton-primo.hosted.exlibrisgroup.com/primo-explore/search?tab=default_tab&amp;search_scope=EVERYTHING&amp;vid=01CRU&amp;lang=en_US&amp;offset=0&amp;query=any,contains,991001412079702656","Catalog Record")</f>
        <v>Catalog Record</v>
      </c>
      <c r="AV287" s="5" t="str">
        <f>HYPERLINK("http://www.worldcat.org/oclc/38249490","WorldCat Record")</f>
        <v>WorldCat Record</v>
      </c>
      <c r="AW287" s="2" t="s">
        <v>3808</v>
      </c>
      <c r="AX287" s="2" t="s">
        <v>3809</v>
      </c>
      <c r="AY287" s="2" t="s">
        <v>3810</v>
      </c>
      <c r="AZ287" s="2" t="s">
        <v>3810</v>
      </c>
      <c r="BA287" s="2" t="s">
        <v>3811</v>
      </c>
      <c r="BB287" s="2" t="s">
        <v>79</v>
      </c>
      <c r="BD287" s="2" t="s">
        <v>3812</v>
      </c>
      <c r="BE287" s="2" t="s">
        <v>3813</v>
      </c>
      <c r="BF287" s="2" t="s">
        <v>3814</v>
      </c>
    </row>
    <row r="288" spans="1:58" ht="46.5" customHeight="1">
      <c r="A288" s="1"/>
      <c r="B288" s="1" t="s">
        <v>58</v>
      </c>
      <c r="C288" s="1" t="s">
        <v>59</v>
      </c>
      <c r="D288" s="1" t="s">
        <v>3815</v>
      </c>
      <c r="E288" s="1" t="s">
        <v>3816</v>
      </c>
      <c r="F288" s="1" t="s">
        <v>3817</v>
      </c>
      <c r="H288" s="2" t="s">
        <v>63</v>
      </c>
      <c r="I288" s="2" t="s">
        <v>64</v>
      </c>
      <c r="J288" s="2" t="s">
        <v>63</v>
      </c>
      <c r="K288" s="2" t="s">
        <v>63</v>
      </c>
      <c r="L288" s="2" t="s">
        <v>273</v>
      </c>
      <c r="N288" s="1" t="s">
        <v>3818</v>
      </c>
      <c r="O288" s="2" t="s">
        <v>484</v>
      </c>
      <c r="P288" s="1" t="s">
        <v>259</v>
      </c>
      <c r="Q288" s="2" t="s">
        <v>70</v>
      </c>
      <c r="R288" s="2" t="s">
        <v>1364</v>
      </c>
      <c r="T288" s="2" t="s">
        <v>72</v>
      </c>
      <c r="U288" s="3">
        <v>3</v>
      </c>
      <c r="V288" s="3">
        <v>3</v>
      </c>
      <c r="W288" s="4" t="s">
        <v>3819</v>
      </c>
      <c r="X288" s="4" t="s">
        <v>3819</v>
      </c>
      <c r="Y288" s="4" t="s">
        <v>3820</v>
      </c>
      <c r="Z288" s="4" t="s">
        <v>3820</v>
      </c>
      <c r="AA288" s="3">
        <v>291</v>
      </c>
      <c r="AB288" s="3">
        <v>239</v>
      </c>
      <c r="AC288" s="3">
        <v>440</v>
      </c>
      <c r="AD288" s="3">
        <v>1</v>
      </c>
      <c r="AE288" s="3">
        <v>2</v>
      </c>
      <c r="AF288" s="3">
        <v>12</v>
      </c>
      <c r="AG288" s="3">
        <v>19</v>
      </c>
      <c r="AH288" s="3">
        <v>7</v>
      </c>
      <c r="AI288" s="3">
        <v>8</v>
      </c>
      <c r="AJ288" s="3">
        <v>3</v>
      </c>
      <c r="AK288" s="3">
        <v>5</v>
      </c>
      <c r="AL288" s="3">
        <v>3</v>
      </c>
      <c r="AM288" s="3">
        <v>8</v>
      </c>
      <c r="AN288" s="3">
        <v>0</v>
      </c>
      <c r="AO288" s="3">
        <v>1</v>
      </c>
      <c r="AP288" s="3">
        <v>0</v>
      </c>
      <c r="AQ288" s="3">
        <v>0</v>
      </c>
      <c r="AR288" s="2" t="s">
        <v>63</v>
      </c>
      <c r="AS288" s="2" t="s">
        <v>63</v>
      </c>
      <c r="AU288" s="5" t="str">
        <f>HYPERLINK("https://creighton-primo.hosted.exlibrisgroup.com/primo-explore/search?tab=default_tab&amp;search_scope=EVERYTHING&amp;vid=01CRU&amp;lang=en_US&amp;offset=0&amp;query=any,contains,991000450179702656","Catalog Record")</f>
        <v>Catalog Record</v>
      </c>
      <c r="AV288" s="5" t="str">
        <f>HYPERLINK("http://www.worldcat.org/oclc/51096022","WorldCat Record")</f>
        <v>WorldCat Record</v>
      </c>
      <c r="AW288" s="2" t="s">
        <v>3821</v>
      </c>
      <c r="AX288" s="2" t="s">
        <v>3822</v>
      </c>
      <c r="AY288" s="2" t="s">
        <v>3823</v>
      </c>
      <c r="AZ288" s="2" t="s">
        <v>3823</v>
      </c>
      <c r="BA288" s="2" t="s">
        <v>3824</v>
      </c>
      <c r="BB288" s="2" t="s">
        <v>79</v>
      </c>
      <c r="BD288" s="2" t="s">
        <v>3825</v>
      </c>
      <c r="BE288" s="2" t="s">
        <v>3826</v>
      </c>
      <c r="BF288" s="2" t="s">
        <v>3827</v>
      </c>
    </row>
    <row r="289" spans="1:58" ht="46.5" customHeight="1">
      <c r="A289" s="1"/>
      <c r="B289" s="1" t="s">
        <v>58</v>
      </c>
      <c r="C289" s="1" t="s">
        <v>59</v>
      </c>
      <c r="D289" s="1" t="s">
        <v>3828</v>
      </c>
      <c r="E289" s="1" t="s">
        <v>3829</v>
      </c>
      <c r="F289" s="1" t="s">
        <v>3830</v>
      </c>
      <c r="H289" s="2" t="s">
        <v>63</v>
      </c>
      <c r="I289" s="2" t="s">
        <v>64</v>
      </c>
      <c r="J289" s="2" t="s">
        <v>63</v>
      </c>
      <c r="K289" s="2" t="s">
        <v>92</v>
      </c>
      <c r="L289" s="2" t="s">
        <v>65</v>
      </c>
      <c r="N289" s="1" t="s">
        <v>3831</v>
      </c>
      <c r="O289" s="2" t="s">
        <v>1296</v>
      </c>
      <c r="P289" s="1" t="s">
        <v>3832</v>
      </c>
      <c r="Q289" s="2" t="s">
        <v>70</v>
      </c>
      <c r="R289" s="2" t="s">
        <v>2509</v>
      </c>
      <c r="T289" s="2" t="s">
        <v>72</v>
      </c>
      <c r="U289" s="3">
        <v>3</v>
      </c>
      <c r="V289" s="3">
        <v>3</v>
      </c>
      <c r="W289" s="4" t="s">
        <v>3806</v>
      </c>
      <c r="X289" s="4" t="s">
        <v>3806</v>
      </c>
      <c r="Y289" s="4" t="s">
        <v>3833</v>
      </c>
      <c r="Z289" s="4" t="s">
        <v>3833</v>
      </c>
      <c r="AA289" s="3">
        <v>48</v>
      </c>
      <c r="AB289" s="3">
        <v>29</v>
      </c>
      <c r="AC289" s="3">
        <v>557</v>
      </c>
      <c r="AD289" s="3">
        <v>1</v>
      </c>
      <c r="AE289" s="3">
        <v>3</v>
      </c>
      <c r="AF289" s="3">
        <v>0</v>
      </c>
      <c r="AG289" s="3">
        <v>20</v>
      </c>
      <c r="AH289" s="3">
        <v>0</v>
      </c>
      <c r="AI289" s="3">
        <v>11</v>
      </c>
      <c r="AJ289" s="3">
        <v>0</v>
      </c>
      <c r="AK289" s="3">
        <v>2</v>
      </c>
      <c r="AL289" s="3">
        <v>0</v>
      </c>
      <c r="AM289" s="3">
        <v>10</v>
      </c>
      <c r="AN289" s="3">
        <v>0</v>
      </c>
      <c r="AO289" s="3">
        <v>2</v>
      </c>
      <c r="AP289" s="3">
        <v>0</v>
      </c>
      <c r="AQ289" s="3">
        <v>0</v>
      </c>
      <c r="AR289" s="2" t="s">
        <v>63</v>
      </c>
      <c r="AS289" s="2" t="s">
        <v>92</v>
      </c>
      <c r="AT289" s="5" t="str">
        <f>HYPERLINK("http://catalog.hathitrust.org/Record/004271576","HathiTrust Record")</f>
        <v>HathiTrust Record</v>
      </c>
      <c r="AU289" s="5" t="str">
        <f>HYPERLINK("https://creighton-primo.hosted.exlibrisgroup.com/primo-explore/search?tab=default_tab&amp;search_scope=EVERYTHING&amp;vid=01CRU&amp;lang=en_US&amp;offset=0&amp;query=any,contains,991000342779702656","Catalog Record")</f>
        <v>Catalog Record</v>
      </c>
      <c r="AV289" s="5" t="str">
        <f>HYPERLINK("http://www.worldcat.org/oclc/50439458","WorldCat Record")</f>
        <v>WorldCat Record</v>
      </c>
      <c r="AW289" s="2" t="s">
        <v>3834</v>
      </c>
      <c r="AX289" s="2" t="s">
        <v>3835</v>
      </c>
      <c r="AY289" s="2" t="s">
        <v>3836</v>
      </c>
      <c r="AZ289" s="2" t="s">
        <v>3836</v>
      </c>
      <c r="BA289" s="2" t="s">
        <v>3837</v>
      </c>
      <c r="BB289" s="2" t="s">
        <v>79</v>
      </c>
      <c r="BD289" s="2" t="s">
        <v>3838</v>
      </c>
      <c r="BE289" s="2" t="s">
        <v>3839</v>
      </c>
      <c r="BF289" s="2" t="s">
        <v>3840</v>
      </c>
    </row>
    <row r="290" spans="1:58" ht="46.5" customHeight="1">
      <c r="A290" s="1"/>
      <c r="B290" s="1" t="s">
        <v>58</v>
      </c>
      <c r="C290" s="1" t="s">
        <v>59</v>
      </c>
      <c r="D290" s="1" t="s">
        <v>3841</v>
      </c>
      <c r="E290" s="1" t="s">
        <v>3842</v>
      </c>
      <c r="F290" s="1" t="s">
        <v>3843</v>
      </c>
      <c r="H290" s="2" t="s">
        <v>63</v>
      </c>
      <c r="I290" s="2" t="s">
        <v>64</v>
      </c>
      <c r="J290" s="2" t="s">
        <v>63</v>
      </c>
      <c r="K290" s="2" t="s">
        <v>63</v>
      </c>
      <c r="L290" s="2" t="s">
        <v>65</v>
      </c>
      <c r="M290" s="1" t="s">
        <v>3844</v>
      </c>
      <c r="N290" s="1" t="s">
        <v>3845</v>
      </c>
      <c r="O290" s="2" t="s">
        <v>229</v>
      </c>
      <c r="P290" s="1" t="s">
        <v>259</v>
      </c>
      <c r="Q290" s="2" t="s">
        <v>70</v>
      </c>
      <c r="R290" s="2" t="s">
        <v>3846</v>
      </c>
      <c r="T290" s="2" t="s">
        <v>72</v>
      </c>
      <c r="U290" s="3">
        <v>5</v>
      </c>
      <c r="V290" s="3">
        <v>5</v>
      </c>
      <c r="W290" s="4" t="s">
        <v>3847</v>
      </c>
      <c r="X290" s="4" t="s">
        <v>3847</v>
      </c>
      <c r="Y290" s="4" t="s">
        <v>3848</v>
      </c>
      <c r="Z290" s="4" t="s">
        <v>3848</v>
      </c>
      <c r="AA290" s="3">
        <v>295</v>
      </c>
      <c r="AB290" s="3">
        <v>271</v>
      </c>
      <c r="AC290" s="3">
        <v>908</v>
      </c>
      <c r="AD290" s="3">
        <v>1</v>
      </c>
      <c r="AE290" s="3">
        <v>7</v>
      </c>
      <c r="AF290" s="3">
        <v>6</v>
      </c>
      <c r="AG290" s="3">
        <v>26</v>
      </c>
      <c r="AH290" s="3">
        <v>2</v>
      </c>
      <c r="AI290" s="3">
        <v>10</v>
      </c>
      <c r="AJ290" s="3">
        <v>1</v>
      </c>
      <c r="AK290" s="3">
        <v>5</v>
      </c>
      <c r="AL290" s="3">
        <v>4</v>
      </c>
      <c r="AM290" s="3">
        <v>12</v>
      </c>
      <c r="AN290" s="3">
        <v>0</v>
      </c>
      <c r="AO290" s="3">
        <v>5</v>
      </c>
      <c r="AP290" s="3">
        <v>0</v>
      </c>
      <c r="AQ290" s="3">
        <v>0</v>
      </c>
      <c r="AR290" s="2" t="s">
        <v>63</v>
      </c>
      <c r="AS290" s="2" t="s">
        <v>92</v>
      </c>
      <c r="AT290" s="5" t="str">
        <f>HYPERLINK("http://catalog.hathitrust.org/Record/003950415","HathiTrust Record")</f>
        <v>HathiTrust Record</v>
      </c>
      <c r="AU290" s="5" t="str">
        <f>HYPERLINK("https://creighton-primo.hosted.exlibrisgroup.com/primo-explore/search?tab=default_tab&amp;search_scope=EVERYTHING&amp;vid=01CRU&amp;lang=en_US&amp;offset=0&amp;query=any,contains,991001571689702656","Catalog Record")</f>
        <v>Catalog Record</v>
      </c>
      <c r="AV290" s="5" t="str">
        <f>HYPERLINK("http://www.worldcat.org/oclc/36662705","WorldCat Record")</f>
        <v>WorldCat Record</v>
      </c>
      <c r="AW290" s="2" t="s">
        <v>3849</v>
      </c>
      <c r="AX290" s="2" t="s">
        <v>3850</v>
      </c>
      <c r="AY290" s="2" t="s">
        <v>3851</v>
      </c>
      <c r="AZ290" s="2" t="s">
        <v>3851</v>
      </c>
      <c r="BA290" s="2" t="s">
        <v>3852</v>
      </c>
      <c r="BB290" s="2" t="s">
        <v>79</v>
      </c>
      <c r="BD290" s="2" t="s">
        <v>3853</v>
      </c>
      <c r="BE290" s="2" t="s">
        <v>3854</v>
      </c>
      <c r="BF290" s="2" t="s">
        <v>3855</v>
      </c>
    </row>
    <row r="291" spans="1:58" ht="46.5" customHeight="1">
      <c r="A291" s="1"/>
      <c r="B291" s="1" t="s">
        <v>58</v>
      </c>
      <c r="C291" s="1" t="s">
        <v>59</v>
      </c>
      <c r="D291" s="1" t="s">
        <v>3856</v>
      </c>
      <c r="E291" s="1" t="s">
        <v>3857</v>
      </c>
      <c r="F291" s="1" t="s">
        <v>3858</v>
      </c>
      <c r="H291" s="2" t="s">
        <v>63</v>
      </c>
      <c r="I291" s="2" t="s">
        <v>64</v>
      </c>
      <c r="J291" s="2" t="s">
        <v>63</v>
      </c>
      <c r="K291" s="2" t="s">
        <v>63</v>
      </c>
      <c r="L291" s="2" t="s">
        <v>64</v>
      </c>
      <c r="M291" s="1" t="s">
        <v>3859</v>
      </c>
      <c r="N291" s="1" t="s">
        <v>3860</v>
      </c>
      <c r="O291" s="2" t="s">
        <v>1268</v>
      </c>
      <c r="P291" s="1" t="s">
        <v>376</v>
      </c>
      <c r="Q291" s="2" t="s">
        <v>70</v>
      </c>
      <c r="R291" s="2" t="s">
        <v>1364</v>
      </c>
      <c r="T291" s="2" t="s">
        <v>72</v>
      </c>
      <c r="U291" s="3">
        <v>1</v>
      </c>
      <c r="V291" s="3">
        <v>1</v>
      </c>
      <c r="W291" s="4" t="s">
        <v>3861</v>
      </c>
      <c r="X291" s="4" t="s">
        <v>3861</v>
      </c>
      <c r="Y291" s="4" t="s">
        <v>3862</v>
      </c>
      <c r="Z291" s="4" t="s">
        <v>3862</v>
      </c>
      <c r="AA291" s="3">
        <v>160</v>
      </c>
      <c r="AB291" s="3">
        <v>110</v>
      </c>
      <c r="AC291" s="3">
        <v>863</v>
      </c>
      <c r="AD291" s="3">
        <v>1</v>
      </c>
      <c r="AE291" s="3">
        <v>13</v>
      </c>
      <c r="AF291" s="3">
        <v>6</v>
      </c>
      <c r="AG291" s="3">
        <v>42</v>
      </c>
      <c r="AH291" s="3">
        <v>4</v>
      </c>
      <c r="AI291" s="3">
        <v>14</v>
      </c>
      <c r="AJ291" s="3">
        <v>0</v>
      </c>
      <c r="AK291" s="3">
        <v>10</v>
      </c>
      <c r="AL291" s="3">
        <v>4</v>
      </c>
      <c r="AM291" s="3">
        <v>13</v>
      </c>
      <c r="AN291" s="3">
        <v>0</v>
      </c>
      <c r="AO291" s="3">
        <v>11</v>
      </c>
      <c r="AP291" s="3">
        <v>0</v>
      </c>
      <c r="AQ291" s="3">
        <v>1</v>
      </c>
      <c r="AR291" s="2" t="s">
        <v>63</v>
      </c>
      <c r="AS291" s="2" t="s">
        <v>63</v>
      </c>
      <c r="AU291" s="5" t="str">
        <f>HYPERLINK("https://creighton-primo.hosted.exlibrisgroup.com/primo-explore/search?tab=default_tab&amp;search_scope=EVERYTHING&amp;vid=01CRU&amp;lang=en_US&amp;offset=0&amp;query=any,contains,991001362799702656","Catalog Record")</f>
        <v>Catalog Record</v>
      </c>
      <c r="AV291" s="5" t="str">
        <f>HYPERLINK("http://www.worldcat.org/oclc/70867055","WorldCat Record")</f>
        <v>WorldCat Record</v>
      </c>
      <c r="AW291" s="2" t="s">
        <v>3863</v>
      </c>
      <c r="AX291" s="2" t="s">
        <v>3864</v>
      </c>
      <c r="AY291" s="2" t="s">
        <v>3865</v>
      </c>
      <c r="AZ291" s="2" t="s">
        <v>3865</v>
      </c>
      <c r="BA291" s="2" t="s">
        <v>3866</v>
      </c>
      <c r="BB291" s="2" t="s">
        <v>79</v>
      </c>
      <c r="BD291" s="2" t="s">
        <v>3867</v>
      </c>
      <c r="BE291" s="2" t="s">
        <v>3868</v>
      </c>
      <c r="BF291" s="2" t="s">
        <v>3869</v>
      </c>
    </row>
    <row r="292" spans="1:58" ht="46.5" customHeight="1">
      <c r="A292" s="1"/>
      <c r="B292" s="1" t="s">
        <v>58</v>
      </c>
      <c r="C292" s="1" t="s">
        <v>59</v>
      </c>
      <c r="D292" s="1" t="s">
        <v>3870</v>
      </c>
      <c r="E292" s="1" t="s">
        <v>3871</v>
      </c>
      <c r="F292" s="1" t="s">
        <v>3576</v>
      </c>
      <c r="H292" s="2" t="s">
        <v>63</v>
      </c>
      <c r="I292" s="2" t="s">
        <v>64</v>
      </c>
      <c r="J292" s="2" t="s">
        <v>63</v>
      </c>
      <c r="K292" s="2" t="s">
        <v>92</v>
      </c>
      <c r="L292" s="2" t="s">
        <v>65</v>
      </c>
      <c r="M292" s="1" t="s">
        <v>3577</v>
      </c>
      <c r="N292" s="1" t="s">
        <v>3872</v>
      </c>
      <c r="O292" s="2" t="s">
        <v>229</v>
      </c>
      <c r="P292" s="1" t="s">
        <v>157</v>
      </c>
      <c r="Q292" s="2" t="s">
        <v>70</v>
      </c>
      <c r="R292" s="2" t="s">
        <v>200</v>
      </c>
      <c r="T292" s="2" t="s">
        <v>72</v>
      </c>
      <c r="U292" s="3">
        <v>12</v>
      </c>
      <c r="V292" s="3">
        <v>12</v>
      </c>
      <c r="W292" s="4" t="s">
        <v>3722</v>
      </c>
      <c r="X292" s="4" t="s">
        <v>3722</v>
      </c>
      <c r="Y292" s="4" t="s">
        <v>3873</v>
      </c>
      <c r="Z292" s="4" t="s">
        <v>3873</v>
      </c>
      <c r="AA292" s="3">
        <v>211</v>
      </c>
      <c r="AB292" s="3">
        <v>178</v>
      </c>
      <c r="AC292" s="3">
        <v>535</v>
      </c>
      <c r="AD292" s="3">
        <v>1</v>
      </c>
      <c r="AE292" s="3">
        <v>2</v>
      </c>
      <c r="AF292" s="3">
        <v>5</v>
      </c>
      <c r="AG292" s="3">
        <v>22</v>
      </c>
      <c r="AH292" s="3">
        <v>1</v>
      </c>
      <c r="AI292" s="3">
        <v>12</v>
      </c>
      <c r="AJ292" s="3">
        <v>2</v>
      </c>
      <c r="AK292" s="3">
        <v>4</v>
      </c>
      <c r="AL292" s="3">
        <v>3</v>
      </c>
      <c r="AM292" s="3">
        <v>12</v>
      </c>
      <c r="AN292" s="3">
        <v>0</v>
      </c>
      <c r="AO292" s="3">
        <v>0</v>
      </c>
      <c r="AP292" s="3">
        <v>0</v>
      </c>
      <c r="AQ292" s="3">
        <v>0</v>
      </c>
      <c r="AR292" s="2" t="s">
        <v>63</v>
      </c>
      <c r="AS292" s="2" t="s">
        <v>92</v>
      </c>
      <c r="AT292" s="5" t="str">
        <f>HYPERLINK("http://catalog.hathitrust.org/Record/003110346","HathiTrust Record")</f>
        <v>HathiTrust Record</v>
      </c>
      <c r="AU292" s="5" t="str">
        <f>HYPERLINK("https://creighton-primo.hosted.exlibrisgroup.com/primo-explore/search?tab=default_tab&amp;search_scope=EVERYTHING&amp;vid=01CRU&amp;lang=en_US&amp;offset=0&amp;query=any,contains,991001558779702656","Catalog Record")</f>
        <v>Catalog Record</v>
      </c>
      <c r="AV292" s="5" t="str">
        <f>HYPERLINK("http://www.worldcat.org/oclc/34283728","WorldCat Record")</f>
        <v>WorldCat Record</v>
      </c>
      <c r="AW292" s="2" t="s">
        <v>3580</v>
      </c>
      <c r="AX292" s="2" t="s">
        <v>3874</v>
      </c>
      <c r="AY292" s="2" t="s">
        <v>3875</v>
      </c>
      <c r="AZ292" s="2" t="s">
        <v>3875</v>
      </c>
      <c r="BA292" s="2" t="s">
        <v>3876</v>
      </c>
      <c r="BB292" s="2" t="s">
        <v>79</v>
      </c>
      <c r="BD292" s="2" t="s">
        <v>3877</v>
      </c>
      <c r="BE292" s="2" t="s">
        <v>3878</v>
      </c>
      <c r="BF292" s="2" t="s">
        <v>3879</v>
      </c>
    </row>
    <row r="293" spans="1:58" ht="46.5" customHeight="1">
      <c r="A293" s="1"/>
      <c r="B293" s="1" t="s">
        <v>58</v>
      </c>
      <c r="C293" s="1" t="s">
        <v>59</v>
      </c>
      <c r="D293" s="1" t="s">
        <v>3880</v>
      </c>
      <c r="E293" s="1" t="s">
        <v>3881</v>
      </c>
      <c r="F293" s="1" t="s">
        <v>3882</v>
      </c>
      <c r="H293" s="2" t="s">
        <v>63</v>
      </c>
      <c r="I293" s="2" t="s">
        <v>64</v>
      </c>
      <c r="J293" s="2" t="s">
        <v>63</v>
      </c>
      <c r="K293" s="2" t="s">
        <v>63</v>
      </c>
      <c r="L293" s="2" t="s">
        <v>65</v>
      </c>
      <c r="M293" s="1" t="s">
        <v>3883</v>
      </c>
      <c r="N293" s="1" t="s">
        <v>3884</v>
      </c>
      <c r="O293" s="2" t="s">
        <v>145</v>
      </c>
      <c r="Q293" s="2" t="s">
        <v>70</v>
      </c>
      <c r="R293" s="2" t="s">
        <v>277</v>
      </c>
      <c r="T293" s="2" t="s">
        <v>72</v>
      </c>
      <c r="U293" s="3">
        <v>7</v>
      </c>
      <c r="V293" s="3">
        <v>7</v>
      </c>
      <c r="W293" s="4" t="s">
        <v>3885</v>
      </c>
      <c r="X293" s="4" t="s">
        <v>3885</v>
      </c>
      <c r="Y293" s="4" t="s">
        <v>3886</v>
      </c>
      <c r="Z293" s="4" t="s">
        <v>3886</v>
      </c>
      <c r="AA293" s="3">
        <v>95</v>
      </c>
      <c r="AB293" s="3">
        <v>83</v>
      </c>
      <c r="AC293" s="3">
        <v>91</v>
      </c>
      <c r="AD293" s="3">
        <v>1</v>
      </c>
      <c r="AE293" s="3">
        <v>1</v>
      </c>
      <c r="AF293" s="3">
        <v>2</v>
      </c>
      <c r="AG293" s="3">
        <v>3</v>
      </c>
      <c r="AH293" s="3">
        <v>0</v>
      </c>
      <c r="AI293" s="3">
        <v>1</v>
      </c>
      <c r="AJ293" s="3">
        <v>1</v>
      </c>
      <c r="AK293" s="3">
        <v>1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2" t="s">
        <v>63</v>
      </c>
      <c r="AS293" s="2" t="s">
        <v>92</v>
      </c>
      <c r="AT293" s="5" t="str">
        <f>HYPERLINK("http://catalog.hathitrust.org/Record/003101882","HathiTrust Record")</f>
        <v>HathiTrust Record</v>
      </c>
      <c r="AU293" s="5" t="str">
        <f>HYPERLINK("https://creighton-primo.hosted.exlibrisgroup.com/primo-explore/search?tab=default_tab&amp;search_scope=EVERYTHING&amp;vid=01CRU&amp;lang=en_US&amp;offset=0&amp;query=any,contains,991000853149702656","Catalog Record")</f>
        <v>Catalog Record</v>
      </c>
      <c r="AV293" s="5" t="str">
        <f>HYPERLINK("http://www.worldcat.org/oclc/32205567","WorldCat Record")</f>
        <v>WorldCat Record</v>
      </c>
      <c r="AW293" s="2" t="s">
        <v>3887</v>
      </c>
      <c r="AX293" s="2" t="s">
        <v>3888</v>
      </c>
      <c r="AY293" s="2" t="s">
        <v>3889</v>
      </c>
      <c r="AZ293" s="2" t="s">
        <v>3889</v>
      </c>
      <c r="BA293" s="2" t="s">
        <v>3890</v>
      </c>
      <c r="BB293" s="2" t="s">
        <v>79</v>
      </c>
      <c r="BD293" s="2" t="s">
        <v>3891</v>
      </c>
      <c r="BE293" s="2" t="s">
        <v>3892</v>
      </c>
      <c r="BF293" s="2" t="s">
        <v>3893</v>
      </c>
    </row>
    <row r="294" spans="1:58" ht="46.5" customHeight="1">
      <c r="A294" s="1"/>
      <c r="B294" s="1" t="s">
        <v>58</v>
      </c>
      <c r="C294" s="1" t="s">
        <v>59</v>
      </c>
      <c r="D294" s="1" t="s">
        <v>3894</v>
      </c>
      <c r="E294" s="1" t="s">
        <v>3895</v>
      </c>
      <c r="F294" s="1" t="s">
        <v>3896</v>
      </c>
      <c r="H294" s="2" t="s">
        <v>63</v>
      </c>
      <c r="I294" s="2" t="s">
        <v>64</v>
      </c>
      <c r="J294" s="2" t="s">
        <v>63</v>
      </c>
      <c r="K294" s="2" t="s">
        <v>63</v>
      </c>
      <c r="L294" s="2" t="s">
        <v>65</v>
      </c>
      <c r="N294" s="1" t="s">
        <v>3897</v>
      </c>
      <c r="O294" s="2" t="s">
        <v>1296</v>
      </c>
      <c r="Q294" s="2" t="s">
        <v>70</v>
      </c>
      <c r="R294" s="2" t="s">
        <v>277</v>
      </c>
      <c r="T294" s="2" t="s">
        <v>72</v>
      </c>
      <c r="U294" s="3">
        <v>7</v>
      </c>
      <c r="V294" s="3">
        <v>7</v>
      </c>
      <c r="W294" s="4" t="s">
        <v>3898</v>
      </c>
      <c r="X294" s="4" t="s">
        <v>3898</v>
      </c>
      <c r="Y294" s="4" t="s">
        <v>3899</v>
      </c>
      <c r="Z294" s="4" t="s">
        <v>3899</v>
      </c>
      <c r="AA294" s="3">
        <v>369</v>
      </c>
      <c r="AB294" s="3">
        <v>307</v>
      </c>
      <c r="AC294" s="3">
        <v>334</v>
      </c>
      <c r="AD294" s="3">
        <v>3</v>
      </c>
      <c r="AE294" s="3">
        <v>3</v>
      </c>
      <c r="AF294" s="3">
        <v>20</v>
      </c>
      <c r="AG294" s="3">
        <v>20</v>
      </c>
      <c r="AH294" s="3">
        <v>8</v>
      </c>
      <c r="AI294" s="3">
        <v>8</v>
      </c>
      <c r="AJ294" s="3">
        <v>7</v>
      </c>
      <c r="AK294" s="3">
        <v>7</v>
      </c>
      <c r="AL294" s="3">
        <v>8</v>
      </c>
      <c r="AM294" s="3">
        <v>8</v>
      </c>
      <c r="AN294" s="3">
        <v>1</v>
      </c>
      <c r="AO294" s="3">
        <v>1</v>
      </c>
      <c r="AP294" s="3">
        <v>1</v>
      </c>
      <c r="AQ294" s="3">
        <v>1</v>
      </c>
      <c r="AR294" s="2" t="s">
        <v>63</v>
      </c>
      <c r="AS294" s="2" t="s">
        <v>92</v>
      </c>
      <c r="AT294" s="5" t="str">
        <f>HYPERLINK("http://catalog.hathitrust.org/Record/004270230","HathiTrust Record")</f>
        <v>HathiTrust Record</v>
      </c>
      <c r="AU294" s="5" t="str">
        <f>HYPERLINK("https://creighton-primo.hosted.exlibrisgroup.com/primo-explore/search?tab=default_tab&amp;search_scope=EVERYTHING&amp;vid=01CRU&amp;lang=en_US&amp;offset=0&amp;query=any,contains,991000392689702656","Catalog Record")</f>
        <v>Catalog Record</v>
      </c>
      <c r="AV294" s="5" t="str">
        <f>HYPERLINK("http://www.worldcat.org/oclc/47049973","WorldCat Record")</f>
        <v>WorldCat Record</v>
      </c>
      <c r="AW294" s="2" t="s">
        <v>3900</v>
      </c>
      <c r="AX294" s="2" t="s">
        <v>3901</v>
      </c>
      <c r="AY294" s="2" t="s">
        <v>3902</v>
      </c>
      <c r="AZ294" s="2" t="s">
        <v>3902</v>
      </c>
      <c r="BA294" s="2" t="s">
        <v>3903</v>
      </c>
      <c r="BB294" s="2" t="s">
        <v>79</v>
      </c>
      <c r="BD294" s="2" t="s">
        <v>3904</v>
      </c>
      <c r="BE294" s="2" t="s">
        <v>3905</v>
      </c>
      <c r="BF294" s="2" t="s">
        <v>3906</v>
      </c>
    </row>
    <row r="295" spans="1:58" ht="46.5" customHeight="1">
      <c r="A295" s="1"/>
      <c r="B295" s="1" t="s">
        <v>58</v>
      </c>
      <c r="C295" s="1" t="s">
        <v>59</v>
      </c>
      <c r="D295" s="1" t="s">
        <v>3907</v>
      </c>
      <c r="E295" s="1" t="s">
        <v>3908</v>
      </c>
      <c r="F295" s="1" t="s">
        <v>3909</v>
      </c>
      <c r="H295" s="2" t="s">
        <v>63</v>
      </c>
      <c r="I295" s="2" t="s">
        <v>64</v>
      </c>
      <c r="J295" s="2" t="s">
        <v>63</v>
      </c>
      <c r="K295" s="2" t="s">
        <v>63</v>
      </c>
      <c r="L295" s="2" t="s">
        <v>65</v>
      </c>
      <c r="M295" s="1" t="s">
        <v>3910</v>
      </c>
      <c r="N295" s="1" t="s">
        <v>3911</v>
      </c>
      <c r="O295" s="2" t="s">
        <v>3912</v>
      </c>
      <c r="Q295" s="2" t="s">
        <v>70</v>
      </c>
      <c r="R295" s="2" t="s">
        <v>277</v>
      </c>
      <c r="T295" s="2" t="s">
        <v>72</v>
      </c>
      <c r="U295" s="3">
        <v>2</v>
      </c>
      <c r="V295" s="3">
        <v>2</v>
      </c>
      <c r="W295" s="4" t="s">
        <v>3913</v>
      </c>
      <c r="X295" s="4" t="s">
        <v>3913</v>
      </c>
      <c r="Y295" s="4" t="s">
        <v>3914</v>
      </c>
      <c r="Z295" s="4" t="s">
        <v>3914</v>
      </c>
      <c r="AA295" s="3">
        <v>124</v>
      </c>
      <c r="AB295" s="3">
        <v>107</v>
      </c>
      <c r="AC295" s="3">
        <v>109</v>
      </c>
      <c r="AD295" s="3">
        <v>1</v>
      </c>
      <c r="AE295" s="3">
        <v>1</v>
      </c>
      <c r="AF295" s="3">
        <v>4</v>
      </c>
      <c r="AG295" s="3">
        <v>4</v>
      </c>
      <c r="AH295" s="3">
        <v>0</v>
      </c>
      <c r="AI295" s="3">
        <v>0</v>
      </c>
      <c r="AJ295" s="3">
        <v>2</v>
      </c>
      <c r="AK295" s="3">
        <v>2</v>
      </c>
      <c r="AL295" s="3">
        <v>3</v>
      </c>
      <c r="AM295" s="3">
        <v>3</v>
      </c>
      <c r="AN295" s="3">
        <v>0</v>
      </c>
      <c r="AO295" s="3">
        <v>0</v>
      </c>
      <c r="AP295" s="3">
        <v>0</v>
      </c>
      <c r="AQ295" s="3">
        <v>0</v>
      </c>
      <c r="AR295" s="2" t="s">
        <v>63</v>
      </c>
      <c r="AS295" s="2" t="s">
        <v>63</v>
      </c>
      <c r="AT295" s="5" t="str">
        <f>HYPERLINK("http://catalog.hathitrust.org/Record/001564600","HathiTrust Record")</f>
        <v>HathiTrust Record</v>
      </c>
      <c r="AU295" s="5" t="str">
        <f>HYPERLINK("https://creighton-primo.hosted.exlibrisgroup.com/primo-explore/search?tab=default_tab&amp;search_scope=EVERYTHING&amp;vid=01CRU&amp;lang=en_US&amp;offset=0&amp;query=any,contains,991000958169702656","Catalog Record")</f>
        <v>Catalog Record</v>
      </c>
      <c r="AV295" s="5" t="str">
        <f>HYPERLINK("http://www.worldcat.org/oclc/522421","WorldCat Record")</f>
        <v>WorldCat Record</v>
      </c>
      <c r="AW295" s="2" t="s">
        <v>3915</v>
      </c>
      <c r="AX295" s="2" t="s">
        <v>3916</v>
      </c>
      <c r="AY295" s="2" t="s">
        <v>3917</v>
      </c>
      <c r="AZ295" s="2" t="s">
        <v>3917</v>
      </c>
      <c r="BA295" s="2" t="s">
        <v>3918</v>
      </c>
      <c r="BB295" s="2" t="s">
        <v>79</v>
      </c>
      <c r="BE295" s="2" t="s">
        <v>3919</v>
      </c>
      <c r="BF295" s="2" t="s">
        <v>3920</v>
      </c>
    </row>
    <row r="296" spans="1:58" ht="46.5" customHeight="1">
      <c r="A296" s="1"/>
      <c r="B296" s="1" t="s">
        <v>58</v>
      </c>
      <c r="C296" s="1" t="s">
        <v>59</v>
      </c>
      <c r="D296" s="1" t="s">
        <v>3921</v>
      </c>
      <c r="E296" s="1" t="s">
        <v>3922</v>
      </c>
      <c r="F296" s="1" t="s">
        <v>3923</v>
      </c>
      <c r="H296" s="2" t="s">
        <v>63</v>
      </c>
      <c r="I296" s="2" t="s">
        <v>64</v>
      </c>
      <c r="J296" s="2" t="s">
        <v>63</v>
      </c>
      <c r="K296" s="2" t="s">
        <v>63</v>
      </c>
      <c r="L296" s="2" t="s">
        <v>65</v>
      </c>
      <c r="N296" s="1" t="s">
        <v>3924</v>
      </c>
      <c r="O296" s="2" t="s">
        <v>215</v>
      </c>
      <c r="Q296" s="2" t="s">
        <v>70</v>
      </c>
      <c r="R296" s="2" t="s">
        <v>89</v>
      </c>
      <c r="S296" s="1" t="s">
        <v>3925</v>
      </c>
      <c r="T296" s="2" t="s">
        <v>72</v>
      </c>
      <c r="U296" s="3">
        <v>19</v>
      </c>
      <c r="V296" s="3">
        <v>19</v>
      </c>
      <c r="W296" s="4" t="s">
        <v>3926</v>
      </c>
      <c r="X296" s="4" t="s">
        <v>3926</v>
      </c>
      <c r="Y296" s="4" t="s">
        <v>3387</v>
      </c>
      <c r="Z296" s="4" t="s">
        <v>3387</v>
      </c>
      <c r="AA296" s="3">
        <v>180</v>
      </c>
      <c r="AB296" s="3">
        <v>139</v>
      </c>
      <c r="AC296" s="3">
        <v>142</v>
      </c>
      <c r="AD296" s="3">
        <v>2</v>
      </c>
      <c r="AE296" s="3">
        <v>2</v>
      </c>
      <c r="AF296" s="3">
        <v>4</v>
      </c>
      <c r="AG296" s="3">
        <v>5</v>
      </c>
      <c r="AH296" s="3">
        <v>1</v>
      </c>
      <c r="AI296" s="3">
        <v>2</v>
      </c>
      <c r="AJ296" s="3">
        <v>2</v>
      </c>
      <c r="AK296" s="3">
        <v>2</v>
      </c>
      <c r="AL296" s="3">
        <v>2</v>
      </c>
      <c r="AM296" s="3">
        <v>3</v>
      </c>
      <c r="AN296" s="3">
        <v>1</v>
      </c>
      <c r="AO296" s="3">
        <v>1</v>
      </c>
      <c r="AP296" s="3">
        <v>0</v>
      </c>
      <c r="AQ296" s="3">
        <v>0</v>
      </c>
      <c r="AR296" s="2" t="s">
        <v>63</v>
      </c>
      <c r="AS296" s="2" t="s">
        <v>92</v>
      </c>
      <c r="AT296" s="5" t="str">
        <f>HYPERLINK("http://catalog.hathitrust.org/Record/000119913","HathiTrust Record")</f>
        <v>HathiTrust Record</v>
      </c>
      <c r="AU296" s="5" t="str">
        <f>HYPERLINK("https://creighton-primo.hosted.exlibrisgroup.com/primo-explore/search?tab=default_tab&amp;search_scope=EVERYTHING&amp;vid=01CRU&amp;lang=en_US&amp;offset=0&amp;query=any,contains,991000958129702656","Catalog Record")</f>
        <v>Catalog Record</v>
      </c>
      <c r="AV296" s="5" t="str">
        <f>HYPERLINK("http://www.worldcat.org/oclc/10324237","WorldCat Record")</f>
        <v>WorldCat Record</v>
      </c>
      <c r="AW296" s="2" t="s">
        <v>3927</v>
      </c>
      <c r="AX296" s="2" t="s">
        <v>3928</v>
      </c>
      <c r="AY296" s="2" t="s">
        <v>3929</v>
      </c>
      <c r="AZ296" s="2" t="s">
        <v>3929</v>
      </c>
      <c r="BA296" s="2" t="s">
        <v>3930</v>
      </c>
      <c r="BB296" s="2" t="s">
        <v>79</v>
      </c>
      <c r="BD296" s="2" t="s">
        <v>3931</v>
      </c>
      <c r="BE296" s="2" t="s">
        <v>3932</v>
      </c>
      <c r="BF296" s="2" t="s">
        <v>3933</v>
      </c>
    </row>
    <row r="297" spans="1:58" ht="46.5" customHeight="1">
      <c r="A297" s="1"/>
      <c r="B297" s="1" t="s">
        <v>58</v>
      </c>
      <c r="C297" s="1" t="s">
        <v>59</v>
      </c>
      <c r="D297" s="1" t="s">
        <v>3934</v>
      </c>
      <c r="E297" s="1" t="s">
        <v>3935</v>
      </c>
      <c r="F297" s="1" t="s">
        <v>3936</v>
      </c>
      <c r="H297" s="2" t="s">
        <v>63</v>
      </c>
      <c r="I297" s="2" t="s">
        <v>64</v>
      </c>
      <c r="J297" s="2" t="s">
        <v>63</v>
      </c>
      <c r="K297" s="2" t="s">
        <v>63</v>
      </c>
      <c r="L297" s="2" t="s">
        <v>65</v>
      </c>
      <c r="M297" s="1" t="s">
        <v>3937</v>
      </c>
      <c r="N297" s="1" t="s">
        <v>3938</v>
      </c>
      <c r="O297" s="2" t="s">
        <v>215</v>
      </c>
      <c r="Q297" s="2" t="s">
        <v>70</v>
      </c>
      <c r="R297" s="2" t="s">
        <v>1071</v>
      </c>
      <c r="T297" s="2" t="s">
        <v>72</v>
      </c>
      <c r="U297" s="3">
        <v>13</v>
      </c>
      <c r="V297" s="3">
        <v>13</v>
      </c>
      <c r="W297" s="4" t="s">
        <v>3898</v>
      </c>
      <c r="X297" s="4" t="s">
        <v>3898</v>
      </c>
      <c r="Y297" s="4" t="s">
        <v>3387</v>
      </c>
      <c r="Z297" s="4" t="s">
        <v>3387</v>
      </c>
      <c r="AA297" s="3">
        <v>236</v>
      </c>
      <c r="AB297" s="3">
        <v>185</v>
      </c>
      <c r="AC297" s="3">
        <v>189</v>
      </c>
      <c r="AD297" s="3">
        <v>2</v>
      </c>
      <c r="AE297" s="3">
        <v>2</v>
      </c>
      <c r="AF297" s="3">
        <v>6</v>
      </c>
      <c r="AG297" s="3">
        <v>6</v>
      </c>
      <c r="AH297" s="3">
        <v>2</v>
      </c>
      <c r="AI297" s="3">
        <v>2</v>
      </c>
      <c r="AJ297" s="3">
        <v>2</v>
      </c>
      <c r="AK297" s="3">
        <v>2</v>
      </c>
      <c r="AL297" s="3">
        <v>4</v>
      </c>
      <c r="AM297" s="3">
        <v>4</v>
      </c>
      <c r="AN297" s="3">
        <v>1</v>
      </c>
      <c r="AO297" s="3">
        <v>1</v>
      </c>
      <c r="AP297" s="3">
        <v>0</v>
      </c>
      <c r="AQ297" s="3">
        <v>0</v>
      </c>
      <c r="AR297" s="2" t="s">
        <v>63</v>
      </c>
      <c r="AS297" s="2" t="s">
        <v>92</v>
      </c>
      <c r="AT297" s="5" t="str">
        <f>HYPERLINK("http://catalog.hathitrust.org/Record/000166420","HathiTrust Record")</f>
        <v>HathiTrust Record</v>
      </c>
      <c r="AU297" s="5" t="str">
        <f>HYPERLINK("https://creighton-primo.hosted.exlibrisgroup.com/primo-explore/search?tab=default_tab&amp;search_scope=EVERYTHING&amp;vid=01CRU&amp;lang=en_US&amp;offset=0&amp;query=any,contains,991000958209702656","Catalog Record")</f>
        <v>Catalog Record</v>
      </c>
      <c r="AV297" s="5" t="str">
        <f>HYPERLINK("http://www.worldcat.org/oclc/10876194","WorldCat Record")</f>
        <v>WorldCat Record</v>
      </c>
      <c r="AW297" s="2" t="s">
        <v>3939</v>
      </c>
      <c r="AX297" s="2" t="s">
        <v>3940</v>
      </c>
      <c r="AY297" s="2" t="s">
        <v>3941</v>
      </c>
      <c r="AZ297" s="2" t="s">
        <v>3941</v>
      </c>
      <c r="BA297" s="2" t="s">
        <v>3942</v>
      </c>
      <c r="BB297" s="2" t="s">
        <v>79</v>
      </c>
      <c r="BD297" s="2" t="s">
        <v>3943</v>
      </c>
      <c r="BE297" s="2" t="s">
        <v>3944</v>
      </c>
      <c r="BF297" s="2" t="s">
        <v>3945</v>
      </c>
    </row>
    <row r="298" spans="1:58" ht="46.5" customHeight="1">
      <c r="A298" s="1"/>
      <c r="B298" s="1" t="s">
        <v>58</v>
      </c>
      <c r="C298" s="1" t="s">
        <v>59</v>
      </c>
      <c r="D298" s="1" t="s">
        <v>3946</v>
      </c>
      <c r="E298" s="1" t="s">
        <v>3947</v>
      </c>
      <c r="F298" s="1" t="s">
        <v>3948</v>
      </c>
      <c r="H298" s="2" t="s">
        <v>63</v>
      </c>
      <c r="I298" s="2" t="s">
        <v>64</v>
      </c>
      <c r="J298" s="2" t="s">
        <v>63</v>
      </c>
      <c r="K298" s="2" t="s">
        <v>63</v>
      </c>
      <c r="L298" s="2" t="s">
        <v>65</v>
      </c>
      <c r="N298" s="1" t="s">
        <v>3949</v>
      </c>
      <c r="O298" s="2" t="s">
        <v>104</v>
      </c>
      <c r="Q298" s="2" t="s">
        <v>70</v>
      </c>
      <c r="R298" s="2" t="s">
        <v>424</v>
      </c>
      <c r="S298" s="1" t="s">
        <v>3950</v>
      </c>
      <c r="T298" s="2" t="s">
        <v>72</v>
      </c>
      <c r="U298" s="3">
        <v>5</v>
      </c>
      <c r="V298" s="3">
        <v>5</v>
      </c>
      <c r="W298" s="4" t="s">
        <v>3951</v>
      </c>
      <c r="X298" s="4" t="s">
        <v>3951</v>
      </c>
      <c r="Y298" s="4" t="s">
        <v>3387</v>
      </c>
      <c r="Z298" s="4" t="s">
        <v>3387</v>
      </c>
      <c r="AA298" s="3">
        <v>130</v>
      </c>
      <c r="AB298" s="3">
        <v>90</v>
      </c>
      <c r="AC298" s="3">
        <v>92</v>
      </c>
      <c r="AD298" s="3">
        <v>1</v>
      </c>
      <c r="AE298" s="3">
        <v>1</v>
      </c>
      <c r="AF298" s="3">
        <v>1</v>
      </c>
      <c r="AG298" s="3">
        <v>1</v>
      </c>
      <c r="AH298" s="3">
        <v>0</v>
      </c>
      <c r="AI298" s="3">
        <v>0</v>
      </c>
      <c r="AJ298" s="3">
        <v>0</v>
      </c>
      <c r="AK298" s="3">
        <v>0</v>
      </c>
      <c r="AL298" s="3">
        <v>1</v>
      </c>
      <c r="AM298" s="3">
        <v>1</v>
      </c>
      <c r="AN298" s="3">
        <v>0</v>
      </c>
      <c r="AO298" s="3">
        <v>0</v>
      </c>
      <c r="AP298" s="3">
        <v>0</v>
      </c>
      <c r="AQ298" s="3">
        <v>0</v>
      </c>
      <c r="AR298" s="2" t="s">
        <v>63</v>
      </c>
      <c r="AS298" s="2" t="s">
        <v>92</v>
      </c>
      <c r="AT298" s="5" t="str">
        <f>HYPERLINK("http://catalog.hathitrust.org/Record/000352179","HathiTrust Record")</f>
        <v>HathiTrust Record</v>
      </c>
      <c r="AU298" s="5" t="str">
        <f>HYPERLINK("https://creighton-primo.hosted.exlibrisgroup.com/primo-explore/search?tab=default_tab&amp;search_scope=EVERYTHING&amp;vid=01CRU&amp;lang=en_US&amp;offset=0&amp;query=any,contains,991000958249702656","Catalog Record")</f>
        <v>Catalog Record</v>
      </c>
      <c r="AV298" s="5" t="str">
        <f>HYPERLINK("http://www.worldcat.org/oclc/11550436","WorldCat Record")</f>
        <v>WorldCat Record</v>
      </c>
      <c r="AW298" s="2" t="s">
        <v>3952</v>
      </c>
      <c r="AX298" s="2" t="s">
        <v>3953</v>
      </c>
      <c r="AY298" s="2" t="s">
        <v>3954</v>
      </c>
      <c r="AZ298" s="2" t="s">
        <v>3954</v>
      </c>
      <c r="BA298" s="2" t="s">
        <v>3955</v>
      </c>
      <c r="BB298" s="2" t="s">
        <v>79</v>
      </c>
      <c r="BD298" s="2" t="s">
        <v>3956</v>
      </c>
      <c r="BE298" s="2" t="s">
        <v>3957</v>
      </c>
      <c r="BF298" s="2" t="s">
        <v>3958</v>
      </c>
    </row>
    <row r="299" spans="1:58" ht="46.5" customHeight="1">
      <c r="A299" s="1"/>
      <c r="B299" s="1" t="s">
        <v>58</v>
      </c>
      <c r="C299" s="1" t="s">
        <v>59</v>
      </c>
      <c r="D299" s="1" t="s">
        <v>3959</v>
      </c>
      <c r="E299" s="1" t="s">
        <v>3960</v>
      </c>
      <c r="F299" s="1" t="s">
        <v>3961</v>
      </c>
      <c r="H299" s="2" t="s">
        <v>63</v>
      </c>
      <c r="I299" s="2" t="s">
        <v>64</v>
      </c>
      <c r="J299" s="2" t="s">
        <v>63</v>
      </c>
      <c r="K299" s="2" t="s">
        <v>63</v>
      </c>
      <c r="L299" s="2" t="s">
        <v>65</v>
      </c>
      <c r="N299" s="1" t="s">
        <v>3962</v>
      </c>
      <c r="O299" s="2" t="s">
        <v>407</v>
      </c>
      <c r="Q299" s="2" t="s">
        <v>70</v>
      </c>
      <c r="R299" s="2" t="s">
        <v>89</v>
      </c>
      <c r="T299" s="2" t="s">
        <v>72</v>
      </c>
      <c r="U299" s="3">
        <v>12</v>
      </c>
      <c r="V299" s="3">
        <v>12</v>
      </c>
      <c r="W299" s="4" t="s">
        <v>3963</v>
      </c>
      <c r="X299" s="4" t="s">
        <v>3963</v>
      </c>
      <c r="Y299" s="4" t="s">
        <v>3964</v>
      </c>
      <c r="Z299" s="4" t="s">
        <v>3964</v>
      </c>
      <c r="AA299" s="3">
        <v>196</v>
      </c>
      <c r="AB299" s="3">
        <v>152</v>
      </c>
      <c r="AC299" s="3">
        <v>159</v>
      </c>
      <c r="AD299" s="3">
        <v>1</v>
      </c>
      <c r="AE299" s="3">
        <v>1</v>
      </c>
      <c r="AF299" s="3">
        <v>6</v>
      </c>
      <c r="AG299" s="3">
        <v>6</v>
      </c>
      <c r="AH299" s="3">
        <v>3</v>
      </c>
      <c r="AI299" s="3">
        <v>3</v>
      </c>
      <c r="AJ299" s="3">
        <v>1</v>
      </c>
      <c r="AK299" s="3">
        <v>1</v>
      </c>
      <c r="AL299" s="3">
        <v>3</v>
      </c>
      <c r="AM299" s="3">
        <v>3</v>
      </c>
      <c r="AN299" s="3">
        <v>0</v>
      </c>
      <c r="AO299" s="3">
        <v>0</v>
      </c>
      <c r="AP299" s="3">
        <v>0</v>
      </c>
      <c r="AQ299" s="3">
        <v>0</v>
      </c>
      <c r="AR299" s="2" t="s">
        <v>63</v>
      </c>
      <c r="AS299" s="2" t="s">
        <v>92</v>
      </c>
      <c r="AT299" s="5" t="str">
        <f>HYPERLINK("http://catalog.hathitrust.org/Record/002424172","HathiTrust Record")</f>
        <v>HathiTrust Record</v>
      </c>
      <c r="AU299" s="5" t="str">
        <f>HYPERLINK("https://creighton-primo.hosted.exlibrisgroup.com/primo-explore/search?tab=default_tab&amp;search_scope=EVERYTHING&amp;vid=01CRU&amp;lang=en_US&amp;offset=0&amp;query=any,contains,991000775869702656","Catalog Record")</f>
        <v>Catalog Record</v>
      </c>
      <c r="AV299" s="5" t="str">
        <f>HYPERLINK("http://www.worldcat.org/oclc/21408616","WorldCat Record")</f>
        <v>WorldCat Record</v>
      </c>
      <c r="AW299" s="2" t="s">
        <v>3965</v>
      </c>
      <c r="AX299" s="2" t="s">
        <v>3966</v>
      </c>
      <c r="AY299" s="2" t="s">
        <v>3967</v>
      </c>
      <c r="AZ299" s="2" t="s">
        <v>3967</v>
      </c>
      <c r="BA299" s="2" t="s">
        <v>3968</v>
      </c>
      <c r="BB299" s="2" t="s">
        <v>79</v>
      </c>
      <c r="BD299" s="2" t="s">
        <v>3969</v>
      </c>
      <c r="BE299" s="2" t="s">
        <v>3970</v>
      </c>
      <c r="BF299" s="2" t="s">
        <v>3971</v>
      </c>
    </row>
    <row r="300" spans="1:58" ht="46.5" customHeight="1">
      <c r="A300" s="1"/>
      <c r="B300" s="1" t="s">
        <v>58</v>
      </c>
      <c r="C300" s="1" t="s">
        <v>59</v>
      </c>
      <c r="D300" s="1" t="s">
        <v>3972</v>
      </c>
      <c r="E300" s="1" t="s">
        <v>3973</v>
      </c>
      <c r="F300" s="1" t="s">
        <v>3974</v>
      </c>
      <c r="H300" s="2" t="s">
        <v>63</v>
      </c>
      <c r="I300" s="2" t="s">
        <v>64</v>
      </c>
      <c r="J300" s="2" t="s">
        <v>63</v>
      </c>
      <c r="K300" s="2" t="s">
        <v>63</v>
      </c>
      <c r="L300" s="2" t="s">
        <v>65</v>
      </c>
      <c r="M300" s="1" t="s">
        <v>3975</v>
      </c>
      <c r="N300" s="1" t="s">
        <v>3976</v>
      </c>
      <c r="O300" s="2" t="s">
        <v>307</v>
      </c>
      <c r="Q300" s="2" t="s">
        <v>70</v>
      </c>
      <c r="R300" s="2" t="s">
        <v>89</v>
      </c>
      <c r="T300" s="2" t="s">
        <v>72</v>
      </c>
      <c r="U300" s="3">
        <v>6</v>
      </c>
      <c r="V300" s="3">
        <v>6</v>
      </c>
      <c r="W300" s="4" t="s">
        <v>3977</v>
      </c>
      <c r="X300" s="4" t="s">
        <v>3977</v>
      </c>
      <c r="Y300" s="4" t="s">
        <v>3387</v>
      </c>
      <c r="Z300" s="4" t="s">
        <v>3387</v>
      </c>
      <c r="AA300" s="3">
        <v>152</v>
      </c>
      <c r="AB300" s="3">
        <v>116</v>
      </c>
      <c r="AC300" s="3">
        <v>132</v>
      </c>
      <c r="AD300" s="3">
        <v>1</v>
      </c>
      <c r="AE300" s="3">
        <v>1</v>
      </c>
      <c r="AF300" s="3">
        <v>4</v>
      </c>
      <c r="AG300" s="3">
        <v>4</v>
      </c>
      <c r="AH300" s="3">
        <v>1</v>
      </c>
      <c r="AI300" s="3">
        <v>1</v>
      </c>
      <c r="AJ300" s="3">
        <v>1</v>
      </c>
      <c r="AK300" s="3">
        <v>1</v>
      </c>
      <c r="AL300" s="3">
        <v>3</v>
      </c>
      <c r="AM300" s="3">
        <v>3</v>
      </c>
      <c r="AN300" s="3">
        <v>0</v>
      </c>
      <c r="AO300" s="3">
        <v>0</v>
      </c>
      <c r="AP300" s="3">
        <v>0</v>
      </c>
      <c r="AQ300" s="3">
        <v>0</v>
      </c>
      <c r="AR300" s="2" t="s">
        <v>63</v>
      </c>
      <c r="AS300" s="2" t="s">
        <v>63</v>
      </c>
      <c r="AU300" s="5" t="str">
        <f>HYPERLINK("https://creighton-primo.hosted.exlibrisgroup.com/primo-explore/search?tab=default_tab&amp;search_scope=EVERYTHING&amp;vid=01CRU&amp;lang=en_US&amp;offset=0&amp;query=any,contains,991000958289702656","Catalog Record")</f>
        <v>Catalog Record</v>
      </c>
      <c r="AV300" s="5" t="str">
        <f>HYPERLINK("http://www.worldcat.org/oclc/12943514","WorldCat Record")</f>
        <v>WorldCat Record</v>
      </c>
      <c r="AW300" s="2" t="s">
        <v>3978</v>
      </c>
      <c r="AX300" s="2" t="s">
        <v>3979</v>
      </c>
      <c r="AY300" s="2" t="s">
        <v>3980</v>
      </c>
      <c r="AZ300" s="2" t="s">
        <v>3980</v>
      </c>
      <c r="BA300" s="2" t="s">
        <v>3981</v>
      </c>
      <c r="BB300" s="2" t="s">
        <v>79</v>
      </c>
      <c r="BD300" s="2" t="s">
        <v>3982</v>
      </c>
      <c r="BE300" s="2" t="s">
        <v>3983</v>
      </c>
      <c r="BF300" s="2" t="s">
        <v>3984</v>
      </c>
    </row>
    <row r="301" spans="1:58" ht="46.5" customHeight="1">
      <c r="A301" s="1"/>
      <c r="B301" s="1" t="s">
        <v>58</v>
      </c>
      <c r="C301" s="1" t="s">
        <v>59</v>
      </c>
      <c r="D301" s="1" t="s">
        <v>3985</v>
      </c>
      <c r="E301" s="1" t="s">
        <v>3986</v>
      </c>
      <c r="F301" s="1" t="s">
        <v>3987</v>
      </c>
      <c r="H301" s="2" t="s">
        <v>63</v>
      </c>
      <c r="I301" s="2" t="s">
        <v>64</v>
      </c>
      <c r="J301" s="2" t="s">
        <v>63</v>
      </c>
      <c r="K301" s="2" t="s">
        <v>63</v>
      </c>
      <c r="L301" s="2" t="s">
        <v>65</v>
      </c>
      <c r="M301" s="1" t="s">
        <v>3988</v>
      </c>
      <c r="N301" s="1" t="s">
        <v>3989</v>
      </c>
      <c r="O301" s="2" t="s">
        <v>104</v>
      </c>
      <c r="P301" s="1" t="s">
        <v>157</v>
      </c>
      <c r="Q301" s="2" t="s">
        <v>70</v>
      </c>
      <c r="R301" s="2" t="s">
        <v>377</v>
      </c>
      <c r="T301" s="2" t="s">
        <v>72</v>
      </c>
      <c r="U301" s="3">
        <v>9</v>
      </c>
      <c r="V301" s="3">
        <v>9</v>
      </c>
      <c r="W301" s="4" t="s">
        <v>3963</v>
      </c>
      <c r="X301" s="4" t="s">
        <v>3963</v>
      </c>
      <c r="Y301" s="4" t="s">
        <v>3387</v>
      </c>
      <c r="Z301" s="4" t="s">
        <v>3387</v>
      </c>
      <c r="AA301" s="3">
        <v>159</v>
      </c>
      <c r="AB301" s="3">
        <v>97</v>
      </c>
      <c r="AC301" s="3">
        <v>235</v>
      </c>
      <c r="AD301" s="3">
        <v>1</v>
      </c>
      <c r="AE301" s="3">
        <v>2</v>
      </c>
      <c r="AF301" s="3">
        <v>4</v>
      </c>
      <c r="AG301" s="3">
        <v>8</v>
      </c>
      <c r="AH301" s="3">
        <v>1</v>
      </c>
      <c r="AI301" s="3">
        <v>3</v>
      </c>
      <c r="AJ301" s="3">
        <v>1</v>
      </c>
      <c r="AK301" s="3">
        <v>2</v>
      </c>
      <c r="AL301" s="3">
        <v>2</v>
      </c>
      <c r="AM301" s="3">
        <v>4</v>
      </c>
      <c r="AN301" s="3">
        <v>0</v>
      </c>
      <c r="AO301" s="3">
        <v>1</v>
      </c>
      <c r="AP301" s="3">
        <v>0</v>
      </c>
      <c r="AQ301" s="3">
        <v>0</v>
      </c>
      <c r="AR301" s="2" t="s">
        <v>63</v>
      </c>
      <c r="AS301" s="2" t="s">
        <v>92</v>
      </c>
      <c r="AT301" s="5" t="str">
        <f>HYPERLINK("http://catalog.hathitrust.org/Record/000377162","HathiTrust Record")</f>
        <v>HathiTrust Record</v>
      </c>
      <c r="AU301" s="5" t="str">
        <f>HYPERLINK("https://creighton-primo.hosted.exlibrisgroup.com/primo-explore/search?tab=default_tab&amp;search_scope=EVERYTHING&amp;vid=01CRU&amp;lang=en_US&amp;offset=0&amp;query=any,contains,991000958329702656","Catalog Record")</f>
        <v>Catalog Record</v>
      </c>
      <c r="AV301" s="5" t="str">
        <f>HYPERLINK("http://www.worldcat.org/oclc/12050786","WorldCat Record")</f>
        <v>WorldCat Record</v>
      </c>
      <c r="AW301" s="2" t="s">
        <v>3990</v>
      </c>
      <c r="AX301" s="2" t="s">
        <v>3991</v>
      </c>
      <c r="AY301" s="2" t="s">
        <v>3992</v>
      </c>
      <c r="AZ301" s="2" t="s">
        <v>3992</v>
      </c>
      <c r="BA301" s="2" t="s">
        <v>3993</v>
      </c>
      <c r="BB301" s="2" t="s">
        <v>79</v>
      </c>
      <c r="BD301" s="2" t="s">
        <v>3994</v>
      </c>
      <c r="BE301" s="2" t="s">
        <v>3995</v>
      </c>
      <c r="BF301" s="2" t="s">
        <v>3996</v>
      </c>
    </row>
    <row r="302" spans="1:58" ht="46.5" customHeight="1">
      <c r="A302" s="1"/>
      <c r="B302" s="1" t="s">
        <v>58</v>
      </c>
      <c r="C302" s="1" t="s">
        <v>59</v>
      </c>
      <c r="D302" s="1" t="s">
        <v>3997</v>
      </c>
      <c r="E302" s="1" t="s">
        <v>3998</v>
      </c>
      <c r="F302" s="1" t="s">
        <v>3999</v>
      </c>
      <c r="H302" s="2" t="s">
        <v>63</v>
      </c>
      <c r="I302" s="2" t="s">
        <v>64</v>
      </c>
      <c r="J302" s="2" t="s">
        <v>63</v>
      </c>
      <c r="K302" s="2" t="s">
        <v>63</v>
      </c>
      <c r="L302" s="2" t="s">
        <v>65</v>
      </c>
      <c r="N302" s="1" t="s">
        <v>4000</v>
      </c>
      <c r="O302" s="2" t="s">
        <v>608</v>
      </c>
      <c r="Q302" s="2" t="s">
        <v>70</v>
      </c>
      <c r="R302" s="2" t="s">
        <v>4001</v>
      </c>
      <c r="S302" s="1" t="s">
        <v>4002</v>
      </c>
      <c r="T302" s="2" t="s">
        <v>72</v>
      </c>
      <c r="U302" s="3">
        <v>6</v>
      </c>
      <c r="V302" s="3">
        <v>6</v>
      </c>
      <c r="W302" s="4" t="s">
        <v>4003</v>
      </c>
      <c r="X302" s="4" t="s">
        <v>4003</v>
      </c>
      <c r="Y302" s="4" t="s">
        <v>979</v>
      </c>
      <c r="Z302" s="4" t="s">
        <v>979</v>
      </c>
      <c r="AA302" s="3">
        <v>52</v>
      </c>
      <c r="AB302" s="3">
        <v>29</v>
      </c>
      <c r="AC302" s="3">
        <v>34</v>
      </c>
      <c r="AD302" s="3">
        <v>1</v>
      </c>
      <c r="AE302" s="3">
        <v>1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2" t="s">
        <v>63</v>
      </c>
      <c r="AS302" s="2" t="s">
        <v>63</v>
      </c>
      <c r="AU302" s="5" t="str">
        <f>HYPERLINK("https://creighton-primo.hosted.exlibrisgroup.com/primo-explore/search?tab=default_tab&amp;search_scope=EVERYTHING&amp;vid=01CRU&amp;lang=en_US&amp;offset=0&amp;query=any,contains,991001511559702656","Catalog Record")</f>
        <v>Catalog Record</v>
      </c>
      <c r="AV302" s="5" t="str">
        <f>HYPERLINK("http://www.worldcat.org/oclc/27034241","WorldCat Record")</f>
        <v>WorldCat Record</v>
      </c>
      <c r="AW302" s="2" t="s">
        <v>4004</v>
      </c>
      <c r="AX302" s="2" t="s">
        <v>4005</v>
      </c>
      <c r="AY302" s="2" t="s">
        <v>4006</v>
      </c>
      <c r="AZ302" s="2" t="s">
        <v>4006</v>
      </c>
      <c r="BA302" s="2" t="s">
        <v>4007</v>
      </c>
      <c r="BB302" s="2" t="s">
        <v>79</v>
      </c>
      <c r="BD302" s="2" t="s">
        <v>4008</v>
      </c>
      <c r="BE302" s="2" t="s">
        <v>4009</v>
      </c>
      <c r="BF302" s="2" t="s">
        <v>4010</v>
      </c>
    </row>
    <row r="303" spans="1:58" ht="46.5" customHeight="1">
      <c r="A303" s="1"/>
      <c r="B303" s="1" t="s">
        <v>58</v>
      </c>
      <c r="C303" s="1" t="s">
        <v>59</v>
      </c>
      <c r="D303" s="1" t="s">
        <v>4011</v>
      </c>
      <c r="E303" s="1" t="s">
        <v>4012</v>
      </c>
      <c r="F303" s="1" t="s">
        <v>4013</v>
      </c>
      <c r="H303" s="2" t="s">
        <v>63</v>
      </c>
      <c r="I303" s="2" t="s">
        <v>64</v>
      </c>
      <c r="J303" s="2" t="s">
        <v>63</v>
      </c>
      <c r="K303" s="2" t="s">
        <v>63</v>
      </c>
      <c r="L303" s="2" t="s">
        <v>65</v>
      </c>
      <c r="N303" s="1" t="s">
        <v>4014</v>
      </c>
      <c r="O303" s="2" t="s">
        <v>87</v>
      </c>
      <c r="Q303" s="2" t="s">
        <v>70</v>
      </c>
      <c r="R303" s="2" t="s">
        <v>89</v>
      </c>
      <c r="T303" s="2" t="s">
        <v>72</v>
      </c>
      <c r="U303" s="3">
        <v>6</v>
      </c>
      <c r="V303" s="3">
        <v>6</v>
      </c>
      <c r="W303" s="4" t="s">
        <v>4015</v>
      </c>
      <c r="X303" s="4" t="s">
        <v>4015</v>
      </c>
      <c r="Y303" s="4" t="s">
        <v>1527</v>
      </c>
      <c r="Z303" s="4" t="s">
        <v>1527</v>
      </c>
      <c r="AA303" s="3">
        <v>99</v>
      </c>
      <c r="AB303" s="3">
        <v>79</v>
      </c>
      <c r="AC303" s="3">
        <v>81</v>
      </c>
      <c r="AD303" s="3">
        <v>1</v>
      </c>
      <c r="AE303" s="3">
        <v>1</v>
      </c>
      <c r="AF303" s="3">
        <v>2</v>
      </c>
      <c r="AG303" s="3">
        <v>2</v>
      </c>
      <c r="AH303" s="3">
        <v>0</v>
      </c>
      <c r="AI303" s="3">
        <v>0</v>
      </c>
      <c r="AJ303" s="3">
        <v>2</v>
      </c>
      <c r="AK303" s="3">
        <v>2</v>
      </c>
      <c r="AL303" s="3">
        <v>1</v>
      </c>
      <c r="AM303" s="3">
        <v>1</v>
      </c>
      <c r="AN303" s="3">
        <v>0</v>
      </c>
      <c r="AO303" s="3">
        <v>0</v>
      </c>
      <c r="AP303" s="3">
        <v>0</v>
      </c>
      <c r="AQ303" s="3">
        <v>0</v>
      </c>
      <c r="AR303" s="2" t="s">
        <v>63</v>
      </c>
      <c r="AS303" s="2" t="s">
        <v>92</v>
      </c>
      <c r="AT303" s="5" t="str">
        <f>HYPERLINK("http://catalog.hathitrust.org/Record/000836215","HathiTrust Record")</f>
        <v>HathiTrust Record</v>
      </c>
      <c r="AU303" s="5" t="str">
        <f>HYPERLINK("https://creighton-primo.hosted.exlibrisgroup.com/primo-explore/search?tab=default_tab&amp;search_scope=EVERYTHING&amp;vid=01CRU&amp;lang=en_US&amp;offset=0&amp;query=any,contains,991001536739702656","Catalog Record")</f>
        <v>Catalog Record</v>
      </c>
      <c r="AV303" s="5" t="str">
        <f>HYPERLINK("http://www.worldcat.org/oclc/15588697","WorldCat Record")</f>
        <v>WorldCat Record</v>
      </c>
      <c r="AW303" s="2" t="s">
        <v>4016</v>
      </c>
      <c r="AX303" s="2" t="s">
        <v>4017</v>
      </c>
      <c r="AY303" s="2" t="s">
        <v>4018</v>
      </c>
      <c r="AZ303" s="2" t="s">
        <v>4018</v>
      </c>
      <c r="BA303" s="2" t="s">
        <v>4019</v>
      </c>
      <c r="BB303" s="2" t="s">
        <v>79</v>
      </c>
      <c r="BD303" s="2" t="s">
        <v>4020</v>
      </c>
      <c r="BE303" s="2" t="s">
        <v>4021</v>
      </c>
      <c r="BF303" s="2" t="s">
        <v>4022</v>
      </c>
    </row>
    <row r="304" spans="1:58" ht="46.5" customHeight="1">
      <c r="A304" s="1"/>
      <c r="B304" s="1" t="s">
        <v>58</v>
      </c>
      <c r="C304" s="1" t="s">
        <v>59</v>
      </c>
      <c r="D304" s="1" t="s">
        <v>4023</v>
      </c>
      <c r="E304" s="1" t="s">
        <v>4024</v>
      </c>
      <c r="F304" s="1" t="s">
        <v>4025</v>
      </c>
      <c r="H304" s="2" t="s">
        <v>63</v>
      </c>
      <c r="I304" s="2" t="s">
        <v>64</v>
      </c>
      <c r="J304" s="2" t="s">
        <v>63</v>
      </c>
      <c r="K304" s="2" t="s">
        <v>63</v>
      </c>
      <c r="L304" s="2" t="s">
        <v>65</v>
      </c>
      <c r="N304" s="1" t="s">
        <v>4026</v>
      </c>
      <c r="O304" s="2" t="s">
        <v>484</v>
      </c>
      <c r="Q304" s="2" t="s">
        <v>70</v>
      </c>
      <c r="R304" s="2" t="s">
        <v>277</v>
      </c>
      <c r="T304" s="2" t="s">
        <v>72</v>
      </c>
      <c r="U304" s="3">
        <v>0</v>
      </c>
      <c r="V304" s="3">
        <v>0</v>
      </c>
      <c r="W304" s="4" t="s">
        <v>4027</v>
      </c>
      <c r="X304" s="4" t="s">
        <v>4027</v>
      </c>
      <c r="Y304" s="4" t="s">
        <v>4028</v>
      </c>
      <c r="Z304" s="4" t="s">
        <v>4028</v>
      </c>
      <c r="AA304" s="3">
        <v>181</v>
      </c>
      <c r="AB304" s="3">
        <v>106</v>
      </c>
      <c r="AC304" s="3">
        <v>111</v>
      </c>
      <c r="AD304" s="3">
        <v>1</v>
      </c>
      <c r="AE304" s="3">
        <v>1</v>
      </c>
      <c r="AF304" s="3">
        <v>7</v>
      </c>
      <c r="AG304" s="3">
        <v>7</v>
      </c>
      <c r="AH304" s="3">
        <v>4</v>
      </c>
      <c r="AI304" s="3">
        <v>4</v>
      </c>
      <c r="AJ304" s="3">
        <v>0</v>
      </c>
      <c r="AK304" s="3">
        <v>0</v>
      </c>
      <c r="AL304" s="3">
        <v>4</v>
      </c>
      <c r="AM304" s="3">
        <v>4</v>
      </c>
      <c r="AN304" s="3">
        <v>0</v>
      </c>
      <c r="AO304" s="3">
        <v>0</v>
      </c>
      <c r="AP304" s="3">
        <v>0</v>
      </c>
      <c r="AQ304" s="3">
        <v>0</v>
      </c>
      <c r="AR304" s="2" t="s">
        <v>63</v>
      </c>
      <c r="AS304" s="2" t="s">
        <v>63</v>
      </c>
      <c r="AU304" s="5" t="str">
        <f>HYPERLINK("https://creighton-primo.hosted.exlibrisgroup.com/primo-explore/search?tab=default_tab&amp;search_scope=EVERYTHING&amp;vid=01CRU&amp;lang=en_US&amp;offset=0&amp;query=any,contains,991000456199702656","Catalog Record")</f>
        <v>Catalog Record</v>
      </c>
      <c r="AV304" s="5" t="str">
        <f>HYPERLINK("http://www.worldcat.org/oclc/52424678","WorldCat Record")</f>
        <v>WorldCat Record</v>
      </c>
      <c r="AW304" s="2" t="s">
        <v>4029</v>
      </c>
      <c r="AX304" s="2" t="s">
        <v>4030</v>
      </c>
      <c r="AY304" s="2" t="s">
        <v>4031</v>
      </c>
      <c r="AZ304" s="2" t="s">
        <v>4031</v>
      </c>
      <c r="BA304" s="2" t="s">
        <v>4032</v>
      </c>
      <c r="BB304" s="2" t="s">
        <v>79</v>
      </c>
      <c r="BD304" s="2" t="s">
        <v>4033</v>
      </c>
      <c r="BE304" s="2" t="s">
        <v>4034</v>
      </c>
      <c r="BF304" s="2" t="s">
        <v>4035</v>
      </c>
    </row>
    <row r="305" spans="1:58" ht="46.5" customHeight="1">
      <c r="A305" s="1"/>
      <c r="B305" s="1" t="s">
        <v>58</v>
      </c>
      <c r="C305" s="1" t="s">
        <v>59</v>
      </c>
      <c r="D305" s="1" t="s">
        <v>4036</v>
      </c>
      <c r="E305" s="1" t="s">
        <v>4037</v>
      </c>
      <c r="F305" s="1" t="s">
        <v>4038</v>
      </c>
      <c r="H305" s="2" t="s">
        <v>63</v>
      </c>
      <c r="I305" s="2" t="s">
        <v>64</v>
      </c>
      <c r="J305" s="2" t="s">
        <v>63</v>
      </c>
      <c r="K305" s="2" t="s">
        <v>63</v>
      </c>
      <c r="L305" s="2" t="s">
        <v>65</v>
      </c>
      <c r="M305" s="1" t="s">
        <v>4039</v>
      </c>
      <c r="N305" s="1" t="s">
        <v>334</v>
      </c>
      <c r="O305" s="2" t="s">
        <v>198</v>
      </c>
      <c r="Q305" s="2" t="s">
        <v>70</v>
      </c>
      <c r="R305" s="2" t="s">
        <v>200</v>
      </c>
      <c r="T305" s="2" t="s">
        <v>72</v>
      </c>
      <c r="U305" s="3">
        <v>4</v>
      </c>
      <c r="V305" s="3">
        <v>4</v>
      </c>
      <c r="W305" s="4" t="s">
        <v>4040</v>
      </c>
      <c r="X305" s="4" t="s">
        <v>4040</v>
      </c>
      <c r="Y305" s="4" t="s">
        <v>4041</v>
      </c>
      <c r="Z305" s="4" t="s">
        <v>4041</v>
      </c>
      <c r="AA305" s="3">
        <v>110</v>
      </c>
      <c r="AB305" s="3">
        <v>81</v>
      </c>
      <c r="AC305" s="3">
        <v>83</v>
      </c>
      <c r="AD305" s="3">
        <v>1</v>
      </c>
      <c r="AE305" s="3">
        <v>1</v>
      </c>
      <c r="AF305" s="3">
        <v>2</v>
      </c>
      <c r="AG305" s="3">
        <v>2</v>
      </c>
      <c r="AH305" s="3">
        <v>0</v>
      </c>
      <c r="AI305" s="3">
        <v>0</v>
      </c>
      <c r="AJ305" s="3">
        <v>1</v>
      </c>
      <c r="AK305" s="3">
        <v>1</v>
      </c>
      <c r="AL305" s="3">
        <v>2</v>
      </c>
      <c r="AM305" s="3">
        <v>2</v>
      </c>
      <c r="AN305" s="3">
        <v>0</v>
      </c>
      <c r="AO305" s="3">
        <v>0</v>
      </c>
      <c r="AP305" s="3">
        <v>0</v>
      </c>
      <c r="AQ305" s="3">
        <v>0</v>
      </c>
      <c r="AR305" s="2" t="s">
        <v>63</v>
      </c>
      <c r="AS305" s="2" t="s">
        <v>92</v>
      </c>
      <c r="AT305" s="5" t="str">
        <f>HYPERLINK("http://catalog.hathitrust.org/Record/002216158","HathiTrust Record")</f>
        <v>HathiTrust Record</v>
      </c>
      <c r="AU305" s="5" t="str">
        <f>HYPERLINK("https://creighton-primo.hosted.exlibrisgroup.com/primo-explore/search?tab=default_tab&amp;search_scope=EVERYTHING&amp;vid=01CRU&amp;lang=en_US&amp;offset=0&amp;query=any,contains,991001305309702656","Catalog Record")</f>
        <v>Catalog Record</v>
      </c>
      <c r="AV305" s="5" t="str">
        <f>HYPERLINK("http://www.worldcat.org/oclc/22006068","WorldCat Record")</f>
        <v>WorldCat Record</v>
      </c>
      <c r="AW305" s="2" t="s">
        <v>4042</v>
      </c>
      <c r="AX305" s="2" t="s">
        <v>4043</v>
      </c>
      <c r="AY305" s="2" t="s">
        <v>4044</v>
      </c>
      <c r="AZ305" s="2" t="s">
        <v>4044</v>
      </c>
      <c r="BA305" s="2" t="s">
        <v>4045</v>
      </c>
      <c r="BB305" s="2" t="s">
        <v>79</v>
      </c>
      <c r="BD305" s="2" t="s">
        <v>4046</v>
      </c>
      <c r="BE305" s="2" t="s">
        <v>4047</v>
      </c>
      <c r="BF305" s="2" t="s">
        <v>4048</v>
      </c>
    </row>
    <row r="306" spans="1:58" ht="46.5" customHeight="1">
      <c r="A306" s="1"/>
      <c r="B306" s="1" t="s">
        <v>58</v>
      </c>
      <c r="C306" s="1" t="s">
        <v>59</v>
      </c>
      <c r="D306" s="1" t="s">
        <v>4049</v>
      </c>
      <c r="E306" s="1" t="s">
        <v>4050</v>
      </c>
      <c r="F306" s="1" t="s">
        <v>4051</v>
      </c>
      <c r="H306" s="2" t="s">
        <v>63</v>
      </c>
      <c r="I306" s="2" t="s">
        <v>64</v>
      </c>
      <c r="J306" s="2" t="s">
        <v>63</v>
      </c>
      <c r="K306" s="2" t="s">
        <v>63</v>
      </c>
      <c r="L306" s="2" t="s">
        <v>65</v>
      </c>
      <c r="N306" s="1" t="s">
        <v>4052</v>
      </c>
      <c r="O306" s="2" t="s">
        <v>104</v>
      </c>
      <c r="Q306" s="2" t="s">
        <v>70</v>
      </c>
      <c r="R306" s="2" t="s">
        <v>691</v>
      </c>
      <c r="T306" s="2" t="s">
        <v>72</v>
      </c>
      <c r="U306" s="3">
        <v>11</v>
      </c>
      <c r="V306" s="3">
        <v>11</v>
      </c>
      <c r="W306" s="4" t="s">
        <v>4053</v>
      </c>
      <c r="X306" s="4" t="s">
        <v>4053</v>
      </c>
      <c r="Y306" s="4" t="s">
        <v>3387</v>
      </c>
      <c r="Z306" s="4" t="s">
        <v>3387</v>
      </c>
      <c r="AA306" s="3">
        <v>141</v>
      </c>
      <c r="AB306" s="3">
        <v>126</v>
      </c>
      <c r="AC306" s="3">
        <v>133</v>
      </c>
      <c r="AD306" s="3">
        <v>1</v>
      </c>
      <c r="AE306" s="3">
        <v>1</v>
      </c>
      <c r="AF306" s="3">
        <v>2</v>
      </c>
      <c r="AG306" s="3">
        <v>2</v>
      </c>
      <c r="AH306" s="3">
        <v>1</v>
      </c>
      <c r="AI306" s="3">
        <v>1</v>
      </c>
      <c r="AJ306" s="3">
        <v>0</v>
      </c>
      <c r="AK306" s="3">
        <v>0</v>
      </c>
      <c r="AL306" s="3">
        <v>1</v>
      </c>
      <c r="AM306" s="3">
        <v>1</v>
      </c>
      <c r="AN306" s="3">
        <v>0</v>
      </c>
      <c r="AO306" s="3">
        <v>0</v>
      </c>
      <c r="AP306" s="3">
        <v>0</v>
      </c>
      <c r="AQ306" s="3">
        <v>0</v>
      </c>
      <c r="AR306" s="2" t="s">
        <v>63</v>
      </c>
      <c r="AS306" s="2" t="s">
        <v>92</v>
      </c>
      <c r="AT306" s="5" t="str">
        <f>HYPERLINK("http://catalog.hathitrust.org/Record/000286979","HathiTrust Record")</f>
        <v>HathiTrust Record</v>
      </c>
      <c r="AU306" s="5" t="str">
        <f>HYPERLINK("https://creighton-primo.hosted.exlibrisgroup.com/primo-explore/search?tab=default_tab&amp;search_scope=EVERYTHING&amp;vid=01CRU&amp;lang=en_US&amp;offset=0&amp;query=any,contains,991000958779702656","Catalog Record")</f>
        <v>Catalog Record</v>
      </c>
      <c r="AV306" s="5" t="str">
        <f>HYPERLINK("http://www.worldcat.org/oclc/10726873","WorldCat Record")</f>
        <v>WorldCat Record</v>
      </c>
      <c r="AW306" s="2" t="s">
        <v>4054</v>
      </c>
      <c r="AX306" s="2" t="s">
        <v>4055</v>
      </c>
      <c r="AY306" s="2" t="s">
        <v>4056</v>
      </c>
      <c r="AZ306" s="2" t="s">
        <v>4056</v>
      </c>
      <c r="BA306" s="2" t="s">
        <v>4057</v>
      </c>
      <c r="BB306" s="2" t="s">
        <v>79</v>
      </c>
      <c r="BD306" s="2" t="s">
        <v>4058</v>
      </c>
      <c r="BE306" s="2" t="s">
        <v>4059</v>
      </c>
      <c r="BF306" s="2" t="s">
        <v>4060</v>
      </c>
    </row>
    <row r="307" spans="1:58" ht="46.5" customHeight="1">
      <c r="A307" s="1"/>
      <c r="B307" s="1" t="s">
        <v>58</v>
      </c>
      <c r="C307" s="1" t="s">
        <v>59</v>
      </c>
      <c r="D307" s="1" t="s">
        <v>4061</v>
      </c>
      <c r="E307" s="1" t="s">
        <v>4062</v>
      </c>
      <c r="F307" s="1" t="s">
        <v>4063</v>
      </c>
      <c r="H307" s="2" t="s">
        <v>63</v>
      </c>
      <c r="I307" s="2" t="s">
        <v>64</v>
      </c>
      <c r="J307" s="2" t="s">
        <v>63</v>
      </c>
      <c r="K307" s="2" t="s">
        <v>92</v>
      </c>
      <c r="L307" s="2" t="s">
        <v>65</v>
      </c>
      <c r="M307" s="1" t="s">
        <v>2942</v>
      </c>
      <c r="N307" s="1" t="s">
        <v>4064</v>
      </c>
      <c r="O307" s="2" t="s">
        <v>814</v>
      </c>
      <c r="P307" s="1" t="s">
        <v>259</v>
      </c>
      <c r="Q307" s="2" t="s">
        <v>70</v>
      </c>
      <c r="R307" s="2" t="s">
        <v>260</v>
      </c>
      <c r="T307" s="2" t="s">
        <v>72</v>
      </c>
      <c r="U307" s="3">
        <v>4</v>
      </c>
      <c r="V307" s="3">
        <v>4</v>
      </c>
      <c r="W307" s="4" t="s">
        <v>1899</v>
      </c>
      <c r="X307" s="4" t="s">
        <v>1899</v>
      </c>
      <c r="Y307" s="4" t="s">
        <v>1899</v>
      </c>
      <c r="Z307" s="4" t="s">
        <v>1899</v>
      </c>
      <c r="AA307" s="3">
        <v>159</v>
      </c>
      <c r="AB307" s="3">
        <v>118</v>
      </c>
      <c r="AC307" s="3">
        <v>298</v>
      </c>
      <c r="AD307" s="3">
        <v>1</v>
      </c>
      <c r="AE307" s="3">
        <v>3</v>
      </c>
      <c r="AF307" s="3">
        <v>3</v>
      </c>
      <c r="AG307" s="3">
        <v>13</v>
      </c>
      <c r="AH307" s="3">
        <v>0</v>
      </c>
      <c r="AI307" s="3">
        <v>5</v>
      </c>
      <c r="AJ307" s="3">
        <v>1</v>
      </c>
      <c r="AK307" s="3">
        <v>3</v>
      </c>
      <c r="AL307" s="3">
        <v>2</v>
      </c>
      <c r="AM307" s="3">
        <v>4</v>
      </c>
      <c r="AN307" s="3">
        <v>0</v>
      </c>
      <c r="AO307" s="3">
        <v>2</v>
      </c>
      <c r="AP307" s="3">
        <v>0</v>
      </c>
      <c r="AQ307" s="3">
        <v>0</v>
      </c>
      <c r="AR307" s="2" t="s">
        <v>63</v>
      </c>
      <c r="AS307" s="2" t="s">
        <v>63</v>
      </c>
      <c r="AU307" s="5" t="str">
        <f>HYPERLINK("https://creighton-primo.hosted.exlibrisgroup.com/primo-explore/search?tab=default_tab&amp;search_scope=EVERYTHING&amp;vid=01CRU&amp;lang=en_US&amp;offset=0&amp;query=any,contains,991001408299702656","Catalog Record")</f>
        <v>Catalog Record</v>
      </c>
      <c r="AV307" s="5" t="str">
        <f>HYPERLINK("http://www.worldcat.org/oclc/39399630","WorldCat Record")</f>
        <v>WorldCat Record</v>
      </c>
      <c r="AW307" s="2" t="s">
        <v>4065</v>
      </c>
      <c r="AX307" s="2" t="s">
        <v>4066</v>
      </c>
      <c r="AY307" s="2" t="s">
        <v>4067</v>
      </c>
      <c r="AZ307" s="2" t="s">
        <v>4067</v>
      </c>
      <c r="BA307" s="2" t="s">
        <v>4068</v>
      </c>
      <c r="BB307" s="2" t="s">
        <v>79</v>
      </c>
      <c r="BD307" s="2" t="s">
        <v>4069</v>
      </c>
      <c r="BE307" s="2" t="s">
        <v>4070</v>
      </c>
      <c r="BF307" s="2" t="s">
        <v>4071</v>
      </c>
    </row>
    <row r="308" spans="1:58" ht="46.5" customHeight="1">
      <c r="A308" s="1"/>
      <c r="B308" s="1" t="s">
        <v>58</v>
      </c>
      <c r="C308" s="1" t="s">
        <v>59</v>
      </c>
      <c r="D308" s="1" t="s">
        <v>4072</v>
      </c>
      <c r="E308" s="1" t="s">
        <v>4073</v>
      </c>
      <c r="F308" s="1" t="s">
        <v>4074</v>
      </c>
      <c r="H308" s="2" t="s">
        <v>63</v>
      </c>
      <c r="I308" s="2" t="s">
        <v>64</v>
      </c>
      <c r="J308" s="2" t="s">
        <v>63</v>
      </c>
      <c r="K308" s="2" t="s">
        <v>92</v>
      </c>
      <c r="L308" s="2" t="s">
        <v>65</v>
      </c>
      <c r="N308" s="1" t="s">
        <v>2943</v>
      </c>
      <c r="O308" s="2" t="s">
        <v>540</v>
      </c>
      <c r="P308" s="1" t="s">
        <v>230</v>
      </c>
      <c r="Q308" s="2" t="s">
        <v>70</v>
      </c>
      <c r="R308" s="2" t="s">
        <v>260</v>
      </c>
      <c r="T308" s="2" t="s">
        <v>72</v>
      </c>
      <c r="U308" s="3">
        <v>0</v>
      </c>
      <c r="V308" s="3">
        <v>0</v>
      </c>
      <c r="W308" s="4" t="s">
        <v>4075</v>
      </c>
      <c r="X308" s="4" t="s">
        <v>4075</v>
      </c>
      <c r="Y308" s="4" t="s">
        <v>4076</v>
      </c>
      <c r="Z308" s="4" t="s">
        <v>4076</v>
      </c>
      <c r="AA308" s="3">
        <v>251</v>
      </c>
      <c r="AB308" s="3">
        <v>154</v>
      </c>
      <c r="AC308" s="3">
        <v>298</v>
      </c>
      <c r="AD308" s="3">
        <v>3</v>
      </c>
      <c r="AE308" s="3">
        <v>3</v>
      </c>
      <c r="AF308" s="3">
        <v>10</v>
      </c>
      <c r="AG308" s="3">
        <v>13</v>
      </c>
      <c r="AH308" s="3">
        <v>5</v>
      </c>
      <c r="AI308" s="3">
        <v>5</v>
      </c>
      <c r="AJ308" s="3">
        <v>1</v>
      </c>
      <c r="AK308" s="3">
        <v>3</v>
      </c>
      <c r="AL308" s="3">
        <v>3</v>
      </c>
      <c r="AM308" s="3">
        <v>4</v>
      </c>
      <c r="AN308" s="3">
        <v>2</v>
      </c>
      <c r="AO308" s="3">
        <v>2</v>
      </c>
      <c r="AP308" s="3">
        <v>0</v>
      </c>
      <c r="AQ308" s="3">
        <v>0</v>
      </c>
      <c r="AR308" s="2" t="s">
        <v>63</v>
      </c>
      <c r="AS308" s="2" t="s">
        <v>63</v>
      </c>
      <c r="AU308" s="5" t="str">
        <f>HYPERLINK("https://creighton-primo.hosted.exlibrisgroup.com/primo-explore/search?tab=default_tab&amp;search_scope=EVERYTHING&amp;vid=01CRU&amp;lang=en_US&amp;offset=0&amp;query=any,contains,991000593409702656","Catalog Record")</f>
        <v>Catalog Record</v>
      </c>
      <c r="AV308" s="5" t="str">
        <f>HYPERLINK("http://www.worldcat.org/oclc/60903259","WorldCat Record")</f>
        <v>WorldCat Record</v>
      </c>
      <c r="AW308" s="2" t="s">
        <v>4065</v>
      </c>
      <c r="AX308" s="2" t="s">
        <v>4077</v>
      </c>
      <c r="AY308" s="2" t="s">
        <v>4078</v>
      </c>
      <c r="AZ308" s="2" t="s">
        <v>4078</v>
      </c>
      <c r="BA308" s="2" t="s">
        <v>4079</v>
      </c>
      <c r="BB308" s="2" t="s">
        <v>79</v>
      </c>
      <c r="BD308" s="2" t="s">
        <v>4080</v>
      </c>
      <c r="BE308" s="2" t="s">
        <v>4081</v>
      </c>
      <c r="BF308" s="2" t="s">
        <v>4082</v>
      </c>
    </row>
    <row r="309" spans="1:58" ht="46.5" customHeight="1">
      <c r="A309" s="1"/>
      <c r="B309" s="1" t="s">
        <v>58</v>
      </c>
      <c r="C309" s="1" t="s">
        <v>59</v>
      </c>
      <c r="D309" s="1" t="s">
        <v>4083</v>
      </c>
      <c r="E309" s="1" t="s">
        <v>4084</v>
      </c>
      <c r="F309" s="1" t="s">
        <v>4085</v>
      </c>
      <c r="H309" s="2" t="s">
        <v>63</v>
      </c>
      <c r="I309" s="2" t="s">
        <v>64</v>
      </c>
      <c r="J309" s="2" t="s">
        <v>63</v>
      </c>
      <c r="K309" s="2" t="s">
        <v>63</v>
      </c>
      <c r="L309" s="2" t="s">
        <v>65</v>
      </c>
      <c r="N309" s="1" t="s">
        <v>4086</v>
      </c>
      <c r="O309" s="2" t="s">
        <v>104</v>
      </c>
      <c r="Q309" s="2" t="s">
        <v>70</v>
      </c>
      <c r="R309" s="2" t="s">
        <v>691</v>
      </c>
      <c r="T309" s="2" t="s">
        <v>72</v>
      </c>
      <c r="U309" s="3">
        <v>7</v>
      </c>
      <c r="V309" s="3">
        <v>7</v>
      </c>
      <c r="W309" s="4" t="s">
        <v>4087</v>
      </c>
      <c r="X309" s="4" t="s">
        <v>4087</v>
      </c>
      <c r="Y309" s="4" t="s">
        <v>3387</v>
      </c>
      <c r="Z309" s="4" t="s">
        <v>3387</v>
      </c>
      <c r="AA309" s="3">
        <v>104</v>
      </c>
      <c r="AB309" s="3">
        <v>79</v>
      </c>
      <c r="AC309" s="3">
        <v>102</v>
      </c>
      <c r="AD309" s="3">
        <v>1</v>
      </c>
      <c r="AE309" s="3">
        <v>1</v>
      </c>
      <c r="AF309" s="3">
        <v>1</v>
      </c>
      <c r="AG309" s="3">
        <v>1</v>
      </c>
      <c r="AH309" s="3">
        <v>0</v>
      </c>
      <c r="AI309" s="3">
        <v>0</v>
      </c>
      <c r="AJ309" s="3">
        <v>0</v>
      </c>
      <c r="AK309" s="3">
        <v>0</v>
      </c>
      <c r="AL309" s="3">
        <v>1</v>
      </c>
      <c r="AM309" s="3">
        <v>1</v>
      </c>
      <c r="AN309" s="3">
        <v>0</v>
      </c>
      <c r="AO309" s="3">
        <v>0</v>
      </c>
      <c r="AP309" s="3">
        <v>0</v>
      </c>
      <c r="AQ309" s="3">
        <v>0</v>
      </c>
      <c r="AR309" s="2" t="s">
        <v>63</v>
      </c>
      <c r="AS309" s="2" t="s">
        <v>92</v>
      </c>
      <c r="AT309" s="5" t="str">
        <f>HYPERLINK("http://catalog.hathitrust.org/Record/000612400","HathiTrust Record")</f>
        <v>HathiTrust Record</v>
      </c>
      <c r="AU309" s="5" t="str">
        <f>HYPERLINK("https://creighton-primo.hosted.exlibrisgroup.com/primo-explore/search?tab=default_tab&amp;search_scope=EVERYTHING&amp;vid=01CRU&amp;lang=en_US&amp;offset=0&amp;query=any,contains,991000958699702656","Catalog Record")</f>
        <v>Catalog Record</v>
      </c>
      <c r="AV309" s="5" t="str">
        <f>HYPERLINK("http://www.worldcat.org/oclc/11784407","WorldCat Record")</f>
        <v>WorldCat Record</v>
      </c>
      <c r="AW309" s="2" t="s">
        <v>4088</v>
      </c>
      <c r="AX309" s="2" t="s">
        <v>4089</v>
      </c>
      <c r="AY309" s="2" t="s">
        <v>4090</v>
      </c>
      <c r="AZ309" s="2" t="s">
        <v>4090</v>
      </c>
      <c r="BA309" s="2" t="s">
        <v>4091</v>
      </c>
      <c r="BB309" s="2" t="s">
        <v>79</v>
      </c>
      <c r="BD309" s="2" t="s">
        <v>4092</v>
      </c>
      <c r="BE309" s="2" t="s">
        <v>4093</v>
      </c>
      <c r="BF309" s="2" t="s">
        <v>4094</v>
      </c>
    </row>
    <row r="310" spans="1:58" ht="46.5" customHeight="1">
      <c r="A310" s="1"/>
      <c r="B310" s="1" t="s">
        <v>58</v>
      </c>
      <c r="C310" s="1" t="s">
        <v>59</v>
      </c>
      <c r="D310" s="1" t="s">
        <v>4095</v>
      </c>
      <c r="E310" s="1" t="s">
        <v>4096</v>
      </c>
      <c r="F310" s="1" t="s">
        <v>4097</v>
      </c>
      <c r="H310" s="2" t="s">
        <v>63</v>
      </c>
      <c r="I310" s="2" t="s">
        <v>64</v>
      </c>
      <c r="J310" s="2" t="s">
        <v>63</v>
      </c>
      <c r="K310" s="2" t="s">
        <v>63</v>
      </c>
      <c r="L310" s="2" t="s">
        <v>65</v>
      </c>
      <c r="M310" s="1" t="s">
        <v>4098</v>
      </c>
      <c r="N310" s="1" t="s">
        <v>4099</v>
      </c>
      <c r="O310" s="2" t="s">
        <v>4100</v>
      </c>
      <c r="Q310" s="2" t="s">
        <v>70</v>
      </c>
      <c r="R310" s="2" t="s">
        <v>277</v>
      </c>
      <c r="T310" s="2" t="s">
        <v>72</v>
      </c>
      <c r="U310" s="3">
        <v>3</v>
      </c>
      <c r="V310" s="3">
        <v>3</v>
      </c>
      <c r="W310" s="4" t="s">
        <v>4101</v>
      </c>
      <c r="X310" s="4" t="s">
        <v>4101</v>
      </c>
      <c r="Y310" s="4" t="s">
        <v>3387</v>
      </c>
      <c r="Z310" s="4" t="s">
        <v>3387</v>
      </c>
      <c r="AA310" s="3">
        <v>65</v>
      </c>
      <c r="AB310" s="3">
        <v>57</v>
      </c>
      <c r="AC310" s="3">
        <v>141</v>
      </c>
      <c r="AD310" s="3">
        <v>1</v>
      </c>
      <c r="AE310" s="3">
        <v>2</v>
      </c>
      <c r="AF310" s="3">
        <v>3</v>
      </c>
      <c r="AG310" s="3">
        <v>5</v>
      </c>
      <c r="AH310" s="3">
        <v>1</v>
      </c>
      <c r="AI310" s="3">
        <v>1</v>
      </c>
      <c r="AJ310" s="3">
        <v>2</v>
      </c>
      <c r="AK310" s="3">
        <v>3</v>
      </c>
      <c r="AL310" s="3">
        <v>0</v>
      </c>
      <c r="AM310" s="3">
        <v>0</v>
      </c>
      <c r="AN310" s="3">
        <v>0</v>
      </c>
      <c r="AO310" s="3">
        <v>1</v>
      </c>
      <c r="AP310" s="3">
        <v>0</v>
      </c>
      <c r="AQ310" s="3">
        <v>0</v>
      </c>
      <c r="AR310" s="2" t="s">
        <v>92</v>
      </c>
      <c r="AS310" s="2" t="s">
        <v>63</v>
      </c>
      <c r="AT310" s="5" t="str">
        <f>HYPERLINK("http://catalog.hathitrust.org/Record/002081540","HathiTrust Record")</f>
        <v>HathiTrust Record</v>
      </c>
      <c r="AU310" s="5" t="str">
        <f>HYPERLINK("https://creighton-primo.hosted.exlibrisgroup.com/primo-explore/search?tab=default_tab&amp;search_scope=EVERYTHING&amp;vid=01CRU&amp;lang=en_US&amp;offset=0&amp;query=any,contains,991000958609702656","Catalog Record")</f>
        <v>Catalog Record</v>
      </c>
      <c r="AV310" s="5" t="str">
        <f>HYPERLINK("http://www.worldcat.org/oclc/3595867","WorldCat Record")</f>
        <v>WorldCat Record</v>
      </c>
      <c r="AW310" s="2" t="s">
        <v>4102</v>
      </c>
      <c r="AX310" s="2" t="s">
        <v>4103</v>
      </c>
      <c r="AY310" s="2" t="s">
        <v>4104</v>
      </c>
      <c r="AZ310" s="2" t="s">
        <v>4104</v>
      </c>
      <c r="BA310" s="2" t="s">
        <v>4105</v>
      </c>
      <c r="BB310" s="2" t="s">
        <v>79</v>
      </c>
      <c r="BE310" s="2" t="s">
        <v>4106</v>
      </c>
      <c r="BF310" s="2" t="s">
        <v>4107</v>
      </c>
    </row>
    <row r="311" spans="1:58" ht="46.5" customHeight="1">
      <c r="A311" s="1"/>
      <c r="B311" s="1" t="s">
        <v>58</v>
      </c>
      <c r="C311" s="1" t="s">
        <v>59</v>
      </c>
      <c r="D311" s="1" t="s">
        <v>4108</v>
      </c>
      <c r="E311" s="1" t="s">
        <v>4109</v>
      </c>
      <c r="F311" s="1" t="s">
        <v>4110</v>
      </c>
      <c r="G311" s="2" t="s">
        <v>1538</v>
      </c>
      <c r="H311" s="2" t="s">
        <v>92</v>
      </c>
      <c r="I311" s="2" t="s">
        <v>64</v>
      </c>
      <c r="J311" s="2" t="s">
        <v>63</v>
      </c>
      <c r="K311" s="2" t="s">
        <v>63</v>
      </c>
      <c r="L311" s="2" t="s">
        <v>65</v>
      </c>
      <c r="N311" s="1" t="s">
        <v>4111</v>
      </c>
      <c r="O311" s="2" t="s">
        <v>1201</v>
      </c>
      <c r="Q311" s="2" t="s">
        <v>70</v>
      </c>
      <c r="R311" s="2" t="s">
        <v>277</v>
      </c>
      <c r="T311" s="2" t="s">
        <v>72</v>
      </c>
      <c r="U311" s="3">
        <v>7</v>
      </c>
      <c r="V311" s="3">
        <v>16</v>
      </c>
      <c r="W311" s="4" t="s">
        <v>4101</v>
      </c>
      <c r="X311" s="4" t="s">
        <v>4101</v>
      </c>
      <c r="Y311" s="4" t="s">
        <v>3387</v>
      </c>
      <c r="Z311" s="4" t="s">
        <v>3387</v>
      </c>
      <c r="AA311" s="3">
        <v>284</v>
      </c>
      <c r="AB311" s="3">
        <v>215</v>
      </c>
      <c r="AC311" s="3">
        <v>218</v>
      </c>
      <c r="AD311" s="3">
        <v>2</v>
      </c>
      <c r="AE311" s="3">
        <v>2</v>
      </c>
      <c r="AF311" s="3">
        <v>8</v>
      </c>
      <c r="AG311" s="3">
        <v>8</v>
      </c>
      <c r="AH311" s="3">
        <v>2</v>
      </c>
      <c r="AI311" s="3">
        <v>2</v>
      </c>
      <c r="AJ311" s="3">
        <v>2</v>
      </c>
      <c r="AK311" s="3">
        <v>2</v>
      </c>
      <c r="AL311" s="3">
        <v>5</v>
      </c>
      <c r="AM311" s="3">
        <v>5</v>
      </c>
      <c r="AN311" s="3">
        <v>1</v>
      </c>
      <c r="AO311" s="3">
        <v>1</v>
      </c>
      <c r="AP311" s="3">
        <v>0</v>
      </c>
      <c r="AQ311" s="3">
        <v>0</v>
      </c>
      <c r="AR311" s="2" t="s">
        <v>63</v>
      </c>
      <c r="AS311" s="2" t="s">
        <v>92</v>
      </c>
      <c r="AT311" s="5" t="str">
        <f>HYPERLINK("http://catalog.hathitrust.org/Record/000259893","HathiTrust Record")</f>
        <v>HathiTrust Record</v>
      </c>
      <c r="AU311" s="5" t="str">
        <f>HYPERLINK("https://creighton-primo.hosted.exlibrisgroup.com/primo-explore/search?tab=default_tab&amp;search_scope=EVERYTHING&amp;vid=01CRU&amp;lang=en_US&amp;offset=0&amp;query=any,contains,991000958649702656","Catalog Record")</f>
        <v>Catalog Record</v>
      </c>
      <c r="AV311" s="5" t="str">
        <f>HYPERLINK("http://www.worldcat.org/oclc/4638224","WorldCat Record")</f>
        <v>WorldCat Record</v>
      </c>
      <c r="AW311" s="2" t="s">
        <v>4112</v>
      </c>
      <c r="AX311" s="2" t="s">
        <v>4113</v>
      </c>
      <c r="AY311" s="2" t="s">
        <v>4114</v>
      </c>
      <c r="AZ311" s="2" t="s">
        <v>4114</v>
      </c>
      <c r="BA311" s="2" t="s">
        <v>4115</v>
      </c>
      <c r="BB311" s="2" t="s">
        <v>79</v>
      </c>
      <c r="BD311" s="2" t="s">
        <v>4116</v>
      </c>
      <c r="BE311" s="2" t="s">
        <v>4117</v>
      </c>
      <c r="BF311" s="2" t="s">
        <v>4118</v>
      </c>
    </row>
    <row r="312" spans="1:58" ht="46.5" customHeight="1">
      <c r="A312" s="1"/>
      <c r="B312" s="1" t="s">
        <v>58</v>
      </c>
      <c r="C312" s="1" t="s">
        <v>59</v>
      </c>
      <c r="D312" s="1" t="s">
        <v>4108</v>
      </c>
      <c r="E312" s="1" t="s">
        <v>4109</v>
      </c>
      <c r="F312" s="1" t="s">
        <v>4110</v>
      </c>
      <c r="G312" s="2" t="s">
        <v>1552</v>
      </c>
      <c r="H312" s="2" t="s">
        <v>92</v>
      </c>
      <c r="I312" s="2" t="s">
        <v>64</v>
      </c>
      <c r="J312" s="2" t="s">
        <v>63</v>
      </c>
      <c r="K312" s="2" t="s">
        <v>63</v>
      </c>
      <c r="L312" s="2" t="s">
        <v>65</v>
      </c>
      <c r="N312" s="1" t="s">
        <v>4111</v>
      </c>
      <c r="O312" s="2" t="s">
        <v>1201</v>
      </c>
      <c r="Q312" s="2" t="s">
        <v>70</v>
      </c>
      <c r="R312" s="2" t="s">
        <v>277</v>
      </c>
      <c r="T312" s="2" t="s">
        <v>72</v>
      </c>
      <c r="U312" s="3">
        <v>9</v>
      </c>
      <c r="V312" s="3">
        <v>16</v>
      </c>
      <c r="W312" s="4" t="s">
        <v>4101</v>
      </c>
      <c r="X312" s="4" t="s">
        <v>4101</v>
      </c>
      <c r="Y312" s="4" t="s">
        <v>3387</v>
      </c>
      <c r="Z312" s="4" t="s">
        <v>3387</v>
      </c>
      <c r="AA312" s="3">
        <v>284</v>
      </c>
      <c r="AB312" s="3">
        <v>215</v>
      </c>
      <c r="AC312" s="3">
        <v>218</v>
      </c>
      <c r="AD312" s="3">
        <v>2</v>
      </c>
      <c r="AE312" s="3">
        <v>2</v>
      </c>
      <c r="AF312" s="3">
        <v>8</v>
      </c>
      <c r="AG312" s="3">
        <v>8</v>
      </c>
      <c r="AH312" s="3">
        <v>2</v>
      </c>
      <c r="AI312" s="3">
        <v>2</v>
      </c>
      <c r="AJ312" s="3">
        <v>2</v>
      </c>
      <c r="AK312" s="3">
        <v>2</v>
      </c>
      <c r="AL312" s="3">
        <v>5</v>
      </c>
      <c r="AM312" s="3">
        <v>5</v>
      </c>
      <c r="AN312" s="3">
        <v>1</v>
      </c>
      <c r="AO312" s="3">
        <v>1</v>
      </c>
      <c r="AP312" s="3">
        <v>0</v>
      </c>
      <c r="AQ312" s="3">
        <v>0</v>
      </c>
      <c r="AR312" s="2" t="s">
        <v>63</v>
      </c>
      <c r="AS312" s="2" t="s">
        <v>92</v>
      </c>
      <c r="AT312" s="5" t="str">
        <f>HYPERLINK("http://catalog.hathitrust.org/Record/000259893","HathiTrust Record")</f>
        <v>HathiTrust Record</v>
      </c>
      <c r="AU312" s="5" t="str">
        <f>HYPERLINK("https://creighton-primo.hosted.exlibrisgroup.com/primo-explore/search?tab=default_tab&amp;search_scope=EVERYTHING&amp;vid=01CRU&amp;lang=en_US&amp;offset=0&amp;query=any,contains,991000958649702656","Catalog Record")</f>
        <v>Catalog Record</v>
      </c>
      <c r="AV312" s="5" t="str">
        <f>HYPERLINK("http://www.worldcat.org/oclc/4638224","WorldCat Record")</f>
        <v>WorldCat Record</v>
      </c>
      <c r="AW312" s="2" t="s">
        <v>4112</v>
      </c>
      <c r="AX312" s="2" t="s">
        <v>4113</v>
      </c>
      <c r="AY312" s="2" t="s">
        <v>4114</v>
      </c>
      <c r="AZ312" s="2" t="s">
        <v>4114</v>
      </c>
      <c r="BA312" s="2" t="s">
        <v>4115</v>
      </c>
      <c r="BB312" s="2" t="s">
        <v>79</v>
      </c>
      <c r="BD312" s="2" t="s">
        <v>4116</v>
      </c>
      <c r="BE312" s="2" t="s">
        <v>4119</v>
      </c>
      <c r="BF312" s="2" t="s">
        <v>4120</v>
      </c>
    </row>
    <row r="313" spans="1:58" ht="46.5" customHeight="1">
      <c r="A313" s="1"/>
      <c r="B313" s="1" t="s">
        <v>58</v>
      </c>
      <c r="C313" s="1" t="s">
        <v>59</v>
      </c>
      <c r="D313" s="1" t="s">
        <v>4121</v>
      </c>
      <c r="E313" s="1" t="s">
        <v>4122</v>
      </c>
      <c r="F313" s="1" t="s">
        <v>4123</v>
      </c>
      <c r="H313" s="2" t="s">
        <v>63</v>
      </c>
      <c r="I313" s="2" t="s">
        <v>64</v>
      </c>
      <c r="J313" s="2" t="s">
        <v>63</v>
      </c>
      <c r="K313" s="2" t="s">
        <v>63</v>
      </c>
      <c r="L313" s="2" t="s">
        <v>65</v>
      </c>
      <c r="M313" s="1" t="s">
        <v>4124</v>
      </c>
      <c r="N313" s="1" t="s">
        <v>4125</v>
      </c>
      <c r="O313" s="2" t="s">
        <v>172</v>
      </c>
      <c r="Q313" s="2" t="s">
        <v>70</v>
      </c>
      <c r="R313" s="2" t="s">
        <v>89</v>
      </c>
      <c r="T313" s="2" t="s">
        <v>72</v>
      </c>
      <c r="U313" s="3">
        <v>10</v>
      </c>
      <c r="V313" s="3">
        <v>10</v>
      </c>
      <c r="W313" s="4" t="s">
        <v>4101</v>
      </c>
      <c r="X313" s="4" t="s">
        <v>4101</v>
      </c>
      <c r="Y313" s="4" t="s">
        <v>3387</v>
      </c>
      <c r="Z313" s="4" t="s">
        <v>3387</v>
      </c>
      <c r="AA313" s="3">
        <v>316</v>
      </c>
      <c r="AB313" s="3">
        <v>262</v>
      </c>
      <c r="AC313" s="3">
        <v>269</v>
      </c>
      <c r="AD313" s="3">
        <v>2</v>
      </c>
      <c r="AE313" s="3">
        <v>2</v>
      </c>
      <c r="AF313" s="3">
        <v>11</v>
      </c>
      <c r="AG313" s="3">
        <v>11</v>
      </c>
      <c r="AH313" s="3">
        <v>4</v>
      </c>
      <c r="AI313" s="3">
        <v>4</v>
      </c>
      <c r="AJ313" s="3">
        <v>3</v>
      </c>
      <c r="AK313" s="3">
        <v>3</v>
      </c>
      <c r="AL313" s="3">
        <v>7</v>
      </c>
      <c r="AM313" s="3">
        <v>7</v>
      </c>
      <c r="AN313" s="3">
        <v>1</v>
      </c>
      <c r="AO313" s="3">
        <v>1</v>
      </c>
      <c r="AP313" s="3">
        <v>0</v>
      </c>
      <c r="AQ313" s="3">
        <v>0</v>
      </c>
      <c r="AR313" s="2" t="s">
        <v>63</v>
      </c>
      <c r="AS313" s="2" t="s">
        <v>92</v>
      </c>
      <c r="AT313" s="5" t="str">
        <f>HYPERLINK("http://catalog.hathitrust.org/Record/000205220","HathiTrust Record")</f>
        <v>HathiTrust Record</v>
      </c>
      <c r="AU313" s="5" t="str">
        <f>HYPERLINK("https://creighton-primo.hosted.exlibrisgroup.com/primo-explore/search?tab=default_tab&amp;search_scope=EVERYTHING&amp;vid=01CRU&amp;lang=en_US&amp;offset=0&amp;query=any,contains,991000958569702656","Catalog Record")</f>
        <v>Catalog Record</v>
      </c>
      <c r="AV313" s="5" t="str">
        <f>HYPERLINK("http://www.worldcat.org/oclc/8452085","WorldCat Record")</f>
        <v>WorldCat Record</v>
      </c>
      <c r="AW313" s="2" t="s">
        <v>4126</v>
      </c>
      <c r="AX313" s="2" t="s">
        <v>4127</v>
      </c>
      <c r="AY313" s="2" t="s">
        <v>4128</v>
      </c>
      <c r="AZ313" s="2" t="s">
        <v>4128</v>
      </c>
      <c r="BA313" s="2" t="s">
        <v>4129</v>
      </c>
      <c r="BB313" s="2" t="s">
        <v>79</v>
      </c>
      <c r="BD313" s="2" t="s">
        <v>4130</v>
      </c>
      <c r="BE313" s="2" t="s">
        <v>4131</v>
      </c>
      <c r="BF313" s="2" t="s">
        <v>4132</v>
      </c>
    </row>
    <row r="314" spans="1:58" ht="46.5" customHeight="1">
      <c r="A314" s="1"/>
      <c r="B314" s="1" t="s">
        <v>58</v>
      </c>
      <c r="C314" s="1" t="s">
        <v>59</v>
      </c>
      <c r="D314" s="1" t="s">
        <v>4133</v>
      </c>
      <c r="E314" s="1" t="s">
        <v>4134</v>
      </c>
      <c r="F314" s="1" t="s">
        <v>4135</v>
      </c>
      <c r="H314" s="2" t="s">
        <v>63</v>
      </c>
      <c r="I314" s="2" t="s">
        <v>64</v>
      </c>
      <c r="J314" s="2" t="s">
        <v>63</v>
      </c>
      <c r="K314" s="2" t="s">
        <v>92</v>
      </c>
      <c r="L314" s="2" t="s">
        <v>65</v>
      </c>
      <c r="N314" s="1" t="s">
        <v>4136</v>
      </c>
      <c r="O314" s="2" t="s">
        <v>292</v>
      </c>
      <c r="Q314" s="2" t="s">
        <v>70</v>
      </c>
      <c r="R314" s="2" t="s">
        <v>89</v>
      </c>
      <c r="T314" s="2" t="s">
        <v>72</v>
      </c>
      <c r="U314" s="3">
        <v>11</v>
      </c>
      <c r="V314" s="3">
        <v>11</v>
      </c>
      <c r="W314" s="4" t="s">
        <v>4137</v>
      </c>
      <c r="X314" s="4" t="s">
        <v>4137</v>
      </c>
      <c r="Y314" s="4" t="s">
        <v>4138</v>
      </c>
      <c r="Z314" s="4" t="s">
        <v>4138</v>
      </c>
      <c r="AA314" s="3">
        <v>85</v>
      </c>
      <c r="AB314" s="3">
        <v>65</v>
      </c>
      <c r="AC314" s="3">
        <v>88</v>
      </c>
      <c r="AD314" s="3">
        <v>1</v>
      </c>
      <c r="AE314" s="3">
        <v>2</v>
      </c>
      <c r="AF314" s="3">
        <v>1</v>
      </c>
      <c r="AG314" s="3">
        <v>5</v>
      </c>
      <c r="AH314" s="3">
        <v>0</v>
      </c>
      <c r="AI314" s="3">
        <v>1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1</v>
      </c>
      <c r="AQ314" s="3">
        <v>4</v>
      </c>
      <c r="AR314" s="2" t="s">
        <v>63</v>
      </c>
      <c r="AS314" s="2" t="s">
        <v>63</v>
      </c>
      <c r="AU314" s="5" t="str">
        <f>HYPERLINK("https://creighton-primo.hosted.exlibrisgroup.com/primo-explore/search?tab=default_tab&amp;search_scope=EVERYTHING&amp;vid=01CRU&amp;lang=en_US&amp;offset=0&amp;query=any,contains,991001313169702656","Catalog Record")</f>
        <v>Catalog Record</v>
      </c>
      <c r="AV314" s="5" t="str">
        <f>HYPERLINK("http://www.worldcat.org/oclc/15017114","WorldCat Record")</f>
        <v>WorldCat Record</v>
      </c>
      <c r="AW314" s="2" t="s">
        <v>4139</v>
      </c>
      <c r="AX314" s="2" t="s">
        <v>4140</v>
      </c>
      <c r="AY314" s="2" t="s">
        <v>4141</v>
      </c>
      <c r="AZ314" s="2" t="s">
        <v>4141</v>
      </c>
      <c r="BA314" s="2" t="s">
        <v>4142</v>
      </c>
      <c r="BB314" s="2" t="s">
        <v>79</v>
      </c>
      <c r="BD314" s="2" t="s">
        <v>4143</v>
      </c>
      <c r="BE314" s="2" t="s">
        <v>4144</v>
      </c>
      <c r="BF314" s="2" t="s">
        <v>4145</v>
      </c>
    </row>
    <row r="315" spans="1:58" ht="46.5" customHeight="1">
      <c r="A315" s="1"/>
      <c r="B315" s="1" t="s">
        <v>58</v>
      </c>
      <c r="C315" s="1" t="s">
        <v>59</v>
      </c>
      <c r="D315" s="1" t="s">
        <v>4146</v>
      </c>
      <c r="E315" s="1" t="s">
        <v>4147</v>
      </c>
      <c r="F315" s="1" t="s">
        <v>4148</v>
      </c>
      <c r="H315" s="2" t="s">
        <v>63</v>
      </c>
      <c r="I315" s="2" t="s">
        <v>64</v>
      </c>
      <c r="J315" s="2" t="s">
        <v>63</v>
      </c>
      <c r="K315" s="2" t="s">
        <v>63</v>
      </c>
      <c r="L315" s="2" t="s">
        <v>65</v>
      </c>
      <c r="N315" s="1" t="s">
        <v>4149</v>
      </c>
      <c r="O315" s="2" t="s">
        <v>145</v>
      </c>
      <c r="P315" s="1" t="s">
        <v>230</v>
      </c>
      <c r="Q315" s="2" t="s">
        <v>70</v>
      </c>
      <c r="R315" s="2" t="s">
        <v>277</v>
      </c>
      <c r="T315" s="2" t="s">
        <v>72</v>
      </c>
      <c r="U315" s="3">
        <v>16</v>
      </c>
      <c r="V315" s="3">
        <v>16</v>
      </c>
      <c r="W315" s="4" t="s">
        <v>4150</v>
      </c>
      <c r="X315" s="4" t="s">
        <v>4150</v>
      </c>
      <c r="Y315" s="4" t="s">
        <v>4151</v>
      </c>
      <c r="Z315" s="4" t="s">
        <v>4151</v>
      </c>
      <c r="AA315" s="3">
        <v>129</v>
      </c>
      <c r="AB315" s="3">
        <v>90</v>
      </c>
      <c r="AC315" s="3">
        <v>621</v>
      </c>
      <c r="AD315" s="3">
        <v>1</v>
      </c>
      <c r="AE315" s="3">
        <v>6</v>
      </c>
      <c r="AF315" s="3">
        <v>3</v>
      </c>
      <c r="AG315" s="3">
        <v>29</v>
      </c>
      <c r="AH315" s="3">
        <v>1</v>
      </c>
      <c r="AI315" s="3">
        <v>10</v>
      </c>
      <c r="AJ315" s="3">
        <v>1</v>
      </c>
      <c r="AK315" s="3">
        <v>8</v>
      </c>
      <c r="AL315" s="3">
        <v>2</v>
      </c>
      <c r="AM315" s="3">
        <v>10</v>
      </c>
      <c r="AN315" s="3">
        <v>0</v>
      </c>
      <c r="AO315" s="3">
        <v>5</v>
      </c>
      <c r="AP315" s="3">
        <v>0</v>
      </c>
      <c r="AQ315" s="3">
        <v>1</v>
      </c>
      <c r="AR315" s="2" t="s">
        <v>63</v>
      </c>
      <c r="AS315" s="2" t="s">
        <v>63</v>
      </c>
      <c r="AU315" s="5" t="str">
        <f>HYPERLINK("https://creighton-primo.hosted.exlibrisgroup.com/primo-explore/search?tab=default_tab&amp;search_scope=EVERYTHING&amp;vid=01CRU&amp;lang=en_US&amp;offset=0&amp;query=any,contains,991001405329702656","Catalog Record")</f>
        <v>Catalog Record</v>
      </c>
      <c r="AV315" s="5" t="str">
        <f>HYPERLINK("http://www.worldcat.org/oclc/31754515","WorldCat Record")</f>
        <v>WorldCat Record</v>
      </c>
      <c r="AW315" s="2" t="s">
        <v>4152</v>
      </c>
      <c r="AX315" s="2" t="s">
        <v>4153</v>
      </c>
      <c r="AY315" s="2" t="s">
        <v>4154</v>
      </c>
      <c r="AZ315" s="2" t="s">
        <v>4154</v>
      </c>
      <c r="BA315" s="2" t="s">
        <v>4155</v>
      </c>
      <c r="BB315" s="2" t="s">
        <v>79</v>
      </c>
      <c r="BD315" s="2" t="s">
        <v>4156</v>
      </c>
      <c r="BE315" s="2" t="s">
        <v>4157</v>
      </c>
      <c r="BF315" s="2" t="s">
        <v>4158</v>
      </c>
    </row>
    <row r="316" spans="1:58" ht="46.5" customHeight="1">
      <c r="A316" s="1"/>
      <c r="B316" s="1" t="s">
        <v>58</v>
      </c>
      <c r="C316" s="1" t="s">
        <v>59</v>
      </c>
      <c r="D316" s="1" t="s">
        <v>4159</v>
      </c>
      <c r="E316" s="1" t="s">
        <v>4160</v>
      </c>
      <c r="F316" s="1" t="s">
        <v>4161</v>
      </c>
      <c r="H316" s="2" t="s">
        <v>63</v>
      </c>
      <c r="I316" s="2" t="s">
        <v>64</v>
      </c>
      <c r="J316" s="2" t="s">
        <v>63</v>
      </c>
      <c r="K316" s="2" t="s">
        <v>63</v>
      </c>
      <c r="L316" s="2" t="s">
        <v>65</v>
      </c>
      <c r="N316" s="1" t="s">
        <v>4162</v>
      </c>
      <c r="O316" s="2" t="s">
        <v>814</v>
      </c>
      <c r="Q316" s="2" t="s">
        <v>70</v>
      </c>
      <c r="R316" s="2" t="s">
        <v>786</v>
      </c>
      <c r="S316" s="1" t="s">
        <v>4163</v>
      </c>
      <c r="T316" s="2" t="s">
        <v>72</v>
      </c>
      <c r="U316" s="3">
        <v>6</v>
      </c>
      <c r="V316" s="3">
        <v>6</v>
      </c>
      <c r="W316" s="4" t="s">
        <v>4164</v>
      </c>
      <c r="X316" s="4" t="s">
        <v>4164</v>
      </c>
      <c r="Y316" s="4" t="s">
        <v>4165</v>
      </c>
      <c r="Z316" s="4" t="s">
        <v>4165</v>
      </c>
      <c r="AA316" s="3">
        <v>128</v>
      </c>
      <c r="AB316" s="3">
        <v>72</v>
      </c>
      <c r="AC316" s="3">
        <v>107</v>
      </c>
      <c r="AD316" s="3">
        <v>1</v>
      </c>
      <c r="AE316" s="3">
        <v>1</v>
      </c>
      <c r="AF316" s="3">
        <v>3</v>
      </c>
      <c r="AG316" s="3">
        <v>5</v>
      </c>
      <c r="AH316" s="3">
        <v>0</v>
      </c>
      <c r="AI316" s="3">
        <v>1</v>
      </c>
      <c r="AJ316" s="3">
        <v>3</v>
      </c>
      <c r="AK316" s="3">
        <v>3</v>
      </c>
      <c r="AL316" s="3">
        <v>0</v>
      </c>
      <c r="AM316" s="3">
        <v>2</v>
      </c>
      <c r="AN316" s="3">
        <v>0</v>
      </c>
      <c r="AO316" s="3">
        <v>0</v>
      </c>
      <c r="AP316" s="3">
        <v>0</v>
      </c>
      <c r="AQ316" s="3">
        <v>0</v>
      </c>
      <c r="AR316" s="2" t="s">
        <v>63</v>
      </c>
      <c r="AS316" s="2" t="s">
        <v>92</v>
      </c>
      <c r="AT316" s="5" t="str">
        <f>HYPERLINK("http://catalog.hathitrust.org/Record/003337442","HathiTrust Record")</f>
        <v>HathiTrust Record</v>
      </c>
      <c r="AU316" s="5" t="str">
        <f>HYPERLINK("https://creighton-primo.hosted.exlibrisgroup.com/primo-explore/search?tab=default_tab&amp;search_scope=EVERYTHING&amp;vid=01CRU&amp;lang=en_US&amp;offset=0&amp;query=any,contains,991000277069702656","Catalog Record")</f>
        <v>Catalog Record</v>
      </c>
      <c r="AV316" s="5" t="str">
        <f>HYPERLINK("http://www.worldcat.org/oclc/40698392","WorldCat Record")</f>
        <v>WorldCat Record</v>
      </c>
      <c r="AW316" s="2" t="s">
        <v>4166</v>
      </c>
      <c r="AX316" s="2" t="s">
        <v>4167</v>
      </c>
      <c r="AY316" s="2" t="s">
        <v>4168</v>
      </c>
      <c r="AZ316" s="2" t="s">
        <v>4168</v>
      </c>
      <c r="BA316" s="2" t="s">
        <v>4169</v>
      </c>
      <c r="BB316" s="2" t="s">
        <v>79</v>
      </c>
      <c r="BD316" s="2" t="s">
        <v>4170</v>
      </c>
      <c r="BE316" s="2" t="s">
        <v>4171</v>
      </c>
      <c r="BF316" s="2" t="s">
        <v>4172</v>
      </c>
    </row>
    <row r="317" spans="1:58" ht="46.5" customHeight="1">
      <c r="A317" s="1"/>
      <c r="B317" s="1" t="s">
        <v>58</v>
      </c>
      <c r="C317" s="1" t="s">
        <v>59</v>
      </c>
      <c r="D317" s="1" t="s">
        <v>4173</v>
      </c>
      <c r="E317" s="1" t="s">
        <v>4174</v>
      </c>
      <c r="F317" s="1" t="s">
        <v>4175</v>
      </c>
      <c r="H317" s="2" t="s">
        <v>63</v>
      </c>
      <c r="I317" s="2" t="s">
        <v>64</v>
      </c>
      <c r="J317" s="2" t="s">
        <v>63</v>
      </c>
      <c r="K317" s="2" t="s">
        <v>63</v>
      </c>
      <c r="L317" s="2" t="s">
        <v>65</v>
      </c>
      <c r="M317" s="1" t="s">
        <v>4176</v>
      </c>
      <c r="N317" s="1" t="s">
        <v>4177</v>
      </c>
      <c r="O317" s="2" t="s">
        <v>119</v>
      </c>
      <c r="Q317" s="2" t="s">
        <v>70</v>
      </c>
      <c r="R317" s="2" t="s">
        <v>89</v>
      </c>
      <c r="T317" s="2" t="s">
        <v>72</v>
      </c>
      <c r="U317" s="3">
        <v>9</v>
      </c>
      <c r="V317" s="3">
        <v>9</v>
      </c>
      <c r="W317" s="4" t="s">
        <v>4178</v>
      </c>
      <c r="X317" s="4" t="s">
        <v>4178</v>
      </c>
      <c r="Y317" s="4" t="s">
        <v>3387</v>
      </c>
      <c r="Z317" s="4" t="s">
        <v>3387</v>
      </c>
      <c r="AA317" s="3">
        <v>103</v>
      </c>
      <c r="AB317" s="3">
        <v>76</v>
      </c>
      <c r="AC317" s="3">
        <v>78</v>
      </c>
      <c r="AD317" s="3">
        <v>1</v>
      </c>
      <c r="AE317" s="3">
        <v>1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2" t="s">
        <v>63</v>
      </c>
      <c r="AS317" s="2" t="s">
        <v>92</v>
      </c>
      <c r="AT317" s="5" t="str">
        <f>HYPERLINK("http://catalog.hathitrust.org/Record/000773463","HathiTrust Record")</f>
        <v>HathiTrust Record</v>
      </c>
      <c r="AU317" s="5" t="str">
        <f>HYPERLINK("https://creighton-primo.hosted.exlibrisgroup.com/primo-explore/search?tab=default_tab&amp;search_scope=EVERYTHING&amp;vid=01CRU&amp;lang=en_US&amp;offset=0&amp;query=any,contains,991000958539702656","Catalog Record")</f>
        <v>Catalog Record</v>
      </c>
      <c r="AV317" s="5" t="str">
        <f>HYPERLINK("http://www.worldcat.org/oclc/8668580","WorldCat Record")</f>
        <v>WorldCat Record</v>
      </c>
      <c r="AW317" s="2" t="s">
        <v>4179</v>
      </c>
      <c r="AX317" s="2" t="s">
        <v>4180</v>
      </c>
      <c r="AY317" s="2" t="s">
        <v>4181</v>
      </c>
      <c r="AZ317" s="2" t="s">
        <v>4181</v>
      </c>
      <c r="BA317" s="2" t="s">
        <v>4182</v>
      </c>
      <c r="BB317" s="2" t="s">
        <v>79</v>
      </c>
      <c r="BE317" s="2" t="s">
        <v>4183</v>
      </c>
      <c r="BF317" s="2" t="s">
        <v>4184</v>
      </c>
    </row>
    <row r="318" spans="1:58" ht="46.5" customHeight="1">
      <c r="A318" s="1"/>
      <c r="B318" s="1" t="s">
        <v>58</v>
      </c>
      <c r="C318" s="1" t="s">
        <v>59</v>
      </c>
      <c r="D318" s="1" t="s">
        <v>4185</v>
      </c>
      <c r="E318" s="1" t="s">
        <v>4186</v>
      </c>
      <c r="F318" s="1" t="s">
        <v>4187</v>
      </c>
      <c r="H318" s="2" t="s">
        <v>63</v>
      </c>
      <c r="I318" s="2" t="s">
        <v>64</v>
      </c>
      <c r="J318" s="2" t="s">
        <v>63</v>
      </c>
      <c r="K318" s="2" t="s">
        <v>63</v>
      </c>
      <c r="L318" s="2" t="s">
        <v>65</v>
      </c>
      <c r="M318" s="1" t="s">
        <v>4188</v>
      </c>
      <c r="N318" s="1" t="s">
        <v>4189</v>
      </c>
      <c r="O318" s="2" t="s">
        <v>292</v>
      </c>
      <c r="Q318" s="2" t="s">
        <v>70</v>
      </c>
      <c r="R318" s="2" t="s">
        <v>277</v>
      </c>
      <c r="T318" s="2" t="s">
        <v>72</v>
      </c>
      <c r="U318" s="3">
        <v>5</v>
      </c>
      <c r="V318" s="3">
        <v>5</v>
      </c>
      <c r="W318" s="4" t="s">
        <v>4190</v>
      </c>
      <c r="X318" s="4" t="s">
        <v>4190</v>
      </c>
      <c r="Y318" s="4" t="s">
        <v>4191</v>
      </c>
      <c r="Z318" s="4" t="s">
        <v>4191</v>
      </c>
      <c r="AA318" s="3">
        <v>280</v>
      </c>
      <c r="AB318" s="3">
        <v>268</v>
      </c>
      <c r="AC318" s="3">
        <v>493</v>
      </c>
      <c r="AD318" s="3">
        <v>1</v>
      </c>
      <c r="AE318" s="3">
        <v>4</v>
      </c>
      <c r="AF318" s="3">
        <v>2</v>
      </c>
      <c r="AG318" s="3">
        <v>2</v>
      </c>
      <c r="AH318" s="3">
        <v>1</v>
      </c>
      <c r="AI318" s="3">
        <v>1</v>
      </c>
      <c r="AJ318" s="3">
        <v>1</v>
      </c>
      <c r="AK318" s="3">
        <v>1</v>
      </c>
      <c r="AL318" s="3">
        <v>1</v>
      </c>
      <c r="AM318" s="3">
        <v>1</v>
      </c>
      <c r="AN318" s="3">
        <v>0</v>
      </c>
      <c r="AO318" s="3">
        <v>0</v>
      </c>
      <c r="AP318" s="3">
        <v>0</v>
      </c>
      <c r="AQ318" s="3">
        <v>0</v>
      </c>
      <c r="AR318" s="2" t="s">
        <v>63</v>
      </c>
      <c r="AS318" s="2" t="s">
        <v>92</v>
      </c>
      <c r="AT318" s="5" t="str">
        <f>HYPERLINK("http://catalog.hathitrust.org/Record/001096641","HathiTrust Record")</f>
        <v>HathiTrust Record</v>
      </c>
      <c r="AU318" s="5" t="str">
        <f>HYPERLINK("https://creighton-primo.hosted.exlibrisgroup.com/primo-explore/search?tab=default_tab&amp;search_scope=EVERYTHING&amp;vid=01CRU&amp;lang=en_US&amp;offset=0&amp;query=any,contains,991001416239702656","Catalog Record")</f>
        <v>Catalog Record</v>
      </c>
      <c r="AV318" s="5" t="str">
        <f>HYPERLINK("http://www.worldcat.org/oclc/19723895","WorldCat Record")</f>
        <v>WorldCat Record</v>
      </c>
      <c r="AW318" s="2" t="s">
        <v>4192</v>
      </c>
      <c r="AX318" s="2" t="s">
        <v>4193</v>
      </c>
      <c r="AY318" s="2" t="s">
        <v>4194</v>
      </c>
      <c r="AZ318" s="2" t="s">
        <v>4194</v>
      </c>
      <c r="BA318" s="2" t="s">
        <v>4195</v>
      </c>
      <c r="BB318" s="2" t="s">
        <v>79</v>
      </c>
      <c r="BE318" s="2" t="s">
        <v>4196</v>
      </c>
      <c r="BF318" s="2" t="s">
        <v>4197</v>
      </c>
    </row>
    <row r="319" spans="1:58" ht="46.5" customHeight="1">
      <c r="A319" s="1"/>
      <c r="B319" s="1" t="s">
        <v>58</v>
      </c>
      <c r="C319" s="1" t="s">
        <v>59</v>
      </c>
      <c r="D319" s="1" t="s">
        <v>4198</v>
      </c>
      <c r="E319" s="1" t="s">
        <v>4199</v>
      </c>
      <c r="F319" s="1" t="s">
        <v>4200</v>
      </c>
      <c r="G319" s="2" t="s">
        <v>4201</v>
      </c>
      <c r="H319" s="2" t="s">
        <v>63</v>
      </c>
      <c r="I319" s="2" t="s">
        <v>64</v>
      </c>
      <c r="J319" s="2" t="s">
        <v>63</v>
      </c>
      <c r="K319" s="2" t="s">
        <v>63</v>
      </c>
      <c r="L319" s="2" t="s">
        <v>65</v>
      </c>
      <c r="N319" s="1" t="s">
        <v>4202</v>
      </c>
      <c r="O319" s="2" t="s">
        <v>407</v>
      </c>
      <c r="Q319" s="2" t="s">
        <v>70</v>
      </c>
      <c r="R319" s="2" t="s">
        <v>89</v>
      </c>
      <c r="S319" s="1" t="s">
        <v>4203</v>
      </c>
      <c r="T319" s="2" t="s">
        <v>72</v>
      </c>
      <c r="U319" s="3">
        <v>5</v>
      </c>
      <c r="V319" s="3">
        <v>5</v>
      </c>
      <c r="W319" s="4" t="s">
        <v>4204</v>
      </c>
      <c r="X319" s="4" t="s">
        <v>4204</v>
      </c>
      <c r="Y319" s="4" t="s">
        <v>773</v>
      </c>
      <c r="Z319" s="4" t="s">
        <v>773</v>
      </c>
      <c r="AA319" s="3">
        <v>119</v>
      </c>
      <c r="AB319" s="3">
        <v>86</v>
      </c>
      <c r="AC319" s="3">
        <v>86</v>
      </c>
      <c r="AD319" s="3">
        <v>1</v>
      </c>
      <c r="AE319" s="3">
        <v>1</v>
      </c>
      <c r="AF319" s="3">
        <v>4</v>
      </c>
      <c r="AG319" s="3">
        <v>4</v>
      </c>
      <c r="AH319" s="3">
        <v>0</v>
      </c>
      <c r="AI319" s="3">
        <v>0</v>
      </c>
      <c r="AJ319" s="3">
        <v>2</v>
      </c>
      <c r="AK319" s="3">
        <v>2</v>
      </c>
      <c r="AL319" s="3">
        <v>3</v>
      </c>
      <c r="AM319" s="3">
        <v>3</v>
      </c>
      <c r="AN319" s="3">
        <v>0</v>
      </c>
      <c r="AO319" s="3">
        <v>0</v>
      </c>
      <c r="AP319" s="3">
        <v>0</v>
      </c>
      <c r="AQ319" s="3">
        <v>0</v>
      </c>
      <c r="AR319" s="2" t="s">
        <v>63</v>
      </c>
      <c r="AS319" s="2" t="s">
        <v>63</v>
      </c>
      <c r="AU319" s="5" t="str">
        <f>HYPERLINK("https://creighton-primo.hosted.exlibrisgroup.com/primo-explore/search?tab=default_tab&amp;search_scope=EVERYTHING&amp;vid=01CRU&amp;lang=en_US&amp;offset=0&amp;query=any,contains,991001453489702656","Catalog Record")</f>
        <v>Catalog Record</v>
      </c>
      <c r="AV319" s="5" t="str">
        <f>HYPERLINK("http://www.worldcat.org/oclc/20593692","WorldCat Record")</f>
        <v>WorldCat Record</v>
      </c>
      <c r="AW319" s="2" t="s">
        <v>4205</v>
      </c>
      <c r="AX319" s="2" t="s">
        <v>4206</v>
      </c>
      <c r="AY319" s="2" t="s">
        <v>4207</v>
      </c>
      <c r="AZ319" s="2" t="s">
        <v>4207</v>
      </c>
      <c r="BA319" s="2" t="s">
        <v>4208</v>
      </c>
      <c r="BB319" s="2" t="s">
        <v>79</v>
      </c>
      <c r="BD319" s="2" t="s">
        <v>4209</v>
      </c>
      <c r="BE319" s="2" t="s">
        <v>4210</v>
      </c>
      <c r="BF319" s="2" t="s">
        <v>4211</v>
      </c>
    </row>
    <row r="320" spans="1:58" ht="46.5" customHeight="1">
      <c r="A320" s="1"/>
      <c r="B320" s="1" t="s">
        <v>58</v>
      </c>
      <c r="C320" s="1" t="s">
        <v>59</v>
      </c>
      <c r="D320" s="1" t="s">
        <v>4212</v>
      </c>
      <c r="E320" s="1" t="s">
        <v>4213</v>
      </c>
      <c r="F320" s="1" t="s">
        <v>4214</v>
      </c>
      <c r="H320" s="2" t="s">
        <v>63</v>
      </c>
      <c r="I320" s="2" t="s">
        <v>64</v>
      </c>
      <c r="J320" s="2" t="s">
        <v>63</v>
      </c>
      <c r="K320" s="2" t="s">
        <v>63</v>
      </c>
      <c r="L320" s="2" t="s">
        <v>65</v>
      </c>
      <c r="M320" s="1" t="s">
        <v>4215</v>
      </c>
      <c r="N320" s="1" t="s">
        <v>4216</v>
      </c>
      <c r="O320" s="2" t="s">
        <v>87</v>
      </c>
      <c r="Q320" s="2" t="s">
        <v>70</v>
      </c>
      <c r="R320" s="2" t="s">
        <v>786</v>
      </c>
      <c r="T320" s="2" t="s">
        <v>72</v>
      </c>
      <c r="U320" s="3">
        <v>14</v>
      </c>
      <c r="V320" s="3">
        <v>14</v>
      </c>
      <c r="W320" s="4" t="s">
        <v>4204</v>
      </c>
      <c r="X320" s="4" t="s">
        <v>4204</v>
      </c>
      <c r="Y320" s="4" t="s">
        <v>4217</v>
      </c>
      <c r="Z320" s="4" t="s">
        <v>4217</v>
      </c>
      <c r="AA320" s="3">
        <v>64</v>
      </c>
      <c r="AB320" s="3">
        <v>47</v>
      </c>
      <c r="AC320" s="3">
        <v>67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1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2" t="s">
        <v>63</v>
      </c>
      <c r="AS320" s="2" t="s">
        <v>92</v>
      </c>
      <c r="AT320" s="5" t="str">
        <f>HYPERLINK("http://catalog.hathitrust.org/Record/000874654","HathiTrust Record")</f>
        <v>HathiTrust Record</v>
      </c>
      <c r="AU320" s="5" t="str">
        <f>HYPERLINK("https://creighton-primo.hosted.exlibrisgroup.com/primo-explore/search?tab=default_tab&amp;search_scope=EVERYTHING&amp;vid=01CRU&amp;lang=en_US&amp;offset=0&amp;query=any,contains,991001532719702656","Catalog Record")</f>
        <v>Catalog Record</v>
      </c>
      <c r="AV320" s="5" t="str">
        <f>HYPERLINK("http://www.worldcat.org/oclc/17804962","WorldCat Record")</f>
        <v>WorldCat Record</v>
      </c>
      <c r="AW320" s="2" t="s">
        <v>4218</v>
      </c>
      <c r="AX320" s="2" t="s">
        <v>4219</v>
      </c>
      <c r="AY320" s="2" t="s">
        <v>4220</v>
      </c>
      <c r="AZ320" s="2" t="s">
        <v>4220</v>
      </c>
      <c r="BA320" s="2" t="s">
        <v>4221</v>
      </c>
      <c r="BB320" s="2" t="s">
        <v>79</v>
      </c>
      <c r="BD320" s="2" t="s">
        <v>4222</v>
      </c>
      <c r="BE320" s="2" t="s">
        <v>4223</v>
      </c>
      <c r="BF320" s="2" t="s">
        <v>4224</v>
      </c>
    </row>
    <row r="321" spans="1:58" ht="46.5" customHeight="1">
      <c r="A321" s="1"/>
      <c r="B321" s="1" t="s">
        <v>58</v>
      </c>
      <c r="C321" s="1" t="s">
        <v>59</v>
      </c>
      <c r="D321" s="1" t="s">
        <v>4225</v>
      </c>
      <c r="E321" s="1" t="s">
        <v>4226</v>
      </c>
      <c r="F321" s="1" t="s">
        <v>4227</v>
      </c>
      <c r="H321" s="2" t="s">
        <v>63</v>
      </c>
      <c r="I321" s="2" t="s">
        <v>64</v>
      </c>
      <c r="J321" s="2" t="s">
        <v>63</v>
      </c>
      <c r="K321" s="2" t="s">
        <v>63</v>
      </c>
      <c r="L321" s="2" t="s">
        <v>65</v>
      </c>
      <c r="M321" s="1" t="s">
        <v>4228</v>
      </c>
      <c r="N321" s="1" t="s">
        <v>4229</v>
      </c>
      <c r="O321" s="2" t="s">
        <v>4230</v>
      </c>
      <c r="Q321" s="2" t="s">
        <v>70</v>
      </c>
      <c r="R321" s="2" t="s">
        <v>277</v>
      </c>
      <c r="T321" s="2" t="s">
        <v>72</v>
      </c>
      <c r="U321" s="3">
        <v>5</v>
      </c>
      <c r="V321" s="3">
        <v>5</v>
      </c>
      <c r="W321" s="4" t="s">
        <v>3898</v>
      </c>
      <c r="X321" s="4" t="s">
        <v>3898</v>
      </c>
      <c r="Y321" s="4" t="s">
        <v>3387</v>
      </c>
      <c r="Z321" s="4" t="s">
        <v>3387</v>
      </c>
      <c r="AA321" s="3">
        <v>64</v>
      </c>
      <c r="AB321" s="3">
        <v>52</v>
      </c>
      <c r="AC321" s="3">
        <v>201</v>
      </c>
      <c r="AD321" s="3">
        <v>1</v>
      </c>
      <c r="AE321" s="3">
        <v>2</v>
      </c>
      <c r="AF321" s="3">
        <v>1</v>
      </c>
      <c r="AG321" s="3">
        <v>5</v>
      </c>
      <c r="AH321" s="3">
        <v>0</v>
      </c>
      <c r="AI321" s="3">
        <v>2</v>
      </c>
      <c r="AJ321" s="3">
        <v>1</v>
      </c>
      <c r="AK321" s="3">
        <v>1</v>
      </c>
      <c r="AL321" s="3">
        <v>0</v>
      </c>
      <c r="AM321" s="3">
        <v>3</v>
      </c>
      <c r="AN321" s="3">
        <v>0</v>
      </c>
      <c r="AO321" s="3">
        <v>1</v>
      </c>
      <c r="AP321" s="3">
        <v>0</v>
      </c>
      <c r="AQ321" s="3">
        <v>0</v>
      </c>
      <c r="AR321" s="2" t="s">
        <v>63</v>
      </c>
      <c r="AS321" s="2" t="s">
        <v>92</v>
      </c>
      <c r="AT321" s="5" t="str">
        <f>HYPERLINK("http://catalog.hathitrust.org/Record/001573075","HathiTrust Record")</f>
        <v>HathiTrust Record</v>
      </c>
      <c r="AU321" s="5" t="str">
        <f>HYPERLINK("https://creighton-primo.hosted.exlibrisgroup.com/primo-explore/search?tab=default_tab&amp;search_scope=EVERYTHING&amp;vid=01CRU&amp;lang=en_US&amp;offset=0&amp;query=any,contains,991000958499702656","Catalog Record")</f>
        <v>Catalog Record</v>
      </c>
      <c r="AV321" s="5" t="str">
        <f>HYPERLINK("http://www.worldcat.org/oclc/12967924","WorldCat Record")</f>
        <v>WorldCat Record</v>
      </c>
      <c r="AW321" s="2" t="s">
        <v>4231</v>
      </c>
      <c r="AX321" s="2" t="s">
        <v>4232</v>
      </c>
      <c r="AY321" s="2" t="s">
        <v>4233</v>
      </c>
      <c r="AZ321" s="2" t="s">
        <v>4233</v>
      </c>
      <c r="BA321" s="2" t="s">
        <v>4234</v>
      </c>
      <c r="BB321" s="2" t="s">
        <v>79</v>
      </c>
      <c r="BE321" s="2" t="s">
        <v>4235</v>
      </c>
      <c r="BF321" s="2" t="s">
        <v>4236</v>
      </c>
    </row>
    <row r="322" spans="1:58" ht="46.5" customHeight="1">
      <c r="A322" s="1"/>
      <c r="B322" s="1" t="s">
        <v>58</v>
      </c>
      <c r="C322" s="1" t="s">
        <v>59</v>
      </c>
      <c r="D322" s="1" t="s">
        <v>4237</v>
      </c>
      <c r="E322" s="1" t="s">
        <v>4238</v>
      </c>
      <c r="F322" s="1" t="s">
        <v>4239</v>
      </c>
      <c r="H322" s="2" t="s">
        <v>63</v>
      </c>
      <c r="I322" s="2" t="s">
        <v>64</v>
      </c>
      <c r="J322" s="2" t="s">
        <v>63</v>
      </c>
      <c r="K322" s="2" t="s">
        <v>63</v>
      </c>
      <c r="L322" s="2" t="s">
        <v>65</v>
      </c>
      <c r="N322" s="1" t="s">
        <v>4240</v>
      </c>
      <c r="O322" s="2" t="s">
        <v>307</v>
      </c>
      <c r="Q322" s="2" t="s">
        <v>70</v>
      </c>
      <c r="R322" s="2" t="s">
        <v>89</v>
      </c>
      <c r="T322" s="2" t="s">
        <v>72</v>
      </c>
      <c r="U322" s="3">
        <v>12</v>
      </c>
      <c r="V322" s="3">
        <v>12</v>
      </c>
      <c r="W322" s="4" t="s">
        <v>4204</v>
      </c>
      <c r="X322" s="4" t="s">
        <v>4204</v>
      </c>
      <c r="Y322" s="4" t="s">
        <v>3387</v>
      </c>
      <c r="Z322" s="4" t="s">
        <v>3387</v>
      </c>
      <c r="AA322" s="3">
        <v>131</v>
      </c>
      <c r="AB322" s="3">
        <v>98</v>
      </c>
      <c r="AC322" s="3">
        <v>101</v>
      </c>
      <c r="AD322" s="3">
        <v>1</v>
      </c>
      <c r="AE322" s="3">
        <v>1</v>
      </c>
      <c r="AF322" s="3">
        <v>3</v>
      </c>
      <c r="AG322" s="3">
        <v>3</v>
      </c>
      <c r="AH322" s="3">
        <v>1</v>
      </c>
      <c r="AI322" s="3">
        <v>1</v>
      </c>
      <c r="AJ322" s="3">
        <v>2</v>
      </c>
      <c r="AK322" s="3">
        <v>2</v>
      </c>
      <c r="AL322" s="3">
        <v>2</v>
      </c>
      <c r="AM322" s="3">
        <v>2</v>
      </c>
      <c r="AN322" s="3">
        <v>0</v>
      </c>
      <c r="AO322" s="3">
        <v>0</v>
      </c>
      <c r="AP322" s="3">
        <v>0</v>
      </c>
      <c r="AQ322" s="3">
        <v>0</v>
      </c>
      <c r="AR322" s="2" t="s">
        <v>63</v>
      </c>
      <c r="AS322" s="2" t="s">
        <v>92</v>
      </c>
      <c r="AT322" s="5" t="str">
        <f>HYPERLINK("http://catalog.hathitrust.org/Record/000401306","HathiTrust Record")</f>
        <v>HathiTrust Record</v>
      </c>
      <c r="AU322" s="5" t="str">
        <f>HYPERLINK("https://creighton-primo.hosted.exlibrisgroup.com/primo-explore/search?tab=default_tab&amp;search_scope=EVERYTHING&amp;vid=01CRU&amp;lang=en_US&amp;offset=0&amp;query=any,contains,991000958429702656","Catalog Record")</f>
        <v>Catalog Record</v>
      </c>
      <c r="AV322" s="5" t="str">
        <f>HYPERLINK("http://www.worldcat.org/oclc/12550147","WorldCat Record")</f>
        <v>WorldCat Record</v>
      </c>
      <c r="AW322" s="2" t="s">
        <v>4241</v>
      </c>
      <c r="AX322" s="2" t="s">
        <v>4242</v>
      </c>
      <c r="AY322" s="2" t="s">
        <v>4243</v>
      </c>
      <c r="AZ322" s="2" t="s">
        <v>4243</v>
      </c>
      <c r="BA322" s="2" t="s">
        <v>4244</v>
      </c>
      <c r="BB322" s="2" t="s">
        <v>79</v>
      </c>
      <c r="BD322" s="2" t="s">
        <v>4245</v>
      </c>
      <c r="BE322" s="2" t="s">
        <v>4246</v>
      </c>
      <c r="BF322" s="2" t="s">
        <v>4247</v>
      </c>
    </row>
    <row r="323" spans="1:58" ht="46.5" customHeight="1">
      <c r="A323" s="1"/>
      <c r="B323" s="1" t="s">
        <v>58</v>
      </c>
      <c r="C323" s="1" t="s">
        <v>59</v>
      </c>
      <c r="D323" s="1" t="s">
        <v>4248</v>
      </c>
      <c r="E323" s="1" t="s">
        <v>4249</v>
      </c>
      <c r="F323" s="1" t="s">
        <v>4250</v>
      </c>
      <c r="H323" s="2" t="s">
        <v>63</v>
      </c>
      <c r="I323" s="2" t="s">
        <v>64</v>
      </c>
      <c r="J323" s="2" t="s">
        <v>63</v>
      </c>
      <c r="K323" s="2" t="s">
        <v>63</v>
      </c>
      <c r="L323" s="2" t="s">
        <v>65</v>
      </c>
      <c r="N323" s="1" t="s">
        <v>4251</v>
      </c>
      <c r="O323" s="2" t="s">
        <v>198</v>
      </c>
      <c r="Q323" s="2" t="s">
        <v>70</v>
      </c>
      <c r="R323" s="2" t="s">
        <v>89</v>
      </c>
      <c r="T323" s="2" t="s">
        <v>72</v>
      </c>
      <c r="U323" s="3">
        <v>4</v>
      </c>
      <c r="V323" s="3">
        <v>4</v>
      </c>
      <c r="W323" s="4" t="s">
        <v>4252</v>
      </c>
      <c r="X323" s="4" t="s">
        <v>4252</v>
      </c>
      <c r="Y323" s="4" t="s">
        <v>4253</v>
      </c>
      <c r="Z323" s="4" t="s">
        <v>4253</v>
      </c>
      <c r="AA323" s="3">
        <v>65</v>
      </c>
      <c r="AB323" s="3">
        <v>57</v>
      </c>
      <c r="AC323" s="3">
        <v>72</v>
      </c>
      <c r="AD323" s="3">
        <v>1</v>
      </c>
      <c r="AE323" s="3">
        <v>1</v>
      </c>
      <c r="AF323" s="3">
        <v>1</v>
      </c>
      <c r="AG323" s="3">
        <v>1</v>
      </c>
      <c r="AH323" s="3">
        <v>0</v>
      </c>
      <c r="AI323" s="3">
        <v>0</v>
      </c>
      <c r="AJ323" s="3">
        <v>1</v>
      </c>
      <c r="AK323" s="3">
        <v>1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2" t="s">
        <v>63</v>
      </c>
      <c r="AS323" s="2" t="s">
        <v>92</v>
      </c>
      <c r="AT323" s="5" t="str">
        <f>HYPERLINK("http://catalog.hathitrust.org/Record/002228222","HathiTrust Record")</f>
        <v>HathiTrust Record</v>
      </c>
      <c r="AU323" s="5" t="str">
        <f>HYPERLINK("https://creighton-primo.hosted.exlibrisgroup.com/primo-explore/search?tab=default_tab&amp;search_scope=EVERYTHING&amp;vid=01CRU&amp;lang=en_US&amp;offset=0&amp;query=any,contains,991000816549702656","Catalog Record")</f>
        <v>Catalog Record</v>
      </c>
      <c r="AV323" s="5" t="str">
        <f>HYPERLINK("http://www.worldcat.org/oclc/20993285","WorldCat Record")</f>
        <v>WorldCat Record</v>
      </c>
      <c r="AW323" s="2" t="s">
        <v>4254</v>
      </c>
      <c r="AX323" s="2" t="s">
        <v>4255</v>
      </c>
      <c r="AY323" s="2" t="s">
        <v>4256</v>
      </c>
      <c r="AZ323" s="2" t="s">
        <v>4256</v>
      </c>
      <c r="BA323" s="2" t="s">
        <v>4257</v>
      </c>
      <c r="BB323" s="2" t="s">
        <v>79</v>
      </c>
      <c r="BD323" s="2" t="s">
        <v>4258</v>
      </c>
      <c r="BE323" s="2" t="s">
        <v>4259</v>
      </c>
      <c r="BF323" s="2" t="s">
        <v>4260</v>
      </c>
    </row>
    <row r="324" spans="1:58" ht="46.5" customHeight="1">
      <c r="A324" s="1"/>
      <c r="B324" s="1" t="s">
        <v>58</v>
      </c>
      <c r="C324" s="1" t="s">
        <v>59</v>
      </c>
      <c r="D324" s="1" t="s">
        <v>4261</v>
      </c>
      <c r="E324" s="1" t="s">
        <v>4262</v>
      </c>
      <c r="F324" s="1" t="s">
        <v>4263</v>
      </c>
      <c r="H324" s="2" t="s">
        <v>63</v>
      </c>
      <c r="I324" s="2" t="s">
        <v>64</v>
      </c>
      <c r="J324" s="2" t="s">
        <v>63</v>
      </c>
      <c r="K324" s="2" t="s">
        <v>63</v>
      </c>
      <c r="L324" s="2" t="s">
        <v>65</v>
      </c>
      <c r="M324" s="1" t="s">
        <v>4264</v>
      </c>
      <c r="N324" s="1" t="s">
        <v>4265</v>
      </c>
      <c r="O324" s="2" t="s">
        <v>4266</v>
      </c>
      <c r="Q324" s="2" t="s">
        <v>70</v>
      </c>
      <c r="R324" s="2" t="s">
        <v>2284</v>
      </c>
      <c r="T324" s="2" t="s">
        <v>72</v>
      </c>
      <c r="U324" s="3">
        <v>6</v>
      </c>
      <c r="V324" s="3">
        <v>6</v>
      </c>
      <c r="W324" s="4" t="s">
        <v>4204</v>
      </c>
      <c r="X324" s="4" t="s">
        <v>4204</v>
      </c>
      <c r="Y324" s="4" t="s">
        <v>3914</v>
      </c>
      <c r="Z324" s="4" t="s">
        <v>3914</v>
      </c>
      <c r="AA324" s="3">
        <v>142</v>
      </c>
      <c r="AB324" s="3">
        <v>99</v>
      </c>
      <c r="AC324" s="3">
        <v>101</v>
      </c>
      <c r="AD324" s="3">
        <v>1</v>
      </c>
      <c r="AE324" s="3">
        <v>1</v>
      </c>
      <c r="AF324" s="3">
        <v>4</v>
      </c>
      <c r="AG324" s="3">
        <v>4</v>
      </c>
      <c r="AH324" s="3">
        <v>3</v>
      </c>
      <c r="AI324" s="3">
        <v>3</v>
      </c>
      <c r="AJ324" s="3">
        <v>2</v>
      </c>
      <c r="AK324" s="3">
        <v>2</v>
      </c>
      <c r="AL324" s="3">
        <v>1</v>
      </c>
      <c r="AM324" s="3">
        <v>1</v>
      </c>
      <c r="AN324" s="3">
        <v>0</v>
      </c>
      <c r="AO324" s="3">
        <v>0</v>
      </c>
      <c r="AP324" s="3">
        <v>0</v>
      </c>
      <c r="AQ324" s="3">
        <v>0</v>
      </c>
      <c r="AR324" s="2" t="s">
        <v>63</v>
      </c>
      <c r="AS324" s="2" t="s">
        <v>63</v>
      </c>
      <c r="AT324" s="5" t="str">
        <f>HYPERLINK("http://catalog.hathitrust.org/Record/001573202","HathiTrust Record")</f>
        <v>HathiTrust Record</v>
      </c>
      <c r="AU324" s="5" t="str">
        <f>HYPERLINK("https://creighton-primo.hosted.exlibrisgroup.com/primo-explore/search?tab=default_tab&amp;search_scope=EVERYTHING&amp;vid=01CRU&amp;lang=en_US&amp;offset=0&amp;query=any,contains,991000958389702656","Catalog Record")</f>
        <v>Catalog Record</v>
      </c>
      <c r="AV324" s="5" t="str">
        <f>HYPERLINK("http://www.worldcat.org/oclc/1628783","WorldCat Record")</f>
        <v>WorldCat Record</v>
      </c>
      <c r="AW324" s="2" t="s">
        <v>4267</v>
      </c>
      <c r="AX324" s="2" t="s">
        <v>4268</v>
      </c>
      <c r="AY324" s="2" t="s">
        <v>4269</v>
      </c>
      <c r="AZ324" s="2" t="s">
        <v>4269</v>
      </c>
      <c r="BA324" s="2" t="s">
        <v>4270</v>
      </c>
      <c r="BB324" s="2" t="s">
        <v>79</v>
      </c>
      <c r="BE324" s="2" t="s">
        <v>4271</v>
      </c>
      <c r="BF324" s="2" t="s">
        <v>4272</v>
      </c>
    </row>
    <row r="325" spans="1:58" ht="46.5" customHeight="1">
      <c r="A325" s="1"/>
      <c r="B325" s="1" t="s">
        <v>58</v>
      </c>
      <c r="C325" s="1" t="s">
        <v>59</v>
      </c>
      <c r="D325" s="1" t="s">
        <v>4273</v>
      </c>
      <c r="E325" s="1" t="s">
        <v>4274</v>
      </c>
      <c r="F325" s="1" t="s">
        <v>4275</v>
      </c>
      <c r="H325" s="2" t="s">
        <v>63</v>
      </c>
      <c r="I325" s="2" t="s">
        <v>64</v>
      </c>
      <c r="J325" s="2" t="s">
        <v>63</v>
      </c>
      <c r="K325" s="2" t="s">
        <v>63</v>
      </c>
      <c r="L325" s="2" t="s">
        <v>65</v>
      </c>
      <c r="N325" s="1" t="s">
        <v>4276</v>
      </c>
      <c r="O325" s="2" t="s">
        <v>1501</v>
      </c>
      <c r="Q325" s="2" t="s">
        <v>70</v>
      </c>
      <c r="R325" s="2" t="s">
        <v>470</v>
      </c>
      <c r="T325" s="2" t="s">
        <v>72</v>
      </c>
      <c r="U325" s="3">
        <v>11</v>
      </c>
      <c r="V325" s="3">
        <v>11</v>
      </c>
      <c r="W325" s="4" t="s">
        <v>4204</v>
      </c>
      <c r="X325" s="4" t="s">
        <v>4204</v>
      </c>
      <c r="Y325" s="4" t="s">
        <v>3914</v>
      </c>
      <c r="Z325" s="4" t="s">
        <v>3914</v>
      </c>
      <c r="AA325" s="3">
        <v>200</v>
      </c>
      <c r="AB325" s="3">
        <v>185</v>
      </c>
      <c r="AC325" s="3">
        <v>203</v>
      </c>
      <c r="AD325" s="3">
        <v>2</v>
      </c>
      <c r="AE325" s="3">
        <v>2</v>
      </c>
      <c r="AF325" s="3">
        <v>5</v>
      </c>
      <c r="AG325" s="3">
        <v>5</v>
      </c>
      <c r="AH325" s="3">
        <v>2</v>
      </c>
      <c r="AI325" s="3">
        <v>2</v>
      </c>
      <c r="AJ325" s="3">
        <v>1</v>
      </c>
      <c r="AK325" s="3">
        <v>1</v>
      </c>
      <c r="AL325" s="3">
        <v>2</v>
      </c>
      <c r="AM325" s="3">
        <v>2</v>
      </c>
      <c r="AN325" s="3">
        <v>1</v>
      </c>
      <c r="AO325" s="3">
        <v>1</v>
      </c>
      <c r="AP325" s="3">
        <v>0</v>
      </c>
      <c r="AQ325" s="3">
        <v>0</v>
      </c>
      <c r="AR325" s="2" t="s">
        <v>63</v>
      </c>
      <c r="AS325" s="2" t="s">
        <v>92</v>
      </c>
      <c r="AT325" s="5" t="str">
        <f>HYPERLINK("http://catalog.hathitrust.org/Record/001573100","HathiTrust Record")</f>
        <v>HathiTrust Record</v>
      </c>
      <c r="AU325" s="5" t="str">
        <f>HYPERLINK("https://creighton-primo.hosted.exlibrisgroup.com/primo-explore/search?tab=default_tab&amp;search_scope=EVERYTHING&amp;vid=01CRU&amp;lang=en_US&amp;offset=0&amp;query=any,contains,991000959109702656","Catalog Record")</f>
        <v>Catalog Record</v>
      </c>
      <c r="AV325" s="5" t="str">
        <f>HYPERLINK("http://www.worldcat.org/oclc/516339","WorldCat Record")</f>
        <v>WorldCat Record</v>
      </c>
      <c r="AW325" s="2" t="s">
        <v>4277</v>
      </c>
      <c r="AX325" s="2" t="s">
        <v>4278</v>
      </c>
      <c r="AY325" s="2" t="s">
        <v>4279</v>
      </c>
      <c r="AZ325" s="2" t="s">
        <v>4279</v>
      </c>
      <c r="BA325" s="2" t="s">
        <v>4280</v>
      </c>
      <c r="BB325" s="2" t="s">
        <v>79</v>
      </c>
      <c r="BE325" s="2" t="s">
        <v>4281</v>
      </c>
      <c r="BF325" s="2" t="s">
        <v>4282</v>
      </c>
    </row>
    <row r="326" spans="1:58" ht="46.5" customHeight="1">
      <c r="A326" s="1"/>
      <c r="B326" s="1" t="s">
        <v>58</v>
      </c>
      <c r="C326" s="1" t="s">
        <v>59</v>
      </c>
      <c r="D326" s="1" t="s">
        <v>4283</v>
      </c>
      <c r="E326" s="1" t="s">
        <v>4284</v>
      </c>
      <c r="F326" s="1" t="s">
        <v>4285</v>
      </c>
      <c r="H326" s="2" t="s">
        <v>63</v>
      </c>
      <c r="I326" s="2" t="s">
        <v>64</v>
      </c>
      <c r="J326" s="2" t="s">
        <v>63</v>
      </c>
      <c r="K326" s="2" t="s">
        <v>63</v>
      </c>
      <c r="L326" s="2" t="s">
        <v>65</v>
      </c>
      <c r="N326" s="1" t="s">
        <v>4286</v>
      </c>
      <c r="O326" s="2" t="s">
        <v>484</v>
      </c>
      <c r="Q326" s="2" t="s">
        <v>70</v>
      </c>
      <c r="R326" s="2" t="s">
        <v>377</v>
      </c>
      <c r="T326" s="2" t="s">
        <v>72</v>
      </c>
      <c r="U326" s="3">
        <v>17</v>
      </c>
      <c r="V326" s="3">
        <v>17</v>
      </c>
      <c r="W326" s="4" t="s">
        <v>2646</v>
      </c>
      <c r="X326" s="4" t="s">
        <v>2646</v>
      </c>
      <c r="Y326" s="4" t="s">
        <v>4287</v>
      </c>
      <c r="Z326" s="4" t="s">
        <v>4287</v>
      </c>
      <c r="AA326" s="3">
        <v>120</v>
      </c>
      <c r="AB326" s="3">
        <v>62</v>
      </c>
      <c r="AC326" s="3">
        <v>101</v>
      </c>
      <c r="AD326" s="3">
        <v>1</v>
      </c>
      <c r="AE326" s="3">
        <v>1</v>
      </c>
      <c r="AF326" s="3">
        <v>2</v>
      </c>
      <c r="AG326" s="3">
        <v>2</v>
      </c>
      <c r="AH326" s="3">
        <v>2</v>
      </c>
      <c r="AI326" s="3">
        <v>2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2" t="s">
        <v>63</v>
      </c>
      <c r="AS326" s="2" t="s">
        <v>63</v>
      </c>
      <c r="AU326" s="5" t="str">
        <f>HYPERLINK("https://creighton-primo.hosted.exlibrisgroup.com/primo-explore/search?tab=default_tab&amp;search_scope=EVERYTHING&amp;vid=01CRU&amp;lang=en_US&amp;offset=0&amp;query=any,contains,991000431259702656","Catalog Record")</f>
        <v>Catalog Record</v>
      </c>
      <c r="AV326" s="5" t="str">
        <f>HYPERLINK("http://www.worldcat.org/oclc/49044343","WorldCat Record")</f>
        <v>WorldCat Record</v>
      </c>
      <c r="AW326" s="2" t="s">
        <v>4288</v>
      </c>
      <c r="AX326" s="2" t="s">
        <v>4289</v>
      </c>
      <c r="AY326" s="2" t="s">
        <v>4290</v>
      </c>
      <c r="AZ326" s="2" t="s">
        <v>4290</v>
      </c>
      <c r="BA326" s="2" t="s">
        <v>4291</v>
      </c>
      <c r="BB326" s="2" t="s">
        <v>79</v>
      </c>
      <c r="BD326" s="2" t="s">
        <v>4292</v>
      </c>
      <c r="BE326" s="2" t="s">
        <v>4293</v>
      </c>
      <c r="BF326" s="2" t="s">
        <v>4294</v>
      </c>
    </row>
    <row r="327" spans="1:58" ht="46.5" customHeight="1">
      <c r="A327" s="1"/>
      <c r="B327" s="1" t="s">
        <v>58</v>
      </c>
      <c r="C327" s="1" t="s">
        <v>59</v>
      </c>
      <c r="D327" s="1" t="s">
        <v>4295</v>
      </c>
      <c r="E327" s="1" t="s">
        <v>4296</v>
      </c>
      <c r="F327" s="1" t="s">
        <v>4297</v>
      </c>
      <c r="H327" s="2" t="s">
        <v>63</v>
      </c>
      <c r="I327" s="2" t="s">
        <v>64</v>
      </c>
      <c r="J327" s="2" t="s">
        <v>63</v>
      </c>
      <c r="K327" s="2" t="s">
        <v>63</v>
      </c>
      <c r="L327" s="2" t="s">
        <v>65</v>
      </c>
      <c r="N327" s="1" t="s">
        <v>4298</v>
      </c>
      <c r="O327" s="2" t="s">
        <v>348</v>
      </c>
      <c r="Q327" s="2" t="s">
        <v>70</v>
      </c>
      <c r="R327" s="2" t="s">
        <v>377</v>
      </c>
      <c r="T327" s="2" t="s">
        <v>72</v>
      </c>
      <c r="U327" s="3">
        <v>2</v>
      </c>
      <c r="V327" s="3">
        <v>2</v>
      </c>
      <c r="W327" s="4" t="s">
        <v>2646</v>
      </c>
      <c r="X327" s="4" t="s">
        <v>2646</v>
      </c>
      <c r="Y327" s="4" t="s">
        <v>4299</v>
      </c>
      <c r="Z327" s="4" t="s">
        <v>4299</v>
      </c>
      <c r="AA327" s="3">
        <v>107</v>
      </c>
      <c r="AB327" s="3">
        <v>101</v>
      </c>
      <c r="AC327" s="3">
        <v>104</v>
      </c>
      <c r="AD327" s="3">
        <v>1</v>
      </c>
      <c r="AE327" s="3">
        <v>1</v>
      </c>
      <c r="AF327" s="3">
        <v>3</v>
      </c>
      <c r="AG327" s="3">
        <v>3</v>
      </c>
      <c r="AH327" s="3">
        <v>0</v>
      </c>
      <c r="AI327" s="3">
        <v>0</v>
      </c>
      <c r="AJ327" s="3">
        <v>1</v>
      </c>
      <c r="AK327" s="3">
        <v>1</v>
      </c>
      <c r="AL327" s="3">
        <v>2</v>
      </c>
      <c r="AM327" s="3">
        <v>2</v>
      </c>
      <c r="AN327" s="3">
        <v>0</v>
      </c>
      <c r="AO327" s="3">
        <v>0</v>
      </c>
      <c r="AP327" s="3">
        <v>0</v>
      </c>
      <c r="AQ327" s="3">
        <v>0</v>
      </c>
      <c r="AR327" s="2" t="s">
        <v>63</v>
      </c>
      <c r="AS327" s="2" t="s">
        <v>92</v>
      </c>
      <c r="AT327" s="5" t="str">
        <f>HYPERLINK("http://catalog.hathitrust.org/Record/004198191","HathiTrust Record")</f>
        <v>HathiTrust Record</v>
      </c>
      <c r="AU327" s="5" t="str">
        <f>HYPERLINK("https://creighton-primo.hosted.exlibrisgroup.com/primo-explore/search?tab=default_tab&amp;search_scope=EVERYTHING&amp;vid=01CRU&amp;lang=en_US&amp;offset=0&amp;query=any,contains,991000302779702656","Catalog Record")</f>
        <v>Catalog Record</v>
      </c>
      <c r="AV327" s="5" t="str">
        <f>HYPERLINK("http://www.worldcat.org/oclc/41558655","WorldCat Record")</f>
        <v>WorldCat Record</v>
      </c>
      <c r="AW327" s="2" t="s">
        <v>4300</v>
      </c>
      <c r="AX327" s="2" t="s">
        <v>4301</v>
      </c>
      <c r="AY327" s="2" t="s">
        <v>4302</v>
      </c>
      <c r="AZ327" s="2" t="s">
        <v>4302</v>
      </c>
      <c r="BA327" s="2" t="s">
        <v>4303</v>
      </c>
      <c r="BB327" s="2" t="s">
        <v>79</v>
      </c>
      <c r="BD327" s="2" t="s">
        <v>4304</v>
      </c>
      <c r="BE327" s="2" t="s">
        <v>4305</v>
      </c>
      <c r="BF327" s="2" t="s">
        <v>4306</v>
      </c>
    </row>
    <row r="328" spans="1:58" ht="46.5" customHeight="1">
      <c r="A328" s="1"/>
      <c r="B328" s="1" t="s">
        <v>58</v>
      </c>
      <c r="C328" s="1" t="s">
        <v>59</v>
      </c>
      <c r="D328" s="1" t="s">
        <v>4307</v>
      </c>
      <c r="E328" s="1" t="s">
        <v>4308</v>
      </c>
      <c r="F328" s="1" t="s">
        <v>4309</v>
      </c>
      <c r="H328" s="2" t="s">
        <v>63</v>
      </c>
      <c r="I328" s="2" t="s">
        <v>64</v>
      </c>
      <c r="J328" s="2" t="s">
        <v>63</v>
      </c>
      <c r="K328" s="2" t="s">
        <v>63</v>
      </c>
      <c r="L328" s="2" t="s">
        <v>65</v>
      </c>
      <c r="N328" s="1" t="s">
        <v>4310</v>
      </c>
      <c r="O328" s="2" t="s">
        <v>198</v>
      </c>
      <c r="Q328" s="2" t="s">
        <v>70</v>
      </c>
      <c r="R328" s="2" t="s">
        <v>277</v>
      </c>
      <c r="S328" s="1" t="s">
        <v>4311</v>
      </c>
      <c r="T328" s="2" t="s">
        <v>72</v>
      </c>
      <c r="U328" s="3">
        <v>11</v>
      </c>
      <c r="V328" s="3">
        <v>11</v>
      </c>
      <c r="W328" s="4" t="s">
        <v>4312</v>
      </c>
      <c r="X328" s="4" t="s">
        <v>4312</v>
      </c>
      <c r="Y328" s="4" t="s">
        <v>4313</v>
      </c>
      <c r="Z328" s="4" t="s">
        <v>4313</v>
      </c>
      <c r="AA328" s="3">
        <v>134</v>
      </c>
      <c r="AB328" s="3">
        <v>100</v>
      </c>
      <c r="AC328" s="3">
        <v>100</v>
      </c>
      <c r="AD328" s="3">
        <v>1</v>
      </c>
      <c r="AE328" s="3">
        <v>1</v>
      </c>
      <c r="AF328" s="3">
        <v>4</v>
      </c>
      <c r="AG328" s="3">
        <v>4</v>
      </c>
      <c r="AH328" s="3">
        <v>1</v>
      </c>
      <c r="AI328" s="3">
        <v>1</v>
      </c>
      <c r="AJ328" s="3">
        <v>1</v>
      </c>
      <c r="AK328" s="3">
        <v>1</v>
      </c>
      <c r="AL328" s="3">
        <v>2</v>
      </c>
      <c r="AM328" s="3">
        <v>2</v>
      </c>
      <c r="AN328" s="3">
        <v>0</v>
      </c>
      <c r="AO328" s="3">
        <v>0</v>
      </c>
      <c r="AP328" s="3">
        <v>0</v>
      </c>
      <c r="AQ328" s="3">
        <v>0</v>
      </c>
      <c r="AR328" s="2" t="s">
        <v>63</v>
      </c>
      <c r="AS328" s="2" t="s">
        <v>63</v>
      </c>
      <c r="AU328" s="5" t="str">
        <f>HYPERLINK("https://creighton-primo.hosted.exlibrisgroup.com/primo-explore/search?tab=default_tab&amp;search_scope=EVERYTHING&amp;vid=01CRU&amp;lang=en_US&amp;offset=0&amp;query=any,contains,991001017509702656","Catalog Record")</f>
        <v>Catalog Record</v>
      </c>
      <c r="AV328" s="5" t="str">
        <f>HYPERLINK("http://www.worldcat.org/oclc/22452703","WorldCat Record")</f>
        <v>WorldCat Record</v>
      </c>
      <c r="AW328" s="2" t="s">
        <v>4314</v>
      </c>
      <c r="AX328" s="2" t="s">
        <v>4315</v>
      </c>
      <c r="AY328" s="2" t="s">
        <v>4316</v>
      </c>
      <c r="AZ328" s="2" t="s">
        <v>4316</v>
      </c>
      <c r="BA328" s="2" t="s">
        <v>4317</v>
      </c>
      <c r="BB328" s="2" t="s">
        <v>79</v>
      </c>
      <c r="BD328" s="2" t="s">
        <v>4318</v>
      </c>
      <c r="BE328" s="2" t="s">
        <v>4319</v>
      </c>
      <c r="BF328" s="2" t="s">
        <v>4320</v>
      </c>
    </row>
    <row r="329" spans="1:58" ht="46.5" customHeight="1">
      <c r="A329" s="1"/>
      <c r="B329" s="1" t="s">
        <v>58</v>
      </c>
      <c r="C329" s="1" t="s">
        <v>59</v>
      </c>
      <c r="D329" s="1" t="s">
        <v>4321</v>
      </c>
      <c r="E329" s="1" t="s">
        <v>4322</v>
      </c>
      <c r="F329" s="1" t="s">
        <v>4323</v>
      </c>
      <c r="H329" s="2" t="s">
        <v>63</v>
      </c>
      <c r="I329" s="2" t="s">
        <v>64</v>
      </c>
      <c r="J329" s="2" t="s">
        <v>63</v>
      </c>
      <c r="K329" s="2" t="s">
        <v>63</v>
      </c>
      <c r="L329" s="2" t="s">
        <v>65</v>
      </c>
      <c r="N329" s="1" t="s">
        <v>4324</v>
      </c>
      <c r="O329" s="2" t="s">
        <v>275</v>
      </c>
      <c r="Q329" s="2" t="s">
        <v>70</v>
      </c>
      <c r="R329" s="2" t="s">
        <v>424</v>
      </c>
      <c r="T329" s="2" t="s">
        <v>72</v>
      </c>
      <c r="U329" s="3">
        <v>3</v>
      </c>
      <c r="V329" s="3">
        <v>3</v>
      </c>
      <c r="W329" s="4" t="s">
        <v>2646</v>
      </c>
      <c r="X329" s="4" t="s">
        <v>2646</v>
      </c>
      <c r="Y329" s="4" t="s">
        <v>4299</v>
      </c>
      <c r="Z329" s="4" t="s">
        <v>4299</v>
      </c>
      <c r="AA329" s="3">
        <v>213</v>
      </c>
      <c r="AB329" s="3">
        <v>200</v>
      </c>
      <c r="AC329" s="3">
        <v>233</v>
      </c>
      <c r="AD329" s="3">
        <v>1</v>
      </c>
      <c r="AE329" s="3">
        <v>1</v>
      </c>
      <c r="AF329" s="3">
        <v>5</v>
      </c>
      <c r="AG329" s="3">
        <v>6</v>
      </c>
      <c r="AH329" s="3">
        <v>1</v>
      </c>
      <c r="AI329" s="3">
        <v>2</v>
      </c>
      <c r="AJ329" s="3">
        <v>2</v>
      </c>
      <c r="AK329" s="3">
        <v>2</v>
      </c>
      <c r="AL329" s="3">
        <v>2</v>
      </c>
      <c r="AM329" s="3">
        <v>3</v>
      </c>
      <c r="AN329" s="3">
        <v>0</v>
      </c>
      <c r="AO329" s="3">
        <v>0</v>
      </c>
      <c r="AP329" s="3">
        <v>0</v>
      </c>
      <c r="AQ329" s="3">
        <v>0</v>
      </c>
      <c r="AR329" s="2" t="s">
        <v>63</v>
      </c>
      <c r="AS329" s="2" t="s">
        <v>92</v>
      </c>
      <c r="AT329" s="5" t="str">
        <f>HYPERLINK("http://catalog.hathitrust.org/Record/003136122","HathiTrust Record")</f>
        <v>HathiTrust Record</v>
      </c>
      <c r="AU329" s="5" t="str">
        <f>HYPERLINK("https://creighton-primo.hosted.exlibrisgroup.com/primo-explore/search?tab=default_tab&amp;search_scope=EVERYTHING&amp;vid=01CRU&amp;lang=en_US&amp;offset=0&amp;query=any,contains,991000302819702656","Catalog Record")</f>
        <v>Catalog Record</v>
      </c>
      <c r="AV329" s="5" t="str">
        <f>HYPERLINK("http://www.worldcat.org/oclc/36842482","WorldCat Record")</f>
        <v>WorldCat Record</v>
      </c>
      <c r="AW329" s="2" t="s">
        <v>4325</v>
      </c>
      <c r="AX329" s="2" t="s">
        <v>4326</v>
      </c>
      <c r="AY329" s="2" t="s">
        <v>4327</v>
      </c>
      <c r="AZ329" s="2" t="s">
        <v>4327</v>
      </c>
      <c r="BA329" s="2" t="s">
        <v>4328</v>
      </c>
      <c r="BB329" s="2" t="s">
        <v>79</v>
      </c>
      <c r="BD329" s="2" t="s">
        <v>4329</v>
      </c>
      <c r="BE329" s="2" t="s">
        <v>4330</v>
      </c>
      <c r="BF329" s="2" t="s">
        <v>4331</v>
      </c>
    </row>
    <row r="330" spans="1:58" ht="46.5" customHeight="1">
      <c r="A330" s="1"/>
      <c r="B330" s="1" t="s">
        <v>58</v>
      </c>
      <c r="C330" s="1" t="s">
        <v>59</v>
      </c>
      <c r="D330" s="1" t="s">
        <v>4332</v>
      </c>
      <c r="E330" s="1" t="s">
        <v>4333</v>
      </c>
      <c r="F330" s="1" t="s">
        <v>4334</v>
      </c>
      <c r="H330" s="2" t="s">
        <v>63</v>
      </c>
      <c r="I330" s="2" t="s">
        <v>64</v>
      </c>
      <c r="J330" s="2" t="s">
        <v>63</v>
      </c>
      <c r="K330" s="2" t="s">
        <v>63</v>
      </c>
      <c r="L330" s="2" t="s">
        <v>65</v>
      </c>
      <c r="N330" s="1" t="s">
        <v>4335</v>
      </c>
      <c r="O330" s="2" t="s">
        <v>348</v>
      </c>
      <c r="Q330" s="2" t="s">
        <v>70</v>
      </c>
      <c r="R330" s="2" t="s">
        <v>377</v>
      </c>
      <c r="T330" s="2" t="s">
        <v>72</v>
      </c>
      <c r="U330" s="3">
        <v>2</v>
      </c>
      <c r="V330" s="3">
        <v>2</v>
      </c>
      <c r="W330" s="4" t="s">
        <v>2646</v>
      </c>
      <c r="X330" s="4" t="s">
        <v>2646</v>
      </c>
      <c r="Y330" s="4" t="s">
        <v>4299</v>
      </c>
      <c r="Z330" s="4" t="s">
        <v>4299</v>
      </c>
      <c r="AA330" s="3">
        <v>232</v>
      </c>
      <c r="AB330" s="3">
        <v>211</v>
      </c>
      <c r="AC330" s="3">
        <v>246</v>
      </c>
      <c r="AD330" s="3">
        <v>1</v>
      </c>
      <c r="AE330" s="3">
        <v>1</v>
      </c>
      <c r="AF330" s="3">
        <v>5</v>
      </c>
      <c r="AG330" s="3">
        <v>7</v>
      </c>
      <c r="AH330" s="3">
        <v>1</v>
      </c>
      <c r="AI330" s="3">
        <v>2</v>
      </c>
      <c r="AJ330" s="3">
        <v>2</v>
      </c>
      <c r="AK330" s="3">
        <v>2</v>
      </c>
      <c r="AL330" s="3">
        <v>2</v>
      </c>
      <c r="AM330" s="3">
        <v>4</v>
      </c>
      <c r="AN330" s="3">
        <v>0</v>
      </c>
      <c r="AO330" s="3">
        <v>0</v>
      </c>
      <c r="AP330" s="3">
        <v>0</v>
      </c>
      <c r="AQ330" s="3">
        <v>0</v>
      </c>
      <c r="AR330" s="2" t="s">
        <v>63</v>
      </c>
      <c r="AS330" s="2" t="s">
        <v>92</v>
      </c>
      <c r="AT330" s="5" t="str">
        <f>HYPERLINK("http://catalog.hathitrust.org/Record/003966208","HathiTrust Record")</f>
        <v>HathiTrust Record</v>
      </c>
      <c r="AU330" s="5" t="str">
        <f>HYPERLINK("https://creighton-primo.hosted.exlibrisgroup.com/primo-explore/search?tab=default_tab&amp;search_scope=EVERYTHING&amp;vid=01CRU&amp;lang=en_US&amp;offset=0&amp;query=any,contains,991000302859702656","Catalog Record")</f>
        <v>Catalog Record</v>
      </c>
      <c r="AV330" s="5" t="str">
        <f>HYPERLINK("http://www.worldcat.org/oclc/38550070","WorldCat Record")</f>
        <v>WorldCat Record</v>
      </c>
      <c r="AW330" s="2" t="s">
        <v>4336</v>
      </c>
      <c r="AX330" s="2" t="s">
        <v>4337</v>
      </c>
      <c r="AY330" s="2" t="s">
        <v>4338</v>
      </c>
      <c r="AZ330" s="2" t="s">
        <v>4338</v>
      </c>
      <c r="BA330" s="2" t="s">
        <v>4339</v>
      </c>
      <c r="BB330" s="2" t="s">
        <v>79</v>
      </c>
      <c r="BD330" s="2" t="s">
        <v>4340</v>
      </c>
      <c r="BE330" s="2" t="s">
        <v>4341</v>
      </c>
      <c r="BF330" s="2" t="s">
        <v>4342</v>
      </c>
    </row>
    <row r="331" spans="1:58" ht="46.5" customHeight="1">
      <c r="A331" s="1"/>
      <c r="B331" s="1" t="s">
        <v>58</v>
      </c>
      <c r="C331" s="1" t="s">
        <v>59</v>
      </c>
      <c r="D331" s="1" t="s">
        <v>4343</v>
      </c>
      <c r="E331" s="1" t="s">
        <v>4344</v>
      </c>
      <c r="F331" s="1" t="s">
        <v>4345</v>
      </c>
      <c r="H331" s="2" t="s">
        <v>63</v>
      </c>
      <c r="I331" s="2" t="s">
        <v>64</v>
      </c>
      <c r="J331" s="2" t="s">
        <v>63</v>
      </c>
      <c r="K331" s="2" t="s">
        <v>63</v>
      </c>
      <c r="L331" s="2" t="s">
        <v>65</v>
      </c>
      <c r="M331" s="1" t="s">
        <v>4346</v>
      </c>
      <c r="N331" s="1" t="s">
        <v>4347</v>
      </c>
      <c r="O331" s="2" t="s">
        <v>1693</v>
      </c>
      <c r="Q331" s="2" t="s">
        <v>70</v>
      </c>
      <c r="R331" s="2" t="s">
        <v>277</v>
      </c>
      <c r="T331" s="2" t="s">
        <v>72</v>
      </c>
      <c r="U331" s="3">
        <v>3</v>
      </c>
      <c r="V331" s="3">
        <v>3</v>
      </c>
      <c r="W331" s="4" t="s">
        <v>4348</v>
      </c>
      <c r="X331" s="4" t="s">
        <v>4348</v>
      </c>
      <c r="Y331" s="4" t="s">
        <v>3914</v>
      </c>
      <c r="Z331" s="4" t="s">
        <v>3914</v>
      </c>
      <c r="AA331" s="3">
        <v>268</v>
      </c>
      <c r="AB331" s="3">
        <v>208</v>
      </c>
      <c r="AC331" s="3">
        <v>212</v>
      </c>
      <c r="AD331" s="3">
        <v>2</v>
      </c>
      <c r="AE331" s="3">
        <v>2</v>
      </c>
      <c r="AF331" s="3">
        <v>9</v>
      </c>
      <c r="AG331" s="3">
        <v>9</v>
      </c>
      <c r="AH331" s="3">
        <v>5</v>
      </c>
      <c r="AI331" s="3">
        <v>5</v>
      </c>
      <c r="AJ331" s="3">
        <v>1</v>
      </c>
      <c r="AK331" s="3">
        <v>1</v>
      </c>
      <c r="AL331" s="3">
        <v>5</v>
      </c>
      <c r="AM331" s="3">
        <v>5</v>
      </c>
      <c r="AN331" s="3">
        <v>1</v>
      </c>
      <c r="AO331" s="3">
        <v>1</v>
      </c>
      <c r="AP331" s="3">
        <v>0</v>
      </c>
      <c r="AQ331" s="3">
        <v>0</v>
      </c>
      <c r="AR331" s="2" t="s">
        <v>63</v>
      </c>
      <c r="AS331" s="2" t="s">
        <v>92</v>
      </c>
      <c r="AT331" s="5" t="str">
        <f>HYPERLINK("http://catalog.hathitrust.org/Record/001573224","HathiTrust Record")</f>
        <v>HathiTrust Record</v>
      </c>
      <c r="AU331" s="5" t="str">
        <f>HYPERLINK("https://creighton-primo.hosted.exlibrisgroup.com/primo-explore/search?tab=default_tab&amp;search_scope=EVERYTHING&amp;vid=01CRU&amp;lang=en_US&amp;offset=0&amp;query=any,contains,991000959069702656","Catalog Record")</f>
        <v>Catalog Record</v>
      </c>
      <c r="AV331" s="5" t="str">
        <f>HYPERLINK("http://www.worldcat.org/oclc/1224211","WorldCat Record")</f>
        <v>WorldCat Record</v>
      </c>
      <c r="AW331" s="2" t="s">
        <v>4349</v>
      </c>
      <c r="AX331" s="2" t="s">
        <v>4350</v>
      </c>
      <c r="AY331" s="2" t="s">
        <v>4351</v>
      </c>
      <c r="AZ331" s="2" t="s">
        <v>4351</v>
      </c>
      <c r="BA331" s="2" t="s">
        <v>4352</v>
      </c>
      <c r="BB331" s="2" t="s">
        <v>79</v>
      </c>
      <c r="BE331" s="2" t="s">
        <v>4353</v>
      </c>
      <c r="BF331" s="2" t="s">
        <v>4354</v>
      </c>
    </row>
    <row r="332" spans="1:58" ht="46.5" customHeight="1">
      <c r="A332" s="1"/>
      <c r="B332" s="1" t="s">
        <v>58</v>
      </c>
      <c r="C332" s="1" t="s">
        <v>59</v>
      </c>
      <c r="D332" s="1" t="s">
        <v>4355</v>
      </c>
      <c r="E332" s="1" t="s">
        <v>4356</v>
      </c>
      <c r="F332" s="1" t="s">
        <v>4357</v>
      </c>
      <c r="H332" s="2" t="s">
        <v>63</v>
      </c>
      <c r="I332" s="2" t="s">
        <v>64</v>
      </c>
      <c r="J332" s="2" t="s">
        <v>63</v>
      </c>
      <c r="K332" s="2" t="s">
        <v>63</v>
      </c>
      <c r="L332" s="2" t="s">
        <v>65</v>
      </c>
      <c r="N332" s="1" t="s">
        <v>4358</v>
      </c>
      <c r="O332" s="2" t="s">
        <v>4359</v>
      </c>
      <c r="Q332" s="2" t="s">
        <v>70</v>
      </c>
      <c r="R332" s="2" t="s">
        <v>1389</v>
      </c>
      <c r="T332" s="2" t="s">
        <v>72</v>
      </c>
      <c r="U332" s="3">
        <v>10</v>
      </c>
      <c r="V332" s="3">
        <v>10</v>
      </c>
      <c r="W332" s="4" t="s">
        <v>3926</v>
      </c>
      <c r="X332" s="4" t="s">
        <v>3926</v>
      </c>
      <c r="Y332" s="4" t="s">
        <v>3914</v>
      </c>
      <c r="Z332" s="4" t="s">
        <v>3914</v>
      </c>
      <c r="AA332" s="3">
        <v>197</v>
      </c>
      <c r="AB332" s="3">
        <v>171</v>
      </c>
      <c r="AC332" s="3">
        <v>178</v>
      </c>
      <c r="AD332" s="3">
        <v>1</v>
      </c>
      <c r="AE332" s="3">
        <v>1</v>
      </c>
      <c r="AF332" s="3">
        <v>6</v>
      </c>
      <c r="AG332" s="3">
        <v>6</v>
      </c>
      <c r="AH332" s="3">
        <v>3</v>
      </c>
      <c r="AI332" s="3">
        <v>3</v>
      </c>
      <c r="AJ332" s="3">
        <v>2</v>
      </c>
      <c r="AK332" s="3">
        <v>2</v>
      </c>
      <c r="AL332" s="3">
        <v>2</v>
      </c>
      <c r="AM332" s="3">
        <v>2</v>
      </c>
      <c r="AN332" s="3">
        <v>0</v>
      </c>
      <c r="AO332" s="3">
        <v>0</v>
      </c>
      <c r="AP332" s="3">
        <v>1</v>
      </c>
      <c r="AQ332" s="3">
        <v>1</v>
      </c>
      <c r="AR332" s="2" t="s">
        <v>63</v>
      </c>
      <c r="AS332" s="2" t="s">
        <v>63</v>
      </c>
      <c r="AU332" s="5" t="str">
        <f>HYPERLINK("https://creighton-primo.hosted.exlibrisgroup.com/primo-explore/search?tab=default_tab&amp;search_scope=EVERYTHING&amp;vid=01CRU&amp;lang=en_US&amp;offset=0&amp;query=any,contains,991000958999702656","Catalog Record")</f>
        <v>Catalog Record</v>
      </c>
      <c r="AV332" s="5" t="str">
        <f>HYPERLINK("http://www.worldcat.org/oclc/96437","WorldCat Record")</f>
        <v>WorldCat Record</v>
      </c>
      <c r="AW332" s="2" t="s">
        <v>4360</v>
      </c>
      <c r="AX332" s="2" t="s">
        <v>4361</v>
      </c>
      <c r="AY332" s="2" t="s">
        <v>4362</v>
      </c>
      <c r="AZ332" s="2" t="s">
        <v>4362</v>
      </c>
      <c r="BA332" s="2" t="s">
        <v>4363</v>
      </c>
      <c r="BB332" s="2" t="s">
        <v>79</v>
      </c>
      <c r="BE332" s="2" t="s">
        <v>4364</v>
      </c>
      <c r="BF332" s="2" t="s">
        <v>4365</v>
      </c>
    </row>
    <row r="333" spans="1:58" ht="46.5" customHeight="1">
      <c r="A333" s="1"/>
      <c r="B333" s="1" t="s">
        <v>58</v>
      </c>
      <c r="C333" s="1" t="s">
        <v>59</v>
      </c>
      <c r="D333" s="1" t="s">
        <v>4366</v>
      </c>
      <c r="E333" s="1" t="s">
        <v>4367</v>
      </c>
      <c r="F333" s="1" t="s">
        <v>4368</v>
      </c>
      <c r="H333" s="2" t="s">
        <v>63</v>
      </c>
      <c r="I333" s="2" t="s">
        <v>64</v>
      </c>
      <c r="J333" s="2" t="s">
        <v>63</v>
      </c>
      <c r="K333" s="2" t="s">
        <v>63</v>
      </c>
      <c r="L333" s="2" t="s">
        <v>65</v>
      </c>
      <c r="M333" s="1" t="s">
        <v>4369</v>
      </c>
      <c r="N333" s="1" t="s">
        <v>4370</v>
      </c>
      <c r="O333" s="2" t="s">
        <v>1585</v>
      </c>
      <c r="Q333" s="2" t="s">
        <v>70</v>
      </c>
      <c r="R333" s="2" t="s">
        <v>277</v>
      </c>
      <c r="T333" s="2" t="s">
        <v>72</v>
      </c>
      <c r="U333" s="3">
        <v>10</v>
      </c>
      <c r="V333" s="3">
        <v>10</v>
      </c>
      <c r="W333" s="4" t="s">
        <v>4204</v>
      </c>
      <c r="X333" s="4" t="s">
        <v>4204</v>
      </c>
      <c r="Y333" s="4" t="s">
        <v>3914</v>
      </c>
      <c r="Z333" s="4" t="s">
        <v>3914</v>
      </c>
      <c r="AA333" s="3">
        <v>386</v>
      </c>
      <c r="AB333" s="3">
        <v>278</v>
      </c>
      <c r="AC333" s="3">
        <v>328</v>
      </c>
      <c r="AD333" s="3">
        <v>3</v>
      </c>
      <c r="AE333" s="3">
        <v>3</v>
      </c>
      <c r="AF333" s="3">
        <v>14</v>
      </c>
      <c r="AG333" s="3">
        <v>16</v>
      </c>
      <c r="AH333" s="3">
        <v>3</v>
      </c>
      <c r="AI333" s="3">
        <v>4</v>
      </c>
      <c r="AJ333" s="3">
        <v>4</v>
      </c>
      <c r="AK333" s="3">
        <v>5</v>
      </c>
      <c r="AL333" s="3">
        <v>9</v>
      </c>
      <c r="AM333" s="3">
        <v>9</v>
      </c>
      <c r="AN333" s="3">
        <v>2</v>
      </c>
      <c r="AO333" s="3">
        <v>2</v>
      </c>
      <c r="AP333" s="3">
        <v>1</v>
      </c>
      <c r="AQ333" s="3">
        <v>1</v>
      </c>
      <c r="AR333" s="2" t="s">
        <v>63</v>
      </c>
      <c r="AS333" s="2" t="s">
        <v>92</v>
      </c>
      <c r="AT333" s="5" t="str">
        <f>HYPERLINK("http://catalog.hathitrust.org/Record/000661514","HathiTrust Record")</f>
        <v>HathiTrust Record</v>
      </c>
      <c r="AU333" s="5" t="str">
        <f>HYPERLINK("https://creighton-primo.hosted.exlibrisgroup.com/primo-explore/search?tab=default_tab&amp;search_scope=EVERYTHING&amp;vid=01CRU&amp;lang=en_US&amp;offset=0&amp;query=any,contains,991000958969702656","Catalog Record")</f>
        <v>Catalog Record</v>
      </c>
      <c r="AV333" s="5" t="str">
        <f>HYPERLINK("http://www.worldcat.org/oclc/1009340","WorldCat Record")</f>
        <v>WorldCat Record</v>
      </c>
      <c r="AW333" s="2" t="s">
        <v>4371</v>
      </c>
      <c r="AX333" s="2" t="s">
        <v>4372</v>
      </c>
      <c r="AY333" s="2" t="s">
        <v>4373</v>
      </c>
      <c r="AZ333" s="2" t="s">
        <v>4373</v>
      </c>
      <c r="BA333" s="2" t="s">
        <v>4374</v>
      </c>
      <c r="BB333" s="2" t="s">
        <v>79</v>
      </c>
      <c r="BD333" s="2" t="s">
        <v>4375</v>
      </c>
      <c r="BE333" s="2" t="s">
        <v>4376</v>
      </c>
      <c r="BF333" s="2" t="s">
        <v>4377</v>
      </c>
    </row>
    <row r="334" spans="1:58" ht="46.5" customHeight="1">
      <c r="A334" s="1"/>
      <c r="B334" s="1" t="s">
        <v>58</v>
      </c>
      <c r="C334" s="1" t="s">
        <v>59</v>
      </c>
      <c r="D334" s="1" t="s">
        <v>4378</v>
      </c>
      <c r="E334" s="1" t="s">
        <v>4379</v>
      </c>
      <c r="F334" s="1" t="s">
        <v>4380</v>
      </c>
      <c r="H334" s="2" t="s">
        <v>63</v>
      </c>
      <c r="I334" s="2" t="s">
        <v>64</v>
      </c>
      <c r="J334" s="2" t="s">
        <v>63</v>
      </c>
      <c r="K334" s="2" t="s">
        <v>63</v>
      </c>
      <c r="L334" s="2" t="s">
        <v>65</v>
      </c>
      <c r="N334" s="1" t="s">
        <v>4381</v>
      </c>
      <c r="O334" s="2" t="s">
        <v>4359</v>
      </c>
      <c r="Q334" s="2" t="s">
        <v>70</v>
      </c>
      <c r="R334" s="2" t="s">
        <v>277</v>
      </c>
      <c r="S334" s="1" t="s">
        <v>4382</v>
      </c>
      <c r="T334" s="2" t="s">
        <v>72</v>
      </c>
      <c r="U334" s="3">
        <v>8</v>
      </c>
      <c r="V334" s="3">
        <v>8</v>
      </c>
      <c r="W334" s="4" t="s">
        <v>4204</v>
      </c>
      <c r="X334" s="4" t="s">
        <v>4204</v>
      </c>
      <c r="Y334" s="4" t="s">
        <v>1696</v>
      </c>
      <c r="Z334" s="4" t="s">
        <v>1696</v>
      </c>
      <c r="AA334" s="3">
        <v>244</v>
      </c>
      <c r="AB334" s="3">
        <v>193</v>
      </c>
      <c r="AC334" s="3">
        <v>194</v>
      </c>
      <c r="AD334" s="3">
        <v>2</v>
      </c>
      <c r="AE334" s="3">
        <v>2</v>
      </c>
      <c r="AF334" s="3">
        <v>7</v>
      </c>
      <c r="AG334" s="3">
        <v>7</v>
      </c>
      <c r="AH334" s="3">
        <v>2</v>
      </c>
      <c r="AI334" s="3">
        <v>2</v>
      </c>
      <c r="AJ334" s="3">
        <v>2</v>
      </c>
      <c r="AK334" s="3">
        <v>2</v>
      </c>
      <c r="AL334" s="3">
        <v>3</v>
      </c>
      <c r="AM334" s="3">
        <v>3</v>
      </c>
      <c r="AN334" s="3">
        <v>1</v>
      </c>
      <c r="AO334" s="3">
        <v>1</v>
      </c>
      <c r="AP334" s="3">
        <v>0</v>
      </c>
      <c r="AQ334" s="3">
        <v>0</v>
      </c>
      <c r="AR334" s="2" t="s">
        <v>63</v>
      </c>
      <c r="AS334" s="2" t="s">
        <v>92</v>
      </c>
      <c r="AT334" s="5" t="str">
        <f>HYPERLINK("http://catalog.hathitrust.org/Record/001688629","HathiTrust Record")</f>
        <v>HathiTrust Record</v>
      </c>
      <c r="AU334" s="5" t="str">
        <f>HYPERLINK("https://creighton-primo.hosted.exlibrisgroup.com/primo-explore/search?tab=default_tab&amp;search_scope=EVERYTHING&amp;vid=01CRU&amp;lang=en_US&amp;offset=0&amp;query=any,contains,991000958899702656","Catalog Record")</f>
        <v>Catalog Record</v>
      </c>
      <c r="AV334" s="5" t="str">
        <f>HYPERLINK("http://www.worldcat.org/oclc/58755","WorldCat Record")</f>
        <v>WorldCat Record</v>
      </c>
      <c r="AW334" s="2" t="s">
        <v>4383</v>
      </c>
      <c r="AX334" s="2" t="s">
        <v>4384</v>
      </c>
      <c r="AY334" s="2" t="s">
        <v>4385</v>
      </c>
      <c r="AZ334" s="2" t="s">
        <v>4385</v>
      </c>
      <c r="BA334" s="2" t="s">
        <v>4386</v>
      </c>
      <c r="BB334" s="2" t="s">
        <v>79</v>
      </c>
      <c r="BE334" s="2" t="s">
        <v>4387</v>
      </c>
      <c r="BF334" s="2" t="s">
        <v>4388</v>
      </c>
    </row>
    <row r="335" spans="1:58" ht="46.5" customHeight="1">
      <c r="A335" s="1"/>
      <c r="B335" s="1" t="s">
        <v>58</v>
      </c>
      <c r="C335" s="1" t="s">
        <v>59</v>
      </c>
      <c r="D335" s="1" t="s">
        <v>4389</v>
      </c>
      <c r="E335" s="1" t="s">
        <v>4390</v>
      </c>
      <c r="F335" s="1" t="s">
        <v>4391</v>
      </c>
      <c r="H335" s="2" t="s">
        <v>63</v>
      </c>
      <c r="I335" s="2" t="s">
        <v>64</v>
      </c>
      <c r="J335" s="2" t="s">
        <v>63</v>
      </c>
      <c r="K335" s="2" t="s">
        <v>63</v>
      </c>
      <c r="L335" s="2" t="s">
        <v>65</v>
      </c>
      <c r="M335" s="1" t="s">
        <v>4392</v>
      </c>
      <c r="N335" s="1" t="s">
        <v>4393</v>
      </c>
      <c r="O335" s="2" t="s">
        <v>829</v>
      </c>
      <c r="Q335" s="2" t="s">
        <v>70</v>
      </c>
      <c r="R335" s="2" t="s">
        <v>277</v>
      </c>
      <c r="S335" s="1" t="s">
        <v>4394</v>
      </c>
      <c r="T335" s="2" t="s">
        <v>72</v>
      </c>
      <c r="U335" s="3">
        <v>6</v>
      </c>
      <c r="V335" s="3">
        <v>6</v>
      </c>
      <c r="W335" s="4" t="s">
        <v>4395</v>
      </c>
      <c r="X335" s="4" t="s">
        <v>4395</v>
      </c>
      <c r="Y335" s="4" t="s">
        <v>4396</v>
      </c>
      <c r="Z335" s="4" t="s">
        <v>4396</v>
      </c>
      <c r="AA335" s="3">
        <v>173</v>
      </c>
      <c r="AB335" s="3">
        <v>114</v>
      </c>
      <c r="AC335" s="3">
        <v>121</v>
      </c>
      <c r="AD335" s="3">
        <v>2</v>
      </c>
      <c r="AE335" s="3">
        <v>2</v>
      </c>
      <c r="AF335" s="3">
        <v>5</v>
      </c>
      <c r="AG335" s="3">
        <v>5</v>
      </c>
      <c r="AH335" s="3">
        <v>1</v>
      </c>
      <c r="AI335" s="3">
        <v>1</v>
      </c>
      <c r="AJ335" s="3">
        <v>3</v>
      </c>
      <c r="AK335" s="3">
        <v>3</v>
      </c>
      <c r="AL335" s="3">
        <v>2</v>
      </c>
      <c r="AM335" s="3">
        <v>2</v>
      </c>
      <c r="AN335" s="3">
        <v>1</v>
      </c>
      <c r="AO335" s="3">
        <v>1</v>
      </c>
      <c r="AP335" s="3">
        <v>0</v>
      </c>
      <c r="AQ335" s="3">
        <v>0</v>
      </c>
      <c r="AR335" s="2" t="s">
        <v>63</v>
      </c>
      <c r="AS335" s="2" t="s">
        <v>92</v>
      </c>
      <c r="AT335" s="5" t="str">
        <f>HYPERLINK("http://catalog.hathitrust.org/Record/000687993","HathiTrust Record")</f>
        <v>HathiTrust Record</v>
      </c>
      <c r="AU335" s="5" t="str">
        <f>HYPERLINK("https://creighton-primo.hosted.exlibrisgroup.com/primo-explore/search?tab=default_tab&amp;search_scope=EVERYTHING&amp;vid=01CRU&amp;lang=en_US&amp;offset=0&amp;query=any,contains,991000958839702656","Catalog Record")</f>
        <v>Catalog Record</v>
      </c>
      <c r="AV335" s="5" t="str">
        <f>HYPERLINK("http://www.worldcat.org/oclc/1849163","WorldCat Record")</f>
        <v>WorldCat Record</v>
      </c>
      <c r="AW335" s="2" t="s">
        <v>4397</v>
      </c>
      <c r="AX335" s="2" t="s">
        <v>4398</v>
      </c>
      <c r="AY335" s="2" t="s">
        <v>4399</v>
      </c>
      <c r="AZ335" s="2" t="s">
        <v>4399</v>
      </c>
      <c r="BA335" s="2" t="s">
        <v>4400</v>
      </c>
      <c r="BB335" s="2" t="s">
        <v>79</v>
      </c>
      <c r="BE335" s="2" t="s">
        <v>4401</v>
      </c>
      <c r="BF335" s="2" t="s">
        <v>4402</v>
      </c>
    </row>
    <row r="336" spans="1:58" ht="46.5" customHeight="1">
      <c r="A336" s="1"/>
      <c r="B336" s="1" t="s">
        <v>58</v>
      </c>
      <c r="C336" s="1" t="s">
        <v>59</v>
      </c>
      <c r="D336" s="1" t="s">
        <v>4403</v>
      </c>
      <c r="E336" s="1" t="s">
        <v>4404</v>
      </c>
      <c r="F336" s="1" t="s">
        <v>4405</v>
      </c>
      <c r="H336" s="2" t="s">
        <v>63</v>
      </c>
      <c r="I336" s="2" t="s">
        <v>64</v>
      </c>
      <c r="J336" s="2" t="s">
        <v>63</v>
      </c>
      <c r="K336" s="2" t="s">
        <v>63</v>
      </c>
      <c r="L336" s="2" t="s">
        <v>65</v>
      </c>
      <c r="N336" s="1" t="s">
        <v>4406</v>
      </c>
      <c r="O336" s="2" t="s">
        <v>87</v>
      </c>
      <c r="Q336" s="2" t="s">
        <v>70</v>
      </c>
      <c r="R336" s="2" t="s">
        <v>786</v>
      </c>
      <c r="S336" s="1" t="s">
        <v>4407</v>
      </c>
      <c r="T336" s="2" t="s">
        <v>72</v>
      </c>
      <c r="U336" s="3">
        <v>9</v>
      </c>
      <c r="V336" s="3">
        <v>9</v>
      </c>
      <c r="W336" s="4" t="s">
        <v>4395</v>
      </c>
      <c r="X336" s="4" t="s">
        <v>4395</v>
      </c>
      <c r="Y336" s="4" t="s">
        <v>4408</v>
      </c>
      <c r="Z336" s="4" t="s">
        <v>4408</v>
      </c>
      <c r="AA336" s="3">
        <v>172</v>
      </c>
      <c r="AB336" s="3">
        <v>104</v>
      </c>
      <c r="AC336" s="3">
        <v>115</v>
      </c>
      <c r="AD336" s="3">
        <v>1</v>
      </c>
      <c r="AE336" s="3">
        <v>1</v>
      </c>
      <c r="AF336" s="3">
        <v>2</v>
      </c>
      <c r="AG336" s="3">
        <v>2</v>
      </c>
      <c r="AH336" s="3">
        <v>0</v>
      </c>
      <c r="AI336" s="3">
        <v>0</v>
      </c>
      <c r="AJ336" s="3">
        <v>2</v>
      </c>
      <c r="AK336" s="3">
        <v>2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2" t="s">
        <v>63</v>
      </c>
      <c r="AS336" s="2" t="s">
        <v>92</v>
      </c>
      <c r="AT336" s="5" t="str">
        <f>HYPERLINK("http://catalog.hathitrust.org/Record/000593642","HathiTrust Record")</f>
        <v>HathiTrust Record</v>
      </c>
      <c r="AU336" s="5" t="str">
        <f>HYPERLINK("https://creighton-primo.hosted.exlibrisgroup.com/primo-explore/search?tab=default_tab&amp;search_scope=EVERYTHING&amp;vid=01CRU&amp;lang=en_US&amp;offset=0&amp;query=any,contains,991001245409702656","Catalog Record")</f>
        <v>Catalog Record</v>
      </c>
      <c r="AV336" s="5" t="str">
        <f>HYPERLINK("http://www.worldcat.org/oclc/14069133","WorldCat Record")</f>
        <v>WorldCat Record</v>
      </c>
      <c r="AW336" s="2" t="s">
        <v>4409</v>
      </c>
      <c r="AX336" s="2" t="s">
        <v>4410</v>
      </c>
      <c r="AY336" s="2" t="s">
        <v>4411</v>
      </c>
      <c r="AZ336" s="2" t="s">
        <v>4411</v>
      </c>
      <c r="BA336" s="2" t="s">
        <v>4412</v>
      </c>
      <c r="BB336" s="2" t="s">
        <v>79</v>
      </c>
      <c r="BD336" s="2" t="s">
        <v>4413</v>
      </c>
      <c r="BE336" s="2" t="s">
        <v>4414</v>
      </c>
      <c r="BF336" s="2" t="s">
        <v>4415</v>
      </c>
    </row>
    <row r="337" spans="1:58" ht="46.5" customHeight="1">
      <c r="A337" s="1"/>
      <c r="B337" s="1" t="s">
        <v>58</v>
      </c>
      <c r="C337" s="1" t="s">
        <v>59</v>
      </c>
      <c r="D337" s="1" t="s">
        <v>4416</v>
      </c>
      <c r="E337" s="1" t="s">
        <v>4417</v>
      </c>
      <c r="F337" s="1" t="s">
        <v>4418</v>
      </c>
      <c r="H337" s="2" t="s">
        <v>63</v>
      </c>
      <c r="I337" s="2" t="s">
        <v>64</v>
      </c>
      <c r="J337" s="2" t="s">
        <v>63</v>
      </c>
      <c r="K337" s="2" t="s">
        <v>63</v>
      </c>
      <c r="L337" s="2" t="s">
        <v>65</v>
      </c>
      <c r="M337" s="1" t="s">
        <v>4419</v>
      </c>
      <c r="N337" s="1" t="s">
        <v>4420</v>
      </c>
      <c r="O337" s="2" t="s">
        <v>87</v>
      </c>
      <c r="Q337" s="2" t="s">
        <v>70</v>
      </c>
      <c r="R337" s="2" t="s">
        <v>89</v>
      </c>
      <c r="T337" s="2" t="s">
        <v>72</v>
      </c>
      <c r="U337" s="3">
        <v>11</v>
      </c>
      <c r="V337" s="3">
        <v>11</v>
      </c>
      <c r="W337" s="4" t="s">
        <v>4421</v>
      </c>
      <c r="X337" s="4" t="s">
        <v>4421</v>
      </c>
      <c r="Y337" s="4" t="s">
        <v>3387</v>
      </c>
      <c r="Z337" s="4" t="s">
        <v>3387</v>
      </c>
      <c r="AA337" s="3">
        <v>454</v>
      </c>
      <c r="AB337" s="3">
        <v>399</v>
      </c>
      <c r="AC337" s="3">
        <v>406</v>
      </c>
      <c r="AD337" s="3">
        <v>4</v>
      </c>
      <c r="AE337" s="3">
        <v>4</v>
      </c>
      <c r="AF337" s="3">
        <v>21</v>
      </c>
      <c r="AG337" s="3">
        <v>21</v>
      </c>
      <c r="AH337" s="3">
        <v>8</v>
      </c>
      <c r="AI337" s="3">
        <v>8</v>
      </c>
      <c r="AJ337" s="3">
        <v>5</v>
      </c>
      <c r="AK337" s="3">
        <v>5</v>
      </c>
      <c r="AL337" s="3">
        <v>10</v>
      </c>
      <c r="AM337" s="3">
        <v>10</v>
      </c>
      <c r="AN337" s="3">
        <v>3</v>
      </c>
      <c r="AO337" s="3">
        <v>3</v>
      </c>
      <c r="AP337" s="3">
        <v>0</v>
      </c>
      <c r="AQ337" s="3">
        <v>0</v>
      </c>
      <c r="AR337" s="2" t="s">
        <v>63</v>
      </c>
      <c r="AS337" s="2" t="s">
        <v>92</v>
      </c>
      <c r="AT337" s="5" t="str">
        <f>HYPERLINK("http://catalog.hathitrust.org/Record/000816321","HathiTrust Record")</f>
        <v>HathiTrust Record</v>
      </c>
      <c r="AU337" s="5" t="str">
        <f>HYPERLINK("https://creighton-primo.hosted.exlibrisgroup.com/primo-explore/search?tab=default_tab&amp;search_scope=EVERYTHING&amp;vid=01CRU&amp;lang=en_US&amp;offset=0&amp;query=any,contains,991000762939702656","Catalog Record")</f>
        <v>Catalog Record</v>
      </c>
      <c r="AV337" s="5" t="str">
        <f>HYPERLINK("http://www.worldcat.org/oclc/13125682","WorldCat Record")</f>
        <v>WorldCat Record</v>
      </c>
      <c r="AW337" s="2" t="s">
        <v>4422</v>
      </c>
      <c r="AX337" s="2" t="s">
        <v>4423</v>
      </c>
      <c r="AY337" s="2" t="s">
        <v>4424</v>
      </c>
      <c r="AZ337" s="2" t="s">
        <v>4424</v>
      </c>
      <c r="BA337" s="2" t="s">
        <v>4425</v>
      </c>
      <c r="BB337" s="2" t="s">
        <v>79</v>
      </c>
      <c r="BD337" s="2" t="s">
        <v>4426</v>
      </c>
      <c r="BE337" s="2" t="s">
        <v>4427</v>
      </c>
      <c r="BF337" s="2" t="s">
        <v>4428</v>
      </c>
    </row>
    <row r="338" spans="1:58" ht="46.5" customHeight="1">
      <c r="A338" s="1"/>
      <c r="B338" s="1" t="s">
        <v>58</v>
      </c>
      <c r="C338" s="1" t="s">
        <v>59</v>
      </c>
      <c r="D338" s="1" t="s">
        <v>4429</v>
      </c>
      <c r="E338" s="1" t="s">
        <v>4430</v>
      </c>
      <c r="F338" s="1" t="s">
        <v>4431</v>
      </c>
      <c r="H338" s="2" t="s">
        <v>63</v>
      </c>
      <c r="I338" s="2" t="s">
        <v>64</v>
      </c>
      <c r="J338" s="2" t="s">
        <v>63</v>
      </c>
      <c r="K338" s="2" t="s">
        <v>63</v>
      </c>
      <c r="L338" s="2" t="s">
        <v>65</v>
      </c>
      <c r="N338" s="1" t="s">
        <v>3370</v>
      </c>
      <c r="O338" s="2" t="s">
        <v>132</v>
      </c>
      <c r="Q338" s="2" t="s">
        <v>70</v>
      </c>
      <c r="R338" s="2" t="s">
        <v>1541</v>
      </c>
      <c r="T338" s="2" t="s">
        <v>72</v>
      </c>
      <c r="U338" s="3">
        <v>13</v>
      </c>
      <c r="V338" s="3">
        <v>13</v>
      </c>
      <c r="W338" s="4" t="s">
        <v>4204</v>
      </c>
      <c r="X338" s="4" t="s">
        <v>4204</v>
      </c>
      <c r="Y338" s="4" t="s">
        <v>4432</v>
      </c>
      <c r="Z338" s="4" t="s">
        <v>4432</v>
      </c>
      <c r="AA338" s="3">
        <v>179</v>
      </c>
      <c r="AB338" s="3">
        <v>147</v>
      </c>
      <c r="AC338" s="3">
        <v>151</v>
      </c>
      <c r="AD338" s="3">
        <v>2</v>
      </c>
      <c r="AE338" s="3">
        <v>2</v>
      </c>
      <c r="AF338" s="3">
        <v>9</v>
      </c>
      <c r="AG338" s="3">
        <v>9</v>
      </c>
      <c r="AH338" s="3">
        <v>4</v>
      </c>
      <c r="AI338" s="3">
        <v>4</v>
      </c>
      <c r="AJ338" s="3">
        <v>1</v>
      </c>
      <c r="AK338" s="3">
        <v>1</v>
      </c>
      <c r="AL338" s="3">
        <v>5</v>
      </c>
      <c r="AM338" s="3">
        <v>5</v>
      </c>
      <c r="AN338" s="3">
        <v>1</v>
      </c>
      <c r="AO338" s="3">
        <v>1</v>
      </c>
      <c r="AP338" s="3">
        <v>0</v>
      </c>
      <c r="AQ338" s="3">
        <v>0</v>
      </c>
      <c r="AR338" s="2" t="s">
        <v>63</v>
      </c>
      <c r="AS338" s="2" t="s">
        <v>63</v>
      </c>
      <c r="AU338" s="5" t="str">
        <f>HYPERLINK("https://creighton-primo.hosted.exlibrisgroup.com/primo-explore/search?tab=default_tab&amp;search_scope=EVERYTHING&amp;vid=01CRU&amp;lang=en_US&amp;offset=0&amp;query=any,contains,991001298189702656","Catalog Record")</f>
        <v>Catalog Record</v>
      </c>
      <c r="AV338" s="5" t="str">
        <f>HYPERLINK("http://www.worldcat.org/oclc/23649583","WorldCat Record")</f>
        <v>WorldCat Record</v>
      </c>
      <c r="AW338" s="2" t="s">
        <v>4433</v>
      </c>
      <c r="AX338" s="2" t="s">
        <v>4434</v>
      </c>
      <c r="AY338" s="2" t="s">
        <v>4435</v>
      </c>
      <c r="AZ338" s="2" t="s">
        <v>4435</v>
      </c>
      <c r="BA338" s="2" t="s">
        <v>4436</v>
      </c>
      <c r="BB338" s="2" t="s">
        <v>79</v>
      </c>
      <c r="BD338" s="2" t="s">
        <v>4437</v>
      </c>
      <c r="BE338" s="2" t="s">
        <v>4438</v>
      </c>
      <c r="BF338" s="2" t="s">
        <v>4439</v>
      </c>
    </row>
    <row r="339" spans="1:58" ht="46.5" customHeight="1">
      <c r="A339" s="1"/>
      <c r="B339" s="1" t="s">
        <v>58</v>
      </c>
      <c r="C339" s="1" t="s">
        <v>59</v>
      </c>
      <c r="D339" s="1" t="s">
        <v>4440</v>
      </c>
      <c r="E339" s="1" t="s">
        <v>4441</v>
      </c>
      <c r="F339" s="1" t="s">
        <v>4442</v>
      </c>
      <c r="H339" s="2" t="s">
        <v>63</v>
      </c>
      <c r="I339" s="2" t="s">
        <v>64</v>
      </c>
      <c r="J339" s="2" t="s">
        <v>63</v>
      </c>
      <c r="K339" s="2" t="s">
        <v>63</v>
      </c>
      <c r="L339" s="2" t="s">
        <v>65</v>
      </c>
      <c r="N339" s="1" t="s">
        <v>4443</v>
      </c>
      <c r="O339" s="2" t="s">
        <v>145</v>
      </c>
      <c r="Q339" s="2" t="s">
        <v>70</v>
      </c>
      <c r="R339" s="2" t="s">
        <v>1541</v>
      </c>
      <c r="T339" s="2" t="s">
        <v>72</v>
      </c>
      <c r="U339" s="3">
        <v>16</v>
      </c>
      <c r="V339" s="3">
        <v>16</v>
      </c>
      <c r="W339" s="4" t="s">
        <v>4444</v>
      </c>
      <c r="X339" s="4" t="s">
        <v>4444</v>
      </c>
      <c r="Y339" s="4" t="s">
        <v>4445</v>
      </c>
      <c r="Z339" s="4" t="s">
        <v>4445</v>
      </c>
      <c r="AA339" s="3">
        <v>109</v>
      </c>
      <c r="AB339" s="3">
        <v>82</v>
      </c>
      <c r="AC339" s="3">
        <v>83</v>
      </c>
      <c r="AD339" s="3">
        <v>1</v>
      </c>
      <c r="AE339" s="3">
        <v>1</v>
      </c>
      <c r="AF339" s="3">
        <v>1</v>
      </c>
      <c r="AG339" s="3">
        <v>1</v>
      </c>
      <c r="AH339" s="3">
        <v>0</v>
      </c>
      <c r="AI339" s="3">
        <v>0</v>
      </c>
      <c r="AJ339" s="3">
        <v>0</v>
      </c>
      <c r="AK339" s="3">
        <v>0</v>
      </c>
      <c r="AL339" s="3">
        <v>1</v>
      </c>
      <c r="AM339" s="3">
        <v>1</v>
      </c>
      <c r="AN339" s="3">
        <v>0</v>
      </c>
      <c r="AO339" s="3">
        <v>0</v>
      </c>
      <c r="AP339" s="3">
        <v>0</v>
      </c>
      <c r="AQ339" s="3">
        <v>0</v>
      </c>
      <c r="AR339" s="2" t="s">
        <v>63</v>
      </c>
      <c r="AS339" s="2" t="s">
        <v>63</v>
      </c>
      <c r="AU339" s="5" t="str">
        <f>HYPERLINK("https://creighton-primo.hosted.exlibrisgroup.com/primo-explore/search?tab=default_tab&amp;search_scope=EVERYTHING&amp;vid=01CRU&amp;lang=en_US&amp;offset=0&amp;query=any,contains,991001403339702656","Catalog Record")</f>
        <v>Catalog Record</v>
      </c>
      <c r="AV339" s="5" t="str">
        <f>HYPERLINK("http://www.worldcat.org/oclc/31866823","WorldCat Record")</f>
        <v>WorldCat Record</v>
      </c>
      <c r="AW339" s="2" t="s">
        <v>4446</v>
      </c>
      <c r="AX339" s="2" t="s">
        <v>4447</v>
      </c>
      <c r="AY339" s="2" t="s">
        <v>4448</v>
      </c>
      <c r="AZ339" s="2" t="s">
        <v>4448</v>
      </c>
      <c r="BA339" s="2" t="s">
        <v>4449</v>
      </c>
      <c r="BB339" s="2" t="s">
        <v>79</v>
      </c>
      <c r="BD339" s="2" t="s">
        <v>4450</v>
      </c>
      <c r="BE339" s="2" t="s">
        <v>4451</v>
      </c>
      <c r="BF339" s="2" t="s">
        <v>4452</v>
      </c>
    </row>
    <row r="340" spans="1:58" ht="46.5" customHeight="1">
      <c r="A340" s="1"/>
      <c r="B340" s="1" t="s">
        <v>58</v>
      </c>
      <c r="C340" s="1" t="s">
        <v>59</v>
      </c>
      <c r="D340" s="1" t="s">
        <v>4453</v>
      </c>
      <c r="E340" s="1" t="s">
        <v>4454</v>
      </c>
      <c r="F340" s="1" t="s">
        <v>4455</v>
      </c>
      <c r="H340" s="2" t="s">
        <v>63</v>
      </c>
      <c r="I340" s="2" t="s">
        <v>64</v>
      </c>
      <c r="J340" s="2" t="s">
        <v>63</v>
      </c>
      <c r="K340" s="2" t="s">
        <v>63</v>
      </c>
      <c r="L340" s="2" t="s">
        <v>65</v>
      </c>
      <c r="M340" s="1" t="s">
        <v>4456</v>
      </c>
      <c r="N340" s="1" t="s">
        <v>4457</v>
      </c>
      <c r="O340" s="2" t="s">
        <v>198</v>
      </c>
      <c r="Q340" s="2" t="s">
        <v>70</v>
      </c>
      <c r="R340" s="2" t="s">
        <v>377</v>
      </c>
      <c r="S340" s="1" t="s">
        <v>4458</v>
      </c>
      <c r="T340" s="2" t="s">
        <v>72</v>
      </c>
      <c r="U340" s="3">
        <v>27</v>
      </c>
      <c r="V340" s="3">
        <v>27</v>
      </c>
      <c r="W340" s="4" t="s">
        <v>4459</v>
      </c>
      <c r="X340" s="4" t="s">
        <v>4459</v>
      </c>
      <c r="Y340" s="4" t="s">
        <v>880</v>
      </c>
      <c r="Z340" s="4" t="s">
        <v>880</v>
      </c>
      <c r="AA340" s="3">
        <v>124</v>
      </c>
      <c r="AB340" s="3">
        <v>80</v>
      </c>
      <c r="AC340" s="3">
        <v>86</v>
      </c>
      <c r="AD340" s="3">
        <v>1</v>
      </c>
      <c r="AE340" s="3">
        <v>1</v>
      </c>
      <c r="AF340" s="3">
        <v>5</v>
      </c>
      <c r="AG340" s="3">
        <v>5</v>
      </c>
      <c r="AH340" s="3">
        <v>1</v>
      </c>
      <c r="AI340" s="3">
        <v>1</v>
      </c>
      <c r="AJ340" s="3">
        <v>1</v>
      </c>
      <c r="AK340" s="3">
        <v>1</v>
      </c>
      <c r="AL340" s="3">
        <v>4</v>
      </c>
      <c r="AM340" s="3">
        <v>4</v>
      </c>
      <c r="AN340" s="3">
        <v>0</v>
      </c>
      <c r="AO340" s="3">
        <v>0</v>
      </c>
      <c r="AP340" s="3">
        <v>0</v>
      </c>
      <c r="AQ340" s="3">
        <v>0</v>
      </c>
      <c r="AR340" s="2" t="s">
        <v>63</v>
      </c>
      <c r="AS340" s="2" t="s">
        <v>92</v>
      </c>
      <c r="AT340" s="5" t="str">
        <f>HYPERLINK("http://catalog.hathitrust.org/Record/002505310","HathiTrust Record")</f>
        <v>HathiTrust Record</v>
      </c>
      <c r="AU340" s="5" t="str">
        <f>HYPERLINK("https://creighton-primo.hosted.exlibrisgroup.com/primo-explore/search?tab=default_tab&amp;search_scope=EVERYTHING&amp;vid=01CRU&amp;lang=en_US&amp;offset=0&amp;query=any,contains,991001017129702656","Catalog Record")</f>
        <v>Catalog Record</v>
      </c>
      <c r="AV340" s="5" t="str">
        <f>HYPERLINK("http://www.worldcat.org/oclc/22705819","WorldCat Record")</f>
        <v>WorldCat Record</v>
      </c>
      <c r="AW340" s="2" t="s">
        <v>4460</v>
      </c>
      <c r="AX340" s="2" t="s">
        <v>4461</v>
      </c>
      <c r="AY340" s="2" t="s">
        <v>4462</v>
      </c>
      <c r="AZ340" s="2" t="s">
        <v>4462</v>
      </c>
      <c r="BA340" s="2" t="s">
        <v>4463</v>
      </c>
      <c r="BB340" s="2" t="s">
        <v>79</v>
      </c>
      <c r="BD340" s="2" t="s">
        <v>4464</v>
      </c>
      <c r="BE340" s="2" t="s">
        <v>4465</v>
      </c>
      <c r="BF340" s="2" t="s">
        <v>4466</v>
      </c>
    </row>
    <row r="341" spans="1:58" ht="46.5" customHeight="1">
      <c r="A341" s="1"/>
      <c r="B341" s="1" t="s">
        <v>58</v>
      </c>
      <c r="C341" s="1" t="s">
        <v>59</v>
      </c>
      <c r="D341" s="1" t="s">
        <v>4467</v>
      </c>
      <c r="E341" s="1" t="s">
        <v>4468</v>
      </c>
      <c r="F341" s="1" t="s">
        <v>4469</v>
      </c>
      <c r="H341" s="2" t="s">
        <v>63</v>
      </c>
      <c r="I341" s="2" t="s">
        <v>64</v>
      </c>
      <c r="J341" s="2" t="s">
        <v>63</v>
      </c>
      <c r="K341" s="2" t="s">
        <v>63</v>
      </c>
      <c r="L341" s="2" t="s">
        <v>65</v>
      </c>
      <c r="N341" s="1" t="s">
        <v>4470</v>
      </c>
      <c r="O341" s="2" t="s">
        <v>104</v>
      </c>
      <c r="Q341" s="2" t="s">
        <v>70</v>
      </c>
      <c r="R341" s="2" t="s">
        <v>377</v>
      </c>
      <c r="S341" s="1" t="s">
        <v>2469</v>
      </c>
      <c r="T341" s="2" t="s">
        <v>72</v>
      </c>
      <c r="U341" s="3">
        <v>17</v>
      </c>
      <c r="V341" s="3">
        <v>17</v>
      </c>
      <c r="W341" s="4" t="s">
        <v>4471</v>
      </c>
      <c r="X341" s="4" t="s">
        <v>4471</v>
      </c>
      <c r="Y341" s="4" t="s">
        <v>3387</v>
      </c>
      <c r="Z341" s="4" t="s">
        <v>3387</v>
      </c>
      <c r="AA341" s="3">
        <v>222</v>
      </c>
      <c r="AB341" s="3">
        <v>158</v>
      </c>
      <c r="AC341" s="3">
        <v>160</v>
      </c>
      <c r="AD341" s="3">
        <v>1</v>
      </c>
      <c r="AE341" s="3">
        <v>1</v>
      </c>
      <c r="AF341" s="3">
        <v>3</v>
      </c>
      <c r="AG341" s="3">
        <v>3</v>
      </c>
      <c r="AH341" s="3">
        <v>1</v>
      </c>
      <c r="AI341" s="3">
        <v>1</v>
      </c>
      <c r="AJ341" s="3">
        <v>1</v>
      </c>
      <c r="AK341" s="3">
        <v>1</v>
      </c>
      <c r="AL341" s="3">
        <v>2</v>
      </c>
      <c r="AM341" s="3">
        <v>2</v>
      </c>
      <c r="AN341" s="3">
        <v>0</v>
      </c>
      <c r="AO341" s="3">
        <v>0</v>
      </c>
      <c r="AP341" s="3">
        <v>0</v>
      </c>
      <c r="AQ341" s="3">
        <v>0</v>
      </c>
      <c r="AR341" s="2" t="s">
        <v>63</v>
      </c>
      <c r="AS341" s="2" t="s">
        <v>92</v>
      </c>
      <c r="AT341" s="5" t="str">
        <f>HYPERLINK("http://catalog.hathitrust.org/Record/000609743","HathiTrust Record")</f>
        <v>HathiTrust Record</v>
      </c>
      <c r="AU341" s="5" t="str">
        <f>HYPERLINK("https://creighton-primo.hosted.exlibrisgroup.com/primo-explore/search?tab=default_tab&amp;search_scope=EVERYTHING&amp;vid=01CRU&amp;lang=en_US&amp;offset=0&amp;query=any,contains,991000959419702656","Catalog Record")</f>
        <v>Catalog Record</v>
      </c>
      <c r="AV341" s="5" t="str">
        <f>HYPERLINK("http://www.worldcat.org/oclc/11469504","WorldCat Record")</f>
        <v>WorldCat Record</v>
      </c>
      <c r="AW341" s="2" t="s">
        <v>4472</v>
      </c>
      <c r="AX341" s="2" t="s">
        <v>4473</v>
      </c>
      <c r="AY341" s="2" t="s">
        <v>4474</v>
      </c>
      <c r="AZ341" s="2" t="s">
        <v>4474</v>
      </c>
      <c r="BA341" s="2" t="s">
        <v>4475</v>
      </c>
      <c r="BB341" s="2" t="s">
        <v>79</v>
      </c>
      <c r="BD341" s="2" t="s">
        <v>4476</v>
      </c>
      <c r="BE341" s="2" t="s">
        <v>4477</v>
      </c>
      <c r="BF341" s="2" t="s">
        <v>4478</v>
      </c>
    </row>
    <row r="342" spans="1:58" ht="46.5" customHeight="1">
      <c r="A342" s="1"/>
      <c r="B342" s="1" t="s">
        <v>58</v>
      </c>
      <c r="C342" s="1" t="s">
        <v>59</v>
      </c>
      <c r="D342" s="1" t="s">
        <v>4479</v>
      </c>
      <c r="E342" s="1" t="s">
        <v>4480</v>
      </c>
      <c r="F342" s="1" t="s">
        <v>4481</v>
      </c>
      <c r="H342" s="2" t="s">
        <v>63</v>
      </c>
      <c r="I342" s="2" t="s">
        <v>64</v>
      </c>
      <c r="J342" s="2" t="s">
        <v>63</v>
      </c>
      <c r="K342" s="2" t="s">
        <v>63</v>
      </c>
      <c r="L342" s="2" t="s">
        <v>65</v>
      </c>
      <c r="N342" s="1" t="s">
        <v>4482</v>
      </c>
      <c r="O342" s="2" t="s">
        <v>104</v>
      </c>
      <c r="P342" s="1" t="s">
        <v>157</v>
      </c>
      <c r="Q342" s="2" t="s">
        <v>70</v>
      </c>
      <c r="R342" s="2" t="s">
        <v>89</v>
      </c>
      <c r="T342" s="2" t="s">
        <v>72</v>
      </c>
      <c r="U342" s="3">
        <v>31</v>
      </c>
      <c r="V342" s="3">
        <v>31</v>
      </c>
      <c r="W342" s="4" t="s">
        <v>4483</v>
      </c>
      <c r="X342" s="4" t="s">
        <v>4483</v>
      </c>
      <c r="Y342" s="4" t="s">
        <v>3387</v>
      </c>
      <c r="Z342" s="4" t="s">
        <v>3387</v>
      </c>
      <c r="AA342" s="3">
        <v>296</v>
      </c>
      <c r="AB342" s="3">
        <v>213</v>
      </c>
      <c r="AC342" s="3">
        <v>291</v>
      </c>
      <c r="AD342" s="3">
        <v>2</v>
      </c>
      <c r="AE342" s="3">
        <v>2</v>
      </c>
      <c r="AF342" s="3">
        <v>7</v>
      </c>
      <c r="AG342" s="3">
        <v>9</v>
      </c>
      <c r="AH342" s="3">
        <v>1</v>
      </c>
      <c r="AI342" s="3">
        <v>2</v>
      </c>
      <c r="AJ342" s="3">
        <v>3</v>
      </c>
      <c r="AK342" s="3">
        <v>3</v>
      </c>
      <c r="AL342" s="3">
        <v>5</v>
      </c>
      <c r="AM342" s="3">
        <v>6</v>
      </c>
      <c r="AN342" s="3">
        <v>1</v>
      </c>
      <c r="AO342" s="3">
        <v>1</v>
      </c>
      <c r="AP342" s="3">
        <v>0</v>
      </c>
      <c r="AQ342" s="3">
        <v>0</v>
      </c>
      <c r="AR342" s="2" t="s">
        <v>63</v>
      </c>
      <c r="AS342" s="2" t="s">
        <v>92</v>
      </c>
      <c r="AT342" s="5" t="str">
        <f>HYPERLINK("http://catalog.hathitrust.org/Record/006257554","HathiTrust Record")</f>
        <v>HathiTrust Record</v>
      </c>
      <c r="AU342" s="5" t="str">
        <f>HYPERLINK("https://creighton-primo.hosted.exlibrisgroup.com/primo-explore/search?tab=default_tab&amp;search_scope=EVERYTHING&amp;vid=01CRU&amp;lang=en_US&amp;offset=0&amp;query=any,contains,991000959449702656","Catalog Record")</f>
        <v>Catalog Record</v>
      </c>
      <c r="AV342" s="5" t="str">
        <f>HYPERLINK("http://www.worldcat.org/oclc/11114252","WorldCat Record")</f>
        <v>WorldCat Record</v>
      </c>
      <c r="AW342" s="2" t="s">
        <v>4484</v>
      </c>
      <c r="AX342" s="2" t="s">
        <v>4485</v>
      </c>
      <c r="AY342" s="2" t="s">
        <v>4486</v>
      </c>
      <c r="AZ342" s="2" t="s">
        <v>4486</v>
      </c>
      <c r="BA342" s="2" t="s">
        <v>4487</v>
      </c>
      <c r="BB342" s="2" t="s">
        <v>79</v>
      </c>
      <c r="BD342" s="2" t="s">
        <v>4488</v>
      </c>
      <c r="BE342" s="2" t="s">
        <v>4489</v>
      </c>
      <c r="BF342" s="2" t="s">
        <v>4490</v>
      </c>
    </row>
    <row r="343" spans="1:58" ht="46.5" customHeight="1">
      <c r="A343" s="1"/>
      <c r="B343" s="1" t="s">
        <v>58</v>
      </c>
      <c r="C343" s="1" t="s">
        <v>59</v>
      </c>
      <c r="D343" s="1" t="s">
        <v>4491</v>
      </c>
      <c r="E343" s="1" t="s">
        <v>4492</v>
      </c>
      <c r="F343" s="1" t="s">
        <v>4493</v>
      </c>
      <c r="H343" s="2" t="s">
        <v>63</v>
      </c>
      <c r="I343" s="2" t="s">
        <v>64</v>
      </c>
      <c r="J343" s="2" t="s">
        <v>63</v>
      </c>
      <c r="K343" s="2" t="s">
        <v>63</v>
      </c>
      <c r="L343" s="2" t="s">
        <v>65</v>
      </c>
      <c r="N343" s="1" t="s">
        <v>4494</v>
      </c>
      <c r="O343" s="2" t="s">
        <v>1175</v>
      </c>
      <c r="Q343" s="2" t="s">
        <v>70</v>
      </c>
      <c r="R343" s="2" t="s">
        <v>89</v>
      </c>
      <c r="T343" s="2" t="s">
        <v>72</v>
      </c>
      <c r="U343" s="3">
        <v>12</v>
      </c>
      <c r="V343" s="3">
        <v>12</v>
      </c>
      <c r="W343" s="4" t="s">
        <v>4471</v>
      </c>
      <c r="X343" s="4" t="s">
        <v>4471</v>
      </c>
      <c r="Y343" s="4" t="s">
        <v>3387</v>
      </c>
      <c r="Z343" s="4" t="s">
        <v>3387</v>
      </c>
      <c r="AA343" s="3">
        <v>248</v>
      </c>
      <c r="AB343" s="3">
        <v>196</v>
      </c>
      <c r="AC343" s="3">
        <v>201</v>
      </c>
      <c r="AD343" s="3">
        <v>3</v>
      </c>
      <c r="AE343" s="3">
        <v>3</v>
      </c>
      <c r="AF343" s="3">
        <v>11</v>
      </c>
      <c r="AG343" s="3">
        <v>11</v>
      </c>
      <c r="AH343" s="3">
        <v>3</v>
      </c>
      <c r="AI343" s="3">
        <v>3</v>
      </c>
      <c r="AJ343" s="3">
        <v>5</v>
      </c>
      <c r="AK343" s="3">
        <v>5</v>
      </c>
      <c r="AL343" s="3">
        <v>5</v>
      </c>
      <c r="AM343" s="3">
        <v>5</v>
      </c>
      <c r="AN343" s="3">
        <v>2</v>
      </c>
      <c r="AO343" s="3">
        <v>2</v>
      </c>
      <c r="AP343" s="3">
        <v>0</v>
      </c>
      <c r="AQ343" s="3">
        <v>0</v>
      </c>
      <c r="AR343" s="2" t="s">
        <v>63</v>
      </c>
      <c r="AS343" s="2" t="s">
        <v>63</v>
      </c>
      <c r="AU343" s="5" t="str">
        <f>HYPERLINK("https://creighton-primo.hosted.exlibrisgroup.com/primo-explore/search?tab=default_tab&amp;search_scope=EVERYTHING&amp;vid=01CRU&amp;lang=en_US&amp;offset=0&amp;query=any,contains,991000959499702656","Catalog Record")</f>
        <v>Catalog Record</v>
      </c>
      <c r="AV343" s="5" t="str">
        <f>HYPERLINK("http://www.worldcat.org/oclc/7464470","WorldCat Record")</f>
        <v>WorldCat Record</v>
      </c>
      <c r="AW343" s="2" t="s">
        <v>4495</v>
      </c>
      <c r="AX343" s="2" t="s">
        <v>4496</v>
      </c>
      <c r="AY343" s="2" t="s">
        <v>4497</v>
      </c>
      <c r="AZ343" s="2" t="s">
        <v>4497</v>
      </c>
      <c r="BA343" s="2" t="s">
        <v>4498</v>
      </c>
      <c r="BB343" s="2" t="s">
        <v>79</v>
      </c>
      <c r="BD343" s="2" t="s">
        <v>4499</v>
      </c>
      <c r="BE343" s="2" t="s">
        <v>4500</v>
      </c>
      <c r="BF343" s="2" t="s">
        <v>4501</v>
      </c>
    </row>
    <row r="344" spans="1:58" ht="46.5" customHeight="1">
      <c r="A344" s="1"/>
      <c r="B344" s="1" t="s">
        <v>58</v>
      </c>
      <c r="C344" s="1" t="s">
        <v>59</v>
      </c>
      <c r="D344" s="1" t="s">
        <v>4502</v>
      </c>
      <c r="E344" s="1" t="s">
        <v>4503</v>
      </c>
      <c r="F344" s="1" t="s">
        <v>4504</v>
      </c>
      <c r="H344" s="2" t="s">
        <v>63</v>
      </c>
      <c r="I344" s="2" t="s">
        <v>64</v>
      </c>
      <c r="J344" s="2" t="s">
        <v>63</v>
      </c>
      <c r="K344" s="2" t="s">
        <v>63</v>
      </c>
      <c r="L344" s="2" t="s">
        <v>65</v>
      </c>
      <c r="M344" s="1" t="s">
        <v>4505</v>
      </c>
      <c r="N344" s="1" t="s">
        <v>4506</v>
      </c>
      <c r="O344" s="2" t="s">
        <v>292</v>
      </c>
      <c r="Q344" s="2" t="s">
        <v>70</v>
      </c>
      <c r="R344" s="2" t="s">
        <v>89</v>
      </c>
      <c r="T344" s="2" t="s">
        <v>72</v>
      </c>
      <c r="U344" s="3">
        <v>3</v>
      </c>
      <c r="V344" s="3">
        <v>3</v>
      </c>
      <c r="W344" s="4" t="s">
        <v>4507</v>
      </c>
      <c r="X344" s="4" t="s">
        <v>4507</v>
      </c>
      <c r="Y344" s="4" t="s">
        <v>4508</v>
      </c>
      <c r="Z344" s="4" t="s">
        <v>4508</v>
      </c>
      <c r="AA344" s="3">
        <v>144</v>
      </c>
      <c r="AB344" s="3">
        <v>103</v>
      </c>
      <c r="AC344" s="3">
        <v>105</v>
      </c>
      <c r="AD344" s="3">
        <v>1</v>
      </c>
      <c r="AE344" s="3">
        <v>1</v>
      </c>
      <c r="AF344" s="3">
        <v>4</v>
      </c>
      <c r="AG344" s="3">
        <v>4</v>
      </c>
      <c r="AH344" s="3">
        <v>3</v>
      </c>
      <c r="AI344" s="3">
        <v>3</v>
      </c>
      <c r="AJ344" s="3">
        <v>2</v>
      </c>
      <c r="AK344" s="3">
        <v>2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2" t="s">
        <v>63</v>
      </c>
      <c r="AS344" s="2" t="s">
        <v>92</v>
      </c>
      <c r="AT344" s="5" t="str">
        <f>HYPERLINK("http://catalog.hathitrust.org/Record/000928151","HathiTrust Record")</f>
        <v>HathiTrust Record</v>
      </c>
      <c r="AU344" s="5" t="str">
        <f>HYPERLINK("https://creighton-primo.hosted.exlibrisgroup.com/primo-explore/search?tab=default_tab&amp;search_scope=EVERYTHING&amp;vid=01CRU&amp;lang=en_US&amp;offset=0&amp;query=any,contains,991001244069702656","Catalog Record")</f>
        <v>Catalog Record</v>
      </c>
      <c r="AV344" s="5" t="str">
        <f>HYPERLINK("http://www.worldcat.org/oclc/14904719","WorldCat Record")</f>
        <v>WorldCat Record</v>
      </c>
      <c r="AW344" s="2" t="s">
        <v>4509</v>
      </c>
      <c r="AX344" s="2" t="s">
        <v>4510</v>
      </c>
      <c r="AY344" s="2" t="s">
        <v>4511</v>
      </c>
      <c r="AZ344" s="2" t="s">
        <v>4511</v>
      </c>
      <c r="BA344" s="2" t="s">
        <v>4512</v>
      </c>
      <c r="BB344" s="2" t="s">
        <v>79</v>
      </c>
      <c r="BD344" s="2" t="s">
        <v>4513</v>
      </c>
      <c r="BE344" s="2" t="s">
        <v>4514</v>
      </c>
      <c r="BF344" s="2" t="s">
        <v>4515</v>
      </c>
    </row>
    <row r="345" spans="1:58" ht="46.5" customHeight="1">
      <c r="A345" s="1"/>
      <c r="B345" s="1" t="s">
        <v>58</v>
      </c>
      <c r="C345" s="1" t="s">
        <v>59</v>
      </c>
      <c r="D345" s="1" t="s">
        <v>4516</v>
      </c>
      <c r="E345" s="1" t="s">
        <v>4517</v>
      </c>
      <c r="F345" s="1" t="s">
        <v>4518</v>
      </c>
      <c r="H345" s="2" t="s">
        <v>63</v>
      </c>
      <c r="I345" s="2" t="s">
        <v>64</v>
      </c>
      <c r="J345" s="2" t="s">
        <v>63</v>
      </c>
      <c r="K345" s="2" t="s">
        <v>63</v>
      </c>
      <c r="L345" s="2" t="s">
        <v>65</v>
      </c>
      <c r="M345" s="1" t="s">
        <v>4519</v>
      </c>
      <c r="N345" s="1" t="s">
        <v>4520</v>
      </c>
      <c r="O345" s="2" t="s">
        <v>307</v>
      </c>
      <c r="Q345" s="2" t="s">
        <v>70</v>
      </c>
      <c r="R345" s="2" t="s">
        <v>89</v>
      </c>
      <c r="T345" s="2" t="s">
        <v>72</v>
      </c>
      <c r="U345" s="3">
        <v>3</v>
      </c>
      <c r="V345" s="3">
        <v>3</v>
      </c>
      <c r="W345" s="4" t="s">
        <v>4521</v>
      </c>
      <c r="X345" s="4" t="s">
        <v>4521</v>
      </c>
      <c r="Y345" s="4" t="s">
        <v>3387</v>
      </c>
      <c r="Z345" s="4" t="s">
        <v>3387</v>
      </c>
      <c r="AA345" s="3">
        <v>139</v>
      </c>
      <c r="AB345" s="3">
        <v>113</v>
      </c>
      <c r="AC345" s="3">
        <v>115</v>
      </c>
      <c r="AD345" s="3">
        <v>1</v>
      </c>
      <c r="AE345" s="3">
        <v>1</v>
      </c>
      <c r="AF345" s="3">
        <v>2</v>
      </c>
      <c r="AG345" s="3">
        <v>2</v>
      </c>
      <c r="AH345" s="3">
        <v>0</v>
      </c>
      <c r="AI345" s="3">
        <v>0</v>
      </c>
      <c r="AJ345" s="3">
        <v>2</v>
      </c>
      <c r="AK345" s="3">
        <v>2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2" t="s">
        <v>63</v>
      </c>
      <c r="AS345" s="2" t="s">
        <v>92</v>
      </c>
      <c r="AT345" s="5" t="str">
        <f>HYPERLINK("http://catalog.hathitrust.org/Record/000594160","HathiTrust Record")</f>
        <v>HathiTrust Record</v>
      </c>
      <c r="AU345" s="5" t="str">
        <f>HYPERLINK("https://creighton-primo.hosted.exlibrisgroup.com/primo-explore/search?tab=default_tab&amp;search_scope=EVERYTHING&amp;vid=01CRU&amp;lang=en_US&amp;offset=0&amp;query=any,contains,991000959299702656","Catalog Record")</f>
        <v>Catalog Record</v>
      </c>
      <c r="AV345" s="5" t="str">
        <f>HYPERLINK("http://www.worldcat.org/oclc/13008505","WorldCat Record")</f>
        <v>WorldCat Record</v>
      </c>
      <c r="AW345" s="2" t="s">
        <v>4522</v>
      </c>
      <c r="AX345" s="2" t="s">
        <v>4523</v>
      </c>
      <c r="AY345" s="2" t="s">
        <v>4524</v>
      </c>
      <c r="AZ345" s="2" t="s">
        <v>4524</v>
      </c>
      <c r="BA345" s="2" t="s">
        <v>4525</v>
      </c>
      <c r="BB345" s="2" t="s">
        <v>79</v>
      </c>
      <c r="BD345" s="2" t="s">
        <v>4526</v>
      </c>
      <c r="BE345" s="2" t="s">
        <v>4527</v>
      </c>
      <c r="BF345" s="2" t="s">
        <v>4528</v>
      </c>
    </row>
    <row r="346" spans="1:58" ht="46.5" customHeight="1">
      <c r="A346" s="1"/>
      <c r="B346" s="1" t="s">
        <v>58</v>
      </c>
      <c r="C346" s="1" t="s">
        <v>59</v>
      </c>
      <c r="D346" s="1" t="s">
        <v>4529</v>
      </c>
      <c r="E346" s="1" t="s">
        <v>4530</v>
      </c>
      <c r="F346" s="1" t="s">
        <v>4531</v>
      </c>
      <c r="H346" s="2" t="s">
        <v>63</v>
      </c>
      <c r="I346" s="2" t="s">
        <v>64</v>
      </c>
      <c r="J346" s="2" t="s">
        <v>63</v>
      </c>
      <c r="K346" s="2" t="s">
        <v>63</v>
      </c>
      <c r="L346" s="2" t="s">
        <v>65</v>
      </c>
      <c r="M346" s="1" t="s">
        <v>4532</v>
      </c>
      <c r="N346" s="1" t="s">
        <v>4533</v>
      </c>
      <c r="O346" s="2" t="s">
        <v>215</v>
      </c>
      <c r="P346" s="1" t="s">
        <v>157</v>
      </c>
      <c r="Q346" s="2" t="s">
        <v>70</v>
      </c>
      <c r="R346" s="2" t="s">
        <v>89</v>
      </c>
      <c r="T346" s="2" t="s">
        <v>72</v>
      </c>
      <c r="U346" s="3">
        <v>10</v>
      </c>
      <c r="V346" s="3">
        <v>10</v>
      </c>
      <c r="W346" s="4" t="s">
        <v>2646</v>
      </c>
      <c r="X346" s="4" t="s">
        <v>2646</v>
      </c>
      <c r="Y346" s="4" t="s">
        <v>3387</v>
      </c>
      <c r="Z346" s="4" t="s">
        <v>3387</v>
      </c>
      <c r="AA346" s="3">
        <v>126</v>
      </c>
      <c r="AB346" s="3">
        <v>103</v>
      </c>
      <c r="AC346" s="3">
        <v>105</v>
      </c>
      <c r="AD346" s="3">
        <v>1</v>
      </c>
      <c r="AE346" s="3">
        <v>1</v>
      </c>
      <c r="AF346" s="3">
        <v>1</v>
      </c>
      <c r="AG346" s="3">
        <v>1</v>
      </c>
      <c r="AH346" s="3">
        <v>0</v>
      </c>
      <c r="AI346" s="3">
        <v>0</v>
      </c>
      <c r="AJ346" s="3">
        <v>0</v>
      </c>
      <c r="AK346" s="3">
        <v>0</v>
      </c>
      <c r="AL346" s="3">
        <v>1</v>
      </c>
      <c r="AM346" s="3">
        <v>1</v>
      </c>
      <c r="AN346" s="3">
        <v>0</v>
      </c>
      <c r="AO346" s="3">
        <v>0</v>
      </c>
      <c r="AP346" s="3">
        <v>0</v>
      </c>
      <c r="AQ346" s="3">
        <v>0</v>
      </c>
      <c r="AR346" s="2" t="s">
        <v>63</v>
      </c>
      <c r="AS346" s="2" t="s">
        <v>92</v>
      </c>
      <c r="AT346" s="5" t="str">
        <f>HYPERLINK("http://catalog.hathitrust.org/Record/000781377","HathiTrust Record")</f>
        <v>HathiTrust Record</v>
      </c>
      <c r="AU346" s="5" t="str">
        <f>HYPERLINK("https://creighton-primo.hosted.exlibrisgroup.com/primo-explore/search?tab=default_tab&amp;search_scope=EVERYTHING&amp;vid=01CRU&amp;lang=en_US&amp;offset=0&amp;query=any,contains,991000959249702656","Catalog Record")</f>
        <v>Catalog Record</v>
      </c>
      <c r="AV346" s="5" t="str">
        <f>HYPERLINK("http://www.worldcat.org/oclc/10071497","WorldCat Record")</f>
        <v>WorldCat Record</v>
      </c>
      <c r="AW346" s="2" t="s">
        <v>4534</v>
      </c>
      <c r="AX346" s="2" t="s">
        <v>4535</v>
      </c>
      <c r="AY346" s="2" t="s">
        <v>4536</v>
      </c>
      <c r="AZ346" s="2" t="s">
        <v>4536</v>
      </c>
      <c r="BA346" s="2" t="s">
        <v>4537</v>
      </c>
      <c r="BB346" s="2" t="s">
        <v>79</v>
      </c>
      <c r="BD346" s="2" t="s">
        <v>4538</v>
      </c>
      <c r="BE346" s="2" t="s">
        <v>4539</v>
      </c>
      <c r="BF346" s="2" t="s">
        <v>4540</v>
      </c>
    </row>
    <row r="347" spans="1:58" ht="46.5" customHeight="1">
      <c r="A347" s="1"/>
      <c r="B347" s="1" t="s">
        <v>58</v>
      </c>
      <c r="C347" s="1" t="s">
        <v>59</v>
      </c>
      <c r="D347" s="1" t="s">
        <v>4541</v>
      </c>
      <c r="E347" s="1" t="s">
        <v>4542</v>
      </c>
      <c r="F347" s="1" t="s">
        <v>4543</v>
      </c>
      <c r="H347" s="2" t="s">
        <v>63</v>
      </c>
      <c r="I347" s="2" t="s">
        <v>64</v>
      </c>
      <c r="J347" s="2" t="s">
        <v>63</v>
      </c>
      <c r="K347" s="2" t="s">
        <v>63</v>
      </c>
      <c r="L347" s="2" t="s">
        <v>65</v>
      </c>
      <c r="M347" s="1" t="s">
        <v>4544</v>
      </c>
      <c r="N347" s="1" t="s">
        <v>4545</v>
      </c>
      <c r="O347" s="2" t="s">
        <v>1175</v>
      </c>
      <c r="Q347" s="2" t="s">
        <v>70</v>
      </c>
      <c r="R347" s="2" t="s">
        <v>1739</v>
      </c>
      <c r="T347" s="2" t="s">
        <v>72</v>
      </c>
      <c r="U347" s="3">
        <v>3</v>
      </c>
      <c r="V347" s="3">
        <v>3</v>
      </c>
      <c r="W347" s="4" t="s">
        <v>4546</v>
      </c>
      <c r="X347" s="4" t="s">
        <v>4546</v>
      </c>
      <c r="Y347" s="4" t="s">
        <v>3387</v>
      </c>
      <c r="Z347" s="4" t="s">
        <v>3387</v>
      </c>
      <c r="AA347" s="3">
        <v>5</v>
      </c>
      <c r="AB347" s="3">
        <v>5</v>
      </c>
      <c r="AC347" s="3">
        <v>5</v>
      </c>
      <c r="AD347" s="3">
        <v>1</v>
      </c>
      <c r="AE347" s="3">
        <v>1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2" t="s">
        <v>63</v>
      </c>
      <c r="AS347" s="2" t="s">
        <v>63</v>
      </c>
      <c r="AU347" s="5" t="str">
        <f>HYPERLINK("https://creighton-primo.hosted.exlibrisgroup.com/primo-explore/search?tab=default_tab&amp;search_scope=EVERYTHING&amp;vid=01CRU&amp;lang=en_US&amp;offset=0&amp;query=any,contains,991000959219702656","Catalog Record")</f>
        <v>Catalog Record</v>
      </c>
      <c r="AV347" s="5" t="str">
        <f>HYPERLINK("http://www.worldcat.org/oclc/10101981","WorldCat Record")</f>
        <v>WorldCat Record</v>
      </c>
      <c r="AW347" s="2" t="s">
        <v>4547</v>
      </c>
      <c r="AX347" s="2" t="s">
        <v>4548</v>
      </c>
      <c r="AY347" s="2" t="s">
        <v>4549</v>
      </c>
      <c r="AZ347" s="2" t="s">
        <v>4549</v>
      </c>
      <c r="BA347" s="2" t="s">
        <v>4550</v>
      </c>
      <c r="BB347" s="2" t="s">
        <v>79</v>
      </c>
      <c r="BD347" s="2" t="s">
        <v>4551</v>
      </c>
      <c r="BE347" s="2" t="s">
        <v>4552</v>
      </c>
      <c r="BF347" s="2" t="s">
        <v>4553</v>
      </c>
    </row>
    <row r="348" spans="1:58" ht="46.5" customHeight="1">
      <c r="A348" s="1"/>
      <c r="B348" s="1" t="s">
        <v>58</v>
      </c>
      <c r="C348" s="1" t="s">
        <v>59</v>
      </c>
      <c r="D348" s="1" t="s">
        <v>4554</v>
      </c>
      <c r="E348" s="1" t="s">
        <v>4555</v>
      </c>
      <c r="F348" s="1" t="s">
        <v>4556</v>
      </c>
      <c r="H348" s="2" t="s">
        <v>63</v>
      </c>
      <c r="I348" s="2" t="s">
        <v>64</v>
      </c>
      <c r="J348" s="2" t="s">
        <v>63</v>
      </c>
      <c r="K348" s="2" t="s">
        <v>63</v>
      </c>
      <c r="L348" s="2" t="s">
        <v>65</v>
      </c>
      <c r="N348" s="1" t="s">
        <v>4557</v>
      </c>
      <c r="O348" s="2" t="s">
        <v>292</v>
      </c>
      <c r="Q348" s="2" t="s">
        <v>70</v>
      </c>
      <c r="R348" s="2" t="s">
        <v>4558</v>
      </c>
      <c r="T348" s="2" t="s">
        <v>72</v>
      </c>
      <c r="U348" s="3">
        <v>7</v>
      </c>
      <c r="V348" s="3">
        <v>7</v>
      </c>
      <c r="W348" s="4" t="s">
        <v>4559</v>
      </c>
      <c r="X348" s="4" t="s">
        <v>4559</v>
      </c>
      <c r="Y348" s="4" t="s">
        <v>4560</v>
      </c>
      <c r="Z348" s="4" t="s">
        <v>4560</v>
      </c>
      <c r="AA348" s="3">
        <v>88</v>
      </c>
      <c r="AB348" s="3">
        <v>83</v>
      </c>
      <c r="AC348" s="3">
        <v>83</v>
      </c>
      <c r="AD348" s="3">
        <v>1</v>
      </c>
      <c r="AE348" s="3">
        <v>1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2" t="s">
        <v>63</v>
      </c>
      <c r="AS348" s="2" t="s">
        <v>63</v>
      </c>
      <c r="AU348" s="5" t="str">
        <f>HYPERLINK("https://creighton-primo.hosted.exlibrisgroup.com/primo-explore/search?tab=default_tab&amp;search_scope=EVERYTHING&amp;vid=01CRU&amp;lang=en_US&amp;offset=0&amp;query=any,contains,991001426849702656","Catalog Record")</f>
        <v>Catalog Record</v>
      </c>
      <c r="AV348" s="5" t="str">
        <f>HYPERLINK("http://www.worldcat.org/oclc/20410581","WorldCat Record")</f>
        <v>WorldCat Record</v>
      </c>
      <c r="AW348" s="2" t="s">
        <v>4561</v>
      </c>
      <c r="AX348" s="2" t="s">
        <v>4562</v>
      </c>
      <c r="AY348" s="2" t="s">
        <v>4563</v>
      </c>
      <c r="AZ348" s="2" t="s">
        <v>4563</v>
      </c>
      <c r="BA348" s="2" t="s">
        <v>4564</v>
      </c>
      <c r="BB348" s="2" t="s">
        <v>79</v>
      </c>
      <c r="BE348" s="2" t="s">
        <v>4565</v>
      </c>
      <c r="BF348" s="2" t="s">
        <v>4566</v>
      </c>
    </row>
    <row r="349" spans="1:58" ht="46.5" customHeight="1">
      <c r="A349" s="1"/>
      <c r="B349" s="1" t="s">
        <v>58</v>
      </c>
      <c r="C349" s="1" t="s">
        <v>59</v>
      </c>
      <c r="D349" s="1" t="s">
        <v>4567</v>
      </c>
      <c r="E349" s="1" t="s">
        <v>4568</v>
      </c>
      <c r="F349" s="1" t="s">
        <v>4569</v>
      </c>
      <c r="H349" s="2" t="s">
        <v>63</v>
      </c>
      <c r="I349" s="2" t="s">
        <v>64</v>
      </c>
      <c r="J349" s="2" t="s">
        <v>63</v>
      </c>
      <c r="K349" s="2" t="s">
        <v>63</v>
      </c>
      <c r="L349" s="2" t="s">
        <v>65</v>
      </c>
      <c r="M349" s="1" t="s">
        <v>4570</v>
      </c>
      <c r="N349" s="1" t="s">
        <v>4571</v>
      </c>
      <c r="O349" s="2" t="s">
        <v>4572</v>
      </c>
      <c r="P349" s="1" t="s">
        <v>4573</v>
      </c>
      <c r="Q349" s="2" t="s">
        <v>70</v>
      </c>
      <c r="R349" s="2" t="s">
        <v>1364</v>
      </c>
      <c r="S349" s="1" t="s">
        <v>4574</v>
      </c>
      <c r="T349" s="2" t="s">
        <v>72</v>
      </c>
      <c r="U349" s="3">
        <v>5</v>
      </c>
      <c r="V349" s="3">
        <v>5</v>
      </c>
      <c r="W349" s="4" t="s">
        <v>4559</v>
      </c>
      <c r="X349" s="4" t="s">
        <v>4559</v>
      </c>
      <c r="Y349" s="4" t="s">
        <v>4575</v>
      </c>
      <c r="Z349" s="4" t="s">
        <v>4575</v>
      </c>
      <c r="AA349" s="3">
        <v>219</v>
      </c>
      <c r="AB349" s="3">
        <v>210</v>
      </c>
      <c r="AC349" s="3">
        <v>224</v>
      </c>
      <c r="AD349" s="3">
        <v>4</v>
      </c>
      <c r="AE349" s="3">
        <v>4</v>
      </c>
      <c r="AF349" s="3">
        <v>8</v>
      </c>
      <c r="AG349" s="3">
        <v>8</v>
      </c>
      <c r="AH349" s="3">
        <v>0</v>
      </c>
      <c r="AI349" s="3">
        <v>0</v>
      </c>
      <c r="AJ349" s="3">
        <v>1</v>
      </c>
      <c r="AK349" s="3">
        <v>1</v>
      </c>
      <c r="AL349" s="3">
        <v>4</v>
      </c>
      <c r="AM349" s="3">
        <v>4</v>
      </c>
      <c r="AN349" s="3">
        <v>3</v>
      </c>
      <c r="AO349" s="3">
        <v>3</v>
      </c>
      <c r="AP349" s="3">
        <v>0</v>
      </c>
      <c r="AQ349" s="3">
        <v>0</v>
      </c>
      <c r="AR349" s="2" t="s">
        <v>63</v>
      </c>
      <c r="AS349" s="2" t="s">
        <v>92</v>
      </c>
      <c r="AT349" s="5" t="str">
        <f>HYPERLINK("http://catalog.hathitrust.org/Record/001578292","HathiTrust Record")</f>
        <v>HathiTrust Record</v>
      </c>
      <c r="AU349" s="5" t="str">
        <f>HYPERLINK("https://creighton-primo.hosted.exlibrisgroup.com/primo-explore/search?tab=default_tab&amp;search_scope=EVERYTHING&amp;vid=01CRU&amp;lang=en_US&amp;offset=0&amp;query=any,contains,991001014069702656","Catalog Record")</f>
        <v>Catalog Record</v>
      </c>
      <c r="AV349" s="5" t="str">
        <f>HYPERLINK("http://www.worldcat.org/oclc/814403","WorldCat Record")</f>
        <v>WorldCat Record</v>
      </c>
      <c r="AW349" s="2" t="s">
        <v>4576</v>
      </c>
      <c r="AX349" s="2" t="s">
        <v>4577</v>
      </c>
      <c r="AY349" s="2" t="s">
        <v>4578</v>
      </c>
      <c r="AZ349" s="2" t="s">
        <v>4578</v>
      </c>
      <c r="BA349" s="2" t="s">
        <v>4579</v>
      </c>
      <c r="BB349" s="2" t="s">
        <v>79</v>
      </c>
      <c r="BE349" s="2" t="s">
        <v>4580</v>
      </c>
      <c r="BF349" s="2" t="s">
        <v>4581</v>
      </c>
    </row>
    <row r="350" spans="1:58" ht="46.5" customHeight="1">
      <c r="A350" s="1"/>
      <c r="B350" s="1" t="s">
        <v>58</v>
      </c>
      <c r="C350" s="1" t="s">
        <v>59</v>
      </c>
      <c r="D350" s="1" t="s">
        <v>4582</v>
      </c>
      <c r="E350" s="1" t="s">
        <v>4583</v>
      </c>
      <c r="F350" s="1" t="s">
        <v>4584</v>
      </c>
      <c r="H350" s="2" t="s">
        <v>63</v>
      </c>
      <c r="I350" s="2" t="s">
        <v>64</v>
      </c>
      <c r="J350" s="2" t="s">
        <v>63</v>
      </c>
      <c r="K350" s="2" t="s">
        <v>63</v>
      </c>
      <c r="L350" s="2" t="s">
        <v>65</v>
      </c>
      <c r="N350" s="1" t="s">
        <v>4585</v>
      </c>
      <c r="O350" s="2" t="s">
        <v>554</v>
      </c>
      <c r="Q350" s="2" t="s">
        <v>70</v>
      </c>
      <c r="R350" s="2" t="s">
        <v>892</v>
      </c>
      <c r="T350" s="2" t="s">
        <v>72</v>
      </c>
      <c r="U350" s="3">
        <v>16</v>
      </c>
      <c r="V350" s="3">
        <v>16</v>
      </c>
      <c r="W350" s="4" t="s">
        <v>4586</v>
      </c>
      <c r="X350" s="4" t="s">
        <v>4586</v>
      </c>
      <c r="Y350" s="4" t="s">
        <v>3579</v>
      </c>
      <c r="Z350" s="4" t="s">
        <v>3579</v>
      </c>
      <c r="AA350" s="3">
        <v>15</v>
      </c>
      <c r="AB350" s="3">
        <v>13</v>
      </c>
      <c r="AC350" s="3">
        <v>15</v>
      </c>
      <c r="AD350" s="3">
        <v>1</v>
      </c>
      <c r="AE350" s="3">
        <v>1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2" t="s">
        <v>63</v>
      </c>
      <c r="AS350" s="2" t="s">
        <v>92</v>
      </c>
      <c r="AT350" s="5" t="str">
        <f>HYPERLINK("http://catalog.hathitrust.org/Record/005389058","HathiTrust Record")</f>
        <v>HathiTrust Record</v>
      </c>
      <c r="AU350" s="5" t="str">
        <f>HYPERLINK("https://creighton-primo.hosted.exlibrisgroup.com/primo-explore/search?tab=default_tab&amp;search_scope=EVERYTHING&amp;vid=01CRU&amp;lang=en_US&amp;offset=0&amp;query=any,contains,991000677189702656","Catalog Record")</f>
        <v>Catalog Record</v>
      </c>
      <c r="AV350" s="5" t="str">
        <f>HYPERLINK("http://www.worldcat.org/oclc/29999391","WorldCat Record")</f>
        <v>WorldCat Record</v>
      </c>
      <c r="AW350" s="2" t="s">
        <v>4587</v>
      </c>
      <c r="AX350" s="2" t="s">
        <v>4588</v>
      </c>
      <c r="AY350" s="2" t="s">
        <v>4589</v>
      </c>
      <c r="AZ350" s="2" t="s">
        <v>4589</v>
      </c>
      <c r="BA350" s="2" t="s">
        <v>4590</v>
      </c>
      <c r="BB350" s="2" t="s">
        <v>79</v>
      </c>
      <c r="BE350" s="2" t="s">
        <v>4591</v>
      </c>
      <c r="BF350" s="2" t="s">
        <v>4592</v>
      </c>
    </row>
    <row r="351" spans="1:58" ht="46.5" customHeight="1">
      <c r="A351" s="1"/>
      <c r="B351" s="1" t="s">
        <v>58</v>
      </c>
      <c r="C351" s="1" t="s">
        <v>59</v>
      </c>
      <c r="D351" s="1" t="s">
        <v>4593</v>
      </c>
      <c r="E351" s="1" t="s">
        <v>4594</v>
      </c>
      <c r="F351" s="1" t="s">
        <v>4595</v>
      </c>
      <c r="H351" s="2" t="s">
        <v>63</v>
      </c>
      <c r="I351" s="2" t="s">
        <v>64</v>
      </c>
      <c r="J351" s="2" t="s">
        <v>63</v>
      </c>
      <c r="K351" s="2" t="s">
        <v>63</v>
      </c>
      <c r="L351" s="2" t="s">
        <v>65</v>
      </c>
      <c r="N351" s="1" t="s">
        <v>4596</v>
      </c>
      <c r="O351" s="2" t="s">
        <v>198</v>
      </c>
      <c r="Q351" s="2" t="s">
        <v>70</v>
      </c>
      <c r="R351" s="2" t="s">
        <v>277</v>
      </c>
      <c r="T351" s="2" t="s">
        <v>72</v>
      </c>
      <c r="U351" s="3">
        <v>15</v>
      </c>
      <c r="V351" s="3">
        <v>15</v>
      </c>
      <c r="W351" s="4" t="s">
        <v>4597</v>
      </c>
      <c r="X351" s="4" t="s">
        <v>4597</v>
      </c>
      <c r="Y351" s="4" t="s">
        <v>4598</v>
      </c>
      <c r="Z351" s="4" t="s">
        <v>4598</v>
      </c>
      <c r="AA351" s="3">
        <v>22</v>
      </c>
      <c r="AB351" s="3">
        <v>20</v>
      </c>
      <c r="AC351" s="3">
        <v>22</v>
      </c>
      <c r="AD351" s="3">
        <v>1</v>
      </c>
      <c r="AE351" s="3">
        <v>1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2" t="s">
        <v>63</v>
      </c>
      <c r="AS351" s="2" t="s">
        <v>92</v>
      </c>
      <c r="AT351" s="5" t="str">
        <f>HYPERLINK("http://catalog.hathitrust.org/Record/002622104","HathiTrust Record")</f>
        <v>HathiTrust Record</v>
      </c>
      <c r="AU351" s="5" t="str">
        <f>HYPERLINK("https://creighton-primo.hosted.exlibrisgroup.com/primo-explore/search?tab=default_tab&amp;search_scope=EVERYTHING&amp;vid=01CRU&amp;lang=en_US&amp;offset=0&amp;query=any,contains,991001307079702656","Catalog Record")</f>
        <v>Catalog Record</v>
      </c>
      <c r="AV351" s="5" t="str">
        <f>HYPERLINK("http://www.worldcat.org/oclc/25512801","WorldCat Record")</f>
        <v>WorldCat Record</v>
      </c>
      <c r="AW351" s="2" t="s">
        <v>4599</v>
      </c>
      <c r="AX351" s="2" t="s">
        <v>4600</v>
      </c>
      <c r="AY351" s="2" t="s">
        <v>4601</v>
      </c>
      <c r="AZ351" s="2" t="s">
        <v>4601</v>
      </c>
      <c r="BA351" s="2" t="s">
        <v>4602</v>
      </c>
      <c r="BB351" s="2" t="s">
        <v>79</v>
      </c>
      <c r="BE351" s="2" t="s">
        <v>4603</v>
      </c>
      <c r="BF351" s="2" t="s">
        <v>4604</v>
      </c>
    </row>
    <row r="352" spans="1:58" ht="46.5" customHeight="1">
      <c r="A352" s="1"/>
      <c r="B352" s="1" t="s">
        <v>58</v>
      </c>
      <c r="C352" s="1" t="s">
        <v>59</v>
      </c>
      <c r="D352" s="1" t="s">
        <v>4605</v>
      </c>
      <c r="E352" s="1" t="s">
        <v>4606</v>
      </c>
      <c r="F352" s="1" t="s">
        <v>4607</v>
      </c>
      <c r="H352" s="2" t="s">
        <v>63</v>
      </c>
      <c r="I352" s="2" t="s">
        <v>64</v>
      </c>
      <c r="J352" s="2" t="s">
        <v>63</v>
      </c>
      <c r="K352" s="2" t="s">
        <v>63</v>
      </c>
      <c r="L352" s="2" t="s">
        <v>65</v>
      </c>
      <c r="N352" s="1" t="s">
        <v>4608</v>
      </c>
      <c r="O352" s="2" t="s">
        <v>608</v>
      </c>
      <c r="Q352" s="2" t="s">
        <v>70</v>
      </c>
      <c r="R352" s="2" t="s">
        <v>277</v>
      </c>
      <c r="T352" s="2" t="s">
        <v>72</v>
      </c>
      <c r="U352" s="3">
        <v>15</v>
      </c>
      <c r="V352" s="3">
        <v>15</v>
      </c>
      <c r="W352" s="4" t="s">
        <v>4609</v>
      </c>
      <c r="X352" s="4" t="s">
        <v>4609</v>
      </c>
      <c r="Y352" s="4" t="s">
        <v>4610</v>
      </c>
      <c r="Z352" s="4" t="s">
        <v>4610</v>
      </c>
      <c r="AA352" s="3">
        <v>324</v>
      </c>
      <c r="AB352" s="3">
        <v>270</v>
      </c>
      <c r="AC352" s="3">
        <v>276</v>
      </c>
      <c r="AD352" s="3">
        <v>2</v>
      </c>
      <c r="AE352" s="3">
        <v>2</v>
      </c>
      <c r="AF352" s="3">
        <v>13</v>
      </c>
      <c r="AG352" s="3">
        <v>13</v>
      </c>
      <c r="AH352" s="3">
        <v>4</v>
      </c>
      <c r="AI352" s="3">
        <v>4</v>
      </c>
      <c r="AJ352" s="3">
        <v>1</v>
      </c>
      <c r="AK352" s="3">
        <v>1</v>
      </c>
      <c r="AL352" s="3">
        <v>11</v>
      </c>
      <c r="AM352" s="3">
        <v>11</v>
      </c>
      <c r="AN352" s="3">
        <v>1</v>
      </c>
      <c r="AO352" s="3">
        <v>1</v>
      </c>
      <c r="AP352" s="3">
        <v>0</v>
      </c>
      <c r="AQ352" s="3">
        <v>0</v>
      </c>
      <c r="AR352" s="2" t="s">
        <v>63</v>
      </c>
      <c r="AS352" s="2" t="s">
        <v>63</v>
      </c>
      <c r="AU352" s="5" t="str">
        <f>HYPERLINK("https://creighton-primo.hosted.exlibrisgroup.com/primo-explore/search?tab=default_tab&amp;search_scope=EVERYTHING&amp;vid=01CRU&amp;lang=en_US&amp;offset=0&amp;query=any,contains,991000646529702656","Catalog Record")</f>
        <v>Catalog Record</v>
      </c>
      <c r="AV352" s="5" t="str">
        <f>HYPERLINK("http://www.worldcat.org/oclc/26553051","WorldCat Record")</f>
        <v>WorldCat Record</v>
      </c>
      <c r="AW352" s="2" t="s">
        <v>4611</v>
      </c>
      <c r="AX352" s="2" t="s">
        <v>4612</v>
      </c>
      <c r="AY352" s="2" t="s">
        <v>4613</v>
      </c>
      <c r="AZ352" s="2" t="s">
        <v>4613</v>
      </c>
      <c r="BA352" s="2" t="s">
        <v>4614</v>
      </c>
      <c r="BB352" s="2" t="s">
        <v>79</v>
      </c>
      <c r="BD352" s="2" t="s">
        <v>4615</v>
      </c>
      <c r="BE352" s="2" t="s">
        <v>4616</v>
      </c>
      <c r="BF352" s="2" t="s">
        <v>4617</v>
      </c>
    </row>
    <row r="353" spans="1:58" ht="46.5" customHeight="1">
      <c r="A353" s="1"/>
      <c r="B353" s="1" t="s">
        <v>58</v>
      </c>
      <c r="C353" s="1" t="s">
        <v>59</v>
      </c>
      <c r="D353" s="1" t="s">
        <v>4618</v>
      </c>
      <c r="E353" s="1" t="s">
        <v>4619</v>
      </c>
      <c r="F353" s="1" t="s">
        <v>4620</v>
      </c>
      <c r="H353" s="2" t="s">
        <v>63</v>
      </c>
      <c r="I353" s="2" t="s">
        <v>64</v>
      </c>
      <c r="J353" s="2" t="s">
        <v>63</v>
      </c>
      <c r="K353" s="2" t="s">
        <v>63</v>
      </c>
      <c r="L353" s="2" t="s">
        <v>65</v>
      </c>
      <c r="M353" s="1" t="s">
        <v>4621</v>
      </c>
      <c r="N353" s="1" t="s">
        <v>4622</v>
      </c>
      <c r="O353" s="2" t="s">
        <v>4266</v>
      </c>
      <c r="Q353" s="2" t="s">
        <v>70</v>
      </c>
      <c r="R353" s="2" t="s">
        <v>277</v>
      </c>
      <c r="T353" s="2" t="s">
        <v>72</v>
      </c>
      <c r="U353" s="3">
        <v>5</v>
      </c>
      <c r="V353" s="3">
        <v>5</v>
      </c>
      <c r="W353" s="4" t="s">
        <v>4623</v>
      </c>
      <c r="X353" s="4" t="s">
        <v>4623</v>
      </c>
      <c r="Y353" s="4" t="s">
        <v>3387</v>
      </c>
      <c r="Z353" s="4" t="s">
        <v>3387</v>
      </c>
      <c r="AA353" s="3">
        <v>471</v>
      </c>
      <c r="AB353" s="3">
        <v>460</v>
      </c>
      <c r="AC353" s="3">
        <v>479</v>
      </c>
      <c r="AD353" s="3">
        <v>5</v>
      </c>
      <c r="AE353" s="3">
        <v>5</v>
      </c>
      <c r="AF353" s="3">
        <v>23</v>
      </c>
      <c r="AG353" s="3">
        <v>24</v>
      </c>
      <c r="AH353" s="3">
        <v>12</v>
      </c>
      <c r="AI353" s="3">
        <v>12</v>
      </c>
      <c r="AJ353" s="3">
        <v>3</v>
      </c>
      <c r="AK353" s="3">
        <v>4</v>
      </c>
      <c r="AL353" s="3">
        <v>11</v>
      </c>
      <c r="AM353" s="3">
        <v>11</v>
      </c>
      <c r="AN353" s="3">
        <v>3</v>
      </c>
      <c r="AO353" s="3">
        <v>3</v>
      </c>
      <c r="AP353" s="3">
        <v>0</v>
      </c>
      <c r="AQ353" s="3">
        <v>0</v>
      </c>
      <c r="AR353" s="2" t="s">
        <v>63</v>
      </c>
      <c r="AS353" s="2" t="s">
        <v>63</v>
      </c>
      <c r="AT353" s="5" t="str">
        <f>HYPERLINK("http://catalog.hathitrust.org/Record/001556011","HathiTrust Record")</f>
        <v>HathiTrust Record</v>
      </c>
      <c r="AU353" s="5" t="str">
        <f>HYPERLINK("https://creighton-primo.hosted.exlibrisgroup.com/primo-explore/search?tab=default_tab&amp;search_scope=EVERYTHING&amp;vid=01CRU&amp;lang=en_US&amp;offset=0&amp;query=any,contains,991000959779702656","Catalog Record")</f>
        <v>Catalog Record</v>
      </c>
      <c r="AV353" s="5" t="str">
        <f>HYPERLINK("http://www.worldcat.org/oclc/1331265","WorldCat Record")</f>
        <v>WorldCat Record</v>
      </c>
      <c r="AW353" s="2" t="s">
        <v>4624</v>
      </c>
      <c r="AX353" s="2" t="s">
        <v>4625</v>
      </c>
      <c r="AY353" s="2" t="s">
        <v>4626</v>
      </c>
      <c r="AZ353" s="2" t="s">
        <v>4626</v>
      </c>
      <c r="BA353" s="2" t="s">
        <v>4627</v>
      </c>
      <c r="BB353" s="2" t="s">
        <v>79</v>
      </c>
      <c r="BE353" s="2" t="s">
        <v>4628</v>
      </c>
      <c r="BF353" s="2" t="s">
        <v>4629</v>
      </c>
    </row>
    <row r="354" spans="1:58" ht="46.5" customHeight="1">
      <c r="A354" s="1"/>
      <c r="B354" s="1" t="s">
        <v>58</v>
      </c>
      <c r="C354" s="1" t="s">
        <v>59</v>
      </c>
      <c r="D354" s="1" t="s">
        <v>4630</v>
      </c>
      <c r="E354" s="1" t="s">
        <v>4631</v>
      </c>
      <c r="F354" s="1" t="s">
        <v>4632</v>
      </c>
      <c r="H354" s="2" t="s">
        <v>63</v>
      </c>
      <c r="I354" s="2" t="s">
        <v>64</v>
      </c>
      <c r="J354" s="2" t="s">
        <v>63</v>
      </c>
      <c r="K354" s="2" t="s">
        <v>63</v>
      </c>
      <c r="L354" s="2" t="s">
        <v>65</v>
      </c>
      <c r="N354" s="1" t="s">
        <v>4633</v>
      </c>
      <c r="O354" s="2" t="s">
        <v>608</v>
      </c>
      <c r="Q354" s="2" t="s">
        <v>70</v>
      </c>
      <c r="R354" s="2" t="s">
        <v>1364</v>
      </c>
      <c r="S354" s="1" t="s">
        <v>4634</v>
      </c>
      <c r="T354" s="2" t="s">
        <v>72</v>
      </c>
      <c r="U354" s="3">
        <v>19</v>
      </c>
      <c r="V354" s="3">
        <v>19</v>
      </c>
      <c r="W354" s="4" t="s">
        <v>3794</v>
      </c>
      <c r="X354" s="4" t="s">
        <v>3794</v>
      </c>
      <c r="Y354" s="4" t="s">
        <v>4635</v>
      </c>
      <c r="Z354" s="4" t="s">
        <v>4635</v>
      </c>
      <c r="AA354" s="3">
        <v>212</v>
      </c>
      <c r="AB354" s="3">
        <v>176</v>
      </c>
      <c r="AC354" s="3">
        <v>348</v>
      </c>
      <c r="AD354" s="3">
        <v>2</v>
      </c>
      <c r="AE354" s="3">
        <v>4</v>
      </c>
      <c r="AF354" s="3">
        <v>5</v>
      </c>
      <c r="AG354" s="3">
        <v>13</v>
      </c>
      <c r="AH354" s="3">
        <v>2</v>
      </c>
      <c r="AI354" s="3">
        <v>4</v>
      </c>
      <c r="AJ354" s="3">
        <v>0</v>
      </c>
      <c r="AK354" s="3">
        <v>2</v>
      </c>
      <c r="AL354" s="3">
        <v>2</v>
      </c>
      <c r="AM354" s="3">
        <v>5</v>
      </c>
      <c r="AN354" s="3">
        <v>0</v>
      </c>
      <c r="AO354" s="3">
        <v>1</v>
      </c>
      <c r="AP354" s="3">
        <v>1</v>
      </c>
      <c r="AQ354" s="3">
        <v>1</v>
      </c>
      <c r="AR354" s="2" t="s">
        <v>92</v>
      </c>
      <c r="AS354" s="2" t="s">
        <v>63</v>
      </c>
      <c r="AT354" s="5" t="str">
        <f>HYPERLINK("http://catalog.hathitrust.org/Record/102194674","HathiTrust Record")</f>
        <v>HathiTrust Record</v>
      </c>
      <c r="AU354" s="5" t="str">
        <f>HYPERLINK("https://creighton-primo.hosted.exlibrisgroup.com/primo-explore/search?tab=default_tab&amp;search_scope=EVERYTHING&amp;vid=01CRU&amp;lang=en_US&amp;offset=0&amp;query=any,contains,991000668249702656","Catalog Record")</f>
        <v>Catalog Record</v>
      </c>
      <c r="AV354" s="5" t="str">
        <f>HYPERLINK("http://www.worldcat.org/oclc/32383418","WorldCat Record")</f>
        <v>WorldCat Record</v>
      </c>
      <c r="AW354" s="2" t="s">
        <v>4636</v>
      </c>
      <c r="AX354" s="2" t="s">
        <v>4637</v>
      </c>
      <c r="AY354" s="2" t="s">
        <v>4638</v>
      </c>
      <c r="AZ354" s="2" t="s">
        <v>4638</v>
      </c>
      <c r="BA354" s="2" t="s">
        <v>4639</v>
      </c>
      <c r="BB354" s="2" t="s">
        <v>79</v>
      </c>
      <c r="BE354" s="2" t="s">
        <v>4640</v>
      </c>
      <c r="BF354" s="2" t="s">
        <v>4641</v>
      </c>
    </row>
    <row r="355" spans="1:58" ht="46.5" customHeight="1">
      <c r="A355" s="1"/>
      <c r="B355" s="1" t="s">
        <v>58</v>
      </c>
      <c r="C355" s="1" t="s">
        <v>59</v>
      </c>
      <c r="D355" s="1" t="s">
        <v>4642</v>
      </c>
      <c r="E355" s="1" t="s">
        <v>4643</v>
      </c>
      <c r="F355" s="1" t="s">
        <v>4644</v>
      </c>
      <c r="H355" s="2" t="s">
        <v>63</v>
      </c>
      <c r="I355" s="2" t="s">
        <v>64</v>
      </c>
      <c r="J355" s="2" t="s">
        <v>63</v>
      </c>
      <c r="K355" s="2" t="s">
        <v>63</v>
      </c>
      <c r="L355" s="2" t="s">
        <v>65</v>
      </c>
      <c r="M355" s="1" t="s">
        <v>4645</v>
      </c>
      <c r="N355" s="1" t="s">
        <v>4646</v>
      </c>
      <c r="O355" s="2" t="s">
        <v>1514</v>
      </c>
      <c r="Q355" s="2" t="s">
        <v>70</v>
      </c>
      <c r="R355" s="2" t="s">
        <v>691</v>
      </c>
      <c r="S355" s="1" t="s">
        <v>4647</v>
      </c>
      <c r="T355" s="2" t="s">
        <v>72</v>
      </c>
      <c r="U355" s="3">
        <v>7</v>
      </c>
      <c r="V355" s="3">
        <v>7</v>
      </c>
      <c r="W355" s="4" t="s">
        <v>4559</v>
      </c>
      <c r="X355" s="4" t="s">
        <v>4559</v>
      </c>
      <c r="Y355" s="4" t="s">
        <v>3914</v>
      </c>
      <c r="Z355" s="4" t="s">
        <v>3914</v>
      </c>
      <c r="AA355" s="3">
        <v>115</v>
      </c>
      <c r="AB355" s="3">
        <v>104</v>
      </c>
      <c r="AC355" s="3">
        <v>105</v>
      </c>
      <c r="AD355" s="3">
        <v>3</v>
      </c>
      <c r="AE355" s="3">
        <v>3</v>
      </c>
      <c r="AF355" s="3">
        <v>4</v>
      </c>
      <c r="AG355" s="3">
        <v>4</v>
      </c>
      <c r="AH355" s="3">
        <v>0</v>
      </c>
      <c r="AI355" s="3">
        <v>0</v>
      </c>
      <c r="AJ355" s="3">
        <v>1</v>
      </c>
      <c r="AK355" s="3">
        <v>1</v>
      </c>
      <c r="AL355" s="3">
        <v>1</v>
      </c>
      <c r="AM355" s="3">
        <v>1</v>
      </c>
      <c r="AN355" s="3">
        <v>2</v>
      </c>
      <c r="AO355" s="3">
        <v>2</v>
      </c>
      <c r="AP355" s="3">
        <v>0</v>
      </c>
      <c r="AQ355" s="3">
        <v>0</v>
      </c>
      <c r="AR355" s="2" t="s">
        <v>63</v>
      </c>
      <c r="AS355" s="2" t="s">
        <v>63</v>
      </c>
      <c r="AT355" s="5" t="str">
        <f>HYPERLINK("http://catalog.hathitrust.org/Record/000854752","HathiTrust Record")</f>
        <v>HathiTrust Record</v>
      </c>
      <c r="AU355" s="5" t="str">
        <f>HYPERLINK("https://creighton-primo.hosted.exlibrisgroup.com/primo-explore/search?tab=default_tab&amp;search_scope=EVERYTHING&amp;vid=01CRU&amp;lang=en_US&amp;offset=0&amp;query=any,contains,991000959739702656","Catalog Record")</f>
        <v>Catalog Record</v>
      </c>
      <c r="AV355" s="5" t="str">
        <f>HYPERLINK("http://www.worldcat.org/oclc/3175025","WorldCat Record")</f>
        <v>WorldCat Record</v>
      </c>
      <c r="AW355" s="2" t="s">
        <v>4648</v>
      </c>
      <c r="AX355" s="2" t="s">
        <v>4649</v>
      </c>
      <c r="AY355" s="2" t="s">
        <v>4650</v>
      </c>
      <c r="AZ355" s="2" t="s">
        <v>4650</v>
      </c>
      <c r="BA355" s="2" t="s">
        <v>4651</v>
      </c>
      <c r="BB355" s="2" t="s">
        <v>79</v>
      </c>
      <c r="BE355" s="2" t="s">
        <v>4652</v>
      </c>
      <c r="BF355" s="2" t="s">
        <v>4653</v>
      </c>
    </row>
    <row r="356" spans="1:58" ht="46.5" customHeight="1">
      <c r="A356" s="1"/>
      <c r="B356" s="1" t="s">
        <v>58</v>
      </c>
      <c r="C356" s="1" t="s">
        <v>59</v>
      </c>
      <c r="D356" s="1" t="s">
        <v>4654</v>
      </c>
      <c r="E356" s="1" t="s">
        <v>4655</v>
      </c>
      <c r="F356" s="1" t="s">
        <v>4656</v>
      </c>
      <c r="H356" s="2" t="s">
        <v>63</v>
      </c>
      <c r="I356" s="2" t="s">
        <v>64</v>
      </c>
      <c r="J356" s="2" t="s">
        <v>63</v>
      </c>
      <c r="K356" s="2" t="s">
        <v>63</v>
      </c>
      <c r="L356" s="2" t="s">
        <v>65</v>
      </c>
      <c r="N356" s="1" t="s">
        <v>4657</v>
      </c>
      <c r="O356" s="2" t="s">
        <v>132</v>
      </c>
      <c r="Q356" s="2" t="s">
        <v>70</v>
      </c>
      <c r="R356" s="2" t="s">
        <v>470</v>
      </c>
      <c r="S356" s="1" t="s">
        <v>4658</v>
      </c>
      <c r="T356" s="2" t="s">
        <v>72</v>
      </c>
      <c r="U356" s="3">
        <v>3</v>
      </c>
      <c r="V356" s="3">
        <v>3</v>
      </c>
      <c r="W356" s="4" t="s">
        <v>4659</v>
      </c>
      <c r="X356" s="4" t="s">
        <v>4659</v>
      </c>
      <c r="Y356" s="4" t="s">
        <v>4660</v>
      </c>
      <c r="Z356" s="4" t="s">
        <v>4660</v>
      </c>
      <c r="AA356" s="3">
        <v>134</v>
      </c>
      <c r="AB356" s="3">
        <v>126</v>
      </c>
      <c r="AC356" s="3">
        <v>134</v>
      </c>
      <c r="AD356" s="3">
        <v>1</v>
      </c>
      <c r="AE356" s="3">
        <v>1</v>
      </c>
      <c r="AF356" s="3">
        <v>3</v>
      </c>
      <c r="AG356" s="3">
        <v>3</v>
      </c>
      <c r="AH356" s="3">
        <v>1</v>
      </c>
      <c r="AI356" s="3">
        <v>1</v>
      </c>
      <c r="AJ356" s="3">
        <v>0</v>
      </c>
      <c r="AK356" s="3">
        <v>0</v>
      </c>
      <c r="AL356" s="3">
        <v>1</v>
      </c>
      <c r="AM356" s="3">
        <v>1</v>
      </c>
      <c r="AN356" s="3">
        <v>0</v>
      </c>
      <c r="AO356" s="3">
        <v>0</v>
      </c>
      <c r="AP356" s="3">
        <v>1</v>
      </c>
      <c r="AQ356" s="3">
        <v>1</v>
      </c>
      <c r="AR356" s="2" t="s">
        <v>92</v>
      </c>
      <c r="AS356" s="2" t="s">
        <v>63</v>
      </c>
      <c r="AT356" s="5" t="str">
        <f>HYPERLINK("http://catalog.hathitrust.org/Record/002792368","HathiTrust Record")</f>
        <v>HathiTrust Record</v>
      </c>
      <c r="AU356" s="5" t="str">
        <f>HYPERLINK("https://creighton-primo.hosted.exlibrisgroup.com/primo-explore/search?tab=default_tab&amp;search_scope=EVERYTHING&amp;vid=01CRU&amp;lang=en_US&amp;offset=0&amp;query=any,contains,991001515619702656","Catalog Record")</f>
        <v>Catalog Record</v>
      </c>
      <c r="AV356" s="5" t="str">
        <f>HYPERLINK("http://www.worldcat.org/oclc/27865488","WorldCat Record")</f>
        <v>WorldCat Record</v>
      </c>
      <c r="AW356" s="2" t="s">
        <v>4661</v>
      </c>
      <c r="AX356" s="2" t="s">
        <v>4662</v>
      </c>
      <c r="AY356" s="2" t="s">
        <v>4663</v>
      </c>
      <c r="AZ356" s="2" t="s">
        <v>4663</v>
      </c>
      <c r="BA356" s="2" t="s">
        <v>4664</v>
      </c>
      <c r="BB356" s="2" t="s">
        <v>79</v>
      </c>
      <c r="BE356" s="2" t="s">
        <v>4665</v>
      </c>
      <c r="BF356" s="2" t="s">
        <v>4666</v>
      </c>
    </row>
    <row r="357" spans="1:58" ht="46.5" customHeight="1">
      <c r="A357" s="1"/>
      <c r="B357" s="1" t="s">
        <v>58</v>
      </c>
      <c r="C357" s="1" t="s">
        <v>59</v>
      </c>
      <c r="D357" s="1" t="s">
        <v>4667</v>
      </c>
      <c r="E357" s="1" t="s">
        <v>4668</v>
      </c>
      <c r="F357" s="1" t="s">
        <v>4669</v>
      </c>
      <c r="H357" s="2" t="s">
        <v>63</v>
      </c>
      <c r="I357" s="2" t="s">
        <v>64</v>
      </c>
      <c r="J357" s="2" t="s">
        <v>63</v>
      </c>
      <c r="K357" s="2" t="s">
        <v>63</v>
      </c>
      <c r="L357" s="2" t="s">
        <v>65</v>
      </c>
      <c r="M357" s="1" t="s">
        <v>4670</v>
      </c>
      <c r="N357" s="1" t="s">
        <v>4671</v>
      </c>
      <c r="O357" s="2" t="s">
        <v>407</v>
      </c>
      <c r="Q357" s="2" t="s">
        <v>70</v>
      </c>
      <c r="R357" s="2" t="s">
        <v>89</v>
      </c>
      <c r="S357" s="1" t="s">
        <v>4672</v>
      </c>
      <c r="T357" s="2" t="s">
        <v>72</v>
      </c>
      <c r="U357" s="3">
        <v>29</v>
      </c>
      <c r="V357" s="3">
        <v>29</v>
      </c>
      <c r="W357" s="4" t="s">
        <v>4673</v>
      </c>
      <c r="X357" s="4" t="s">
        <v>4673</v>
      </c>
      <c r="Y357" s="4" t="s">
        <v>4674</v>
      </c>
      <c r="Z357" s="4" t="s">
        <v>4674</v>
      </c>
      <c r="AA357" s="3">
        <v>79</v>
      </c>
      <c r="AB357" s="3">
        <v>66</v>
      </c>
      <c r="AC357" s="3">
        <v>66</v>
      </c>
      <c r="AD357" s="3">
        <v>1</v>
      </c>
      <c r="AE357" s="3">
        <v>1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2" t="s">
        <v>63</v>
      </c>
      <c r="AS357" s="2" t="s">
        <v>63</v>
      </c>
      <c r="AU357" s="5" t="str">
        <f>HYPERLINK("https://creighton-primo.hosted.exlibrisgroup.com/primo-explore/search?tab=default_tab&amp;search_scope=EVERYTHING&amp;vid=01CRU&amp;lang=en_US&amp;offset=0&amp;query=any,contains,991000937229702656","Catalog Record")</f>
        <v>Catalog Record</v>
      </c>
      <c r="AV357" s="5" t="str">
        <f>HYPERLINK("http://www.worldcat.org/oclc/23145226","WorldCat Record")</f>
        <v>WorldCat Record</v>
      </c>
      <c r="AW357" s="2" t="s">
        <v>4675</v>
      </c>
      <c r="AX357" s="2" t="s">
        <v>4676</v>
      </c>
      <c r="AY357" s="2" t="s">
        <v>4677</v>
      </c>
      <c r="AZ357" s="2" t="s">
        <v>4677</v>
      </c>
      <c r="BA357" s="2" t="s">
        <v>4678</v>
      </c>
      <c r="BB357" s="2" t="s">
        <v>79</v>
      </c>
      <c r="BE357" s="2" t="s">
        <v>4679</v>
      </c>
      <c r="BF357" s="2" t="s">
        <v>4680</v>
      </c>
    </row>
    <row r="358" spans="1:58" ht="46.5" customHeight="1">
      <c r="A358" s="1"/>
      <c r="B358" s="1" t="s">
        <v>58</v>
      </c>
      <c r="C358" s="1" t="s">
        <v>59</v>
      </c>
      <c r="D358" s="1" t="s">
        <v>4681</v>
      </c>
      <c r="E358" s="1" t="s">
        <v>4682</v>
      </c>
      <c r="F358" s="1" t="s">
        <v>4683</v>
      </c>
      <c r="H358" s="2" t="s">
        <v>63</v>
      </c>
      <c r="I358" s="2" t="s">
        <v>64</v>
      </c>
      <c r="J358" s="2" t="s">
        <v>63</v>
      </c>
      <c r="K358" s="2" t="s">
        <v>63</v>
      </c>
      <c r="L358" s="2" t="s">
        <v>65</v>
      </c>
      <c r="M358" s="1" t="s">
        <v>4684</v>
      </c>
      <c r="N358" s="1" t="s">
        <v>1923</v>
      </c>
      <c r="O358" s="2" t="s">
        <v>407</v>
      </c>
      <c r="P358" s="1" t="s">
        <v>157</v>
      </c>
      <c r="Q358" s="2" t="s">
        <v>70</v>
      </c>
      <c r="R358" s="2" t="s">
        <v>377</v>
      </c>
      <c r="T358" s="2" t="s">
        <v>72</v>
      </c>
      <c r="U358" s="3">
        <v>9</v>
      </c>
      <c r="V358" s="3">
        <v>9</v>
      </c>
      <c r="W358" s="4" t="s">
        <v>4685</v>
      </c>
      <c r="X358" s="4" t="s">
        <v>4685</v>
      </c>
      <c r="Y358" s="4" t="s">
        <v>4253</v>
      </c>
      <c r="Z358" s="4" t="s">
        <v>4253</v>
      </c>
      <c r="AA358" s="3">
        <v>111</v>
      </c>
      <c r="AB358" s="3">
        <v>57</v>
      </c>
      <c r="AC358" s="3">
        <v>105</v>
      </c>
      <c r="AD358" s="3">
        <v>2</v>
      </c>
      <c r="AE358" s="3">
        <v>2</v>
      </c>
      <c r="AF358" s="3">
        <v>5</v>
      </c>
      <c r="AG358" s="3">
        <v>7</v>
      </c>
      <c r="AH358" s="3">
        <v>2</v>
      </c>
      <c r="AI358" s="3">
        <v>3</v>
      </c>
      <c r="AJ358" s="3">
        <v>2</v>
      </c>
      <c r="AK358" s="3">
        <v>4</v>
      </c>
      <c r="AL358" s="3">
        <v>1</v>
      </c>
      <c r="AM358" s="3">
        <v>1</v>
      </c>
      <c r="AN358" s="3">
        <v>1</v>
      </c>
      <c r="AO358" s="3">
        <v>1</v>
      </c>
      <c r="AP358" s="3">
        <v>0</v>
      </c>
      <c r="AQ358" s="3">
        <v>0</v>
      </c>
      <c r="AR358" s="2" t="s">
        <v>63</v>
      </c>
      <c r="AS358" s="2" t="s">
        <v>92</v>
      </c>
      <c r="AT358" s="5" t="str">
        <f>HYPERLINK("http://catalog.hathitrust.org/Record/002055997","HathiTrust Record")</f>
        <v>HathiTrust Record</v>
      </c>
      <c r="AU358" s="5" t="str">
        <f>HYPERLINK("https://creighton-primo.hosted.exlibrisgroup.com/primo-explore/search?tab=default_tab&amp;search_scope=EVERYTHING&amp;vid=01CRU&amp;lang=en_US&amp;offset=0&amp;query=any,contains,991000816579702656","Catalog Record")</f>
        <v>Catalog Record</v>
      </c>
      <c r="AV358" s="5" t="str">
        <f>HYPERLINK("http://www.worldcat.org/oclc/20722614","WorldCat Record")</f>
        <v>WorldCat Record</v>
      </c>
      <c r="AW358" s="2" t="s">
        <v>4686</v>
      </c>
      <c r="AX358" s="2" t="s">
        <v>4687</v>
      </c>
      <c r="AY358" s="2" t="s">
        <v>4688</v>
      </c>
      <c r="AZ358" s="2" t="s">
        <v>4688</v>
      </c>
      <c r="BA358" s="2" t="s">
        <v>4689</v>
      </c>
      <c r="BB358" s="2" t="s">
        <v>79</v>
      </c>
      <c r="BD358" s="2" t="s">
        <v>4690</v>
      </c>
      <c r="BE358" s="2" t="s">
        <v>4691</v>
      </c>
      <c r="BF358" s="2" t="s">
        <v>4692</v>
      </c>
    </row>
    <row r="359" spans="1:58" ht="46.5" customHeight="1">
      <c r="A359" s="1"/>
      <c r="B359" s="1" t="s">
        <v>58</v>
      </c>
      <c r="C359" s="1" t="s">
        <v>59</v>
      </c>
      <c r="D359" s="1" t="s">
        <v>4693</v>
      </c>
      <c r="E359" s="1" t="s">
        <v>4694</v>
      </c>
      <c r="F359" s="1" t="s">
        <v>4695</v>
      </c>
      <c r="H359" s="2" t="s">
        <v>63</v>
      </c>
      <c r="I359" s="2" t="s">
        <v>64</v>
      </c>
      <c r="J359" s="2" t="s">
        <v>63</v>
      </c>
      <c r="K359" s="2" t="s">
        <v>63</v>
      </c>
      <c r="L359" s="2" t="s">
        <v>65</v>
      </c>
      <c r="M359" s="1" t="s">
        <v>4696</v>
      </c>
      <c r="N359" s="1" t="s">
        <v>4697</v>
      </c>
      <c r="O359" s="2" t="s">
        <v>1404</v>
      </c>
      <c r="Q359" s="2" t="s">
        <v>70</v>
      </c>
      <c r="R359" s="2" t="s">
        <v>691</v>
      </c>
      <c r="S359" s="1" t="s">
        <v>4698</v>
      </c>
      <c r="T359" s="2" t="s">
        <v>72</v>
      </c>
      <c r="U359" s="3">
        <v>2</v>
      </c>
      <c r="V359" s="3">
        <v>2</v>
      </c>
      <c r="W359" s="4" t="s">
        <v>4699</v>
      </c>
      <c r="X359" s="4" t="s">
        <v>4699</v>
      </c>
      <c r="Y359" s="4" t="s">
        <v>3914</v>
      </c>
      <c r="Z359" s="4" t="s">
        <v>3914</v>
      </c>
      <c r="AA359" s="3">
        <v>142</v>
      </c>
      <c r="AB359" s="3">
        <v>108</v>
      </c>
      <c r="AC359" s="3">
        <v>110</v>
      </c>
      <c r="AD359" s="3">
        <v>1</v>
      </c>
      <c r="AE359" s="3">
        <v>1</v>
      </c>
      <c r="AF359" s="3">
        <v>3</v>
      </c>
      <c r="AG359" s="3">
        <v>3</v>
      </c>
      <c r="AH359" s="3">
        <v>2</v>
      </c>
      <c r="AI359" s="3">
        <v>2</v>
      </c>
      <c r="AJ359" s="3">
        <v>0</v>
      </c>
      <c r="AK359" s="3">
        <v>0</v>
      </c>
      <c r="AL359" s="3">
        <v>3</v>
      </c>
      <c r="AM359" s="3">
        <v>3</v>
      </c>
      <c r="AN359" s="3">
        <v>0</v>
      </c>
      <c r="AO359" s="3">
        <v>0</v>
      </c>
      <c r="AP359" s="3">
        <v>0</v>
      </c>
      <c r="AQ359" s="3">
        <v>0</v>
      </c>
      <c r="AR359" s="2" t="s">
        <v>63</v>
      </c>
      <c r="AS359" s="2" t="s">
        <v>63</v>
      </c>
      <c r="AT359" s="5" t="str">
        <f>HYPERLINK("http://catalog.hathitrust.org/Record/001560521","HathiTrust Record")</f>
        <v>HathiTrust Record</v>
      </c>
      <c r="AU359" s="5" t="str">
        <f>HYPERLINK("https://creighton-primo.hosted.exlibrisgroup.com/primo-explore/search?tab=default_tab&amp;search_scope=EVERYTHING&amp;vid=01CRU&amp;lang=en_US&amp;offset=0&amp;query=any,contains,991000959699702656","Catalog Record")</f>
        <v>Catalog Record</v>
      </c>
      <c r="AV359" s="5" t="str">
        <f>HYPERLINK("http://www.worldcat.org/oclc/3270704","WorldCat Record")</f>
        <v>WorldCat Record</v>
      </c>
      <c r="AW359" s="2" t="s">
        <v>4700</v>
      </c>
      <c r="AX359" s="2" t="s">
        <v>4701</v>
      </c>
      <c r="AY359" s="2" t="s">
        <v>4702</v>
      </c>
      <c r="AZ359" s="2" t="s">
        <v>4702</v>
      </c>
      <c r="BA359" s="2" t="s">
        <v>4703</v>
      </c>
      <c r="BB359" s="2" t="s">
        <v>79</v>
      </c>
      <c r="BE359" s="2" t="s">
        <v>4704</v>
      </c>
      <c r="BF359" s="2" t="s">
        <v>4705</v>
      </c>
    </row>
    <row r="360" spans="1:58" ht="46.5" customHeight="1">
      <c r="A360" s="1"/>
      <c r="B360" s="1" t="s">
        <v>58</v>
      </c>
      <c r="C360" s="1" t="s">
        <v>59</v>
      </c>
      <c r="D360" s="1" t="s">
        <v>4706</v>
      </c>
      <c r="E360" s="1" t="s">
        <v>4707</v>
      </c>
      <c r="F360" s="1" t="s">
        <v>4708</v>
      </c>
      <c r="H360" s="2" t="s">
        <v>63</v>
      </c>
      <c r="I360" s="2" t="s">
        <v>64</v>
      </c>
      <c r="J360" s="2" t="s">
        <v>63</v>
      </c>
      <c r="K360" s="2" t="s">
        <v>63</v>
      </c>
      <c r="L360" s="2" t="s">
        <v>65</v>
      </c>
      <c r="N360" s="1" t="s">
        <v>4709</v>
      </c>
      <c r="O360" s="2" t="s">
        <v>132</v>
      </c>
      <c r="Q360" s="2" t="s">
        <v>70</v>
      </c>
      <c r="R360" s="2" t="s">
        <v>260</v>
      </c>
      <c r="T360" s="2" t="s">
        <v>72</v>
      </c>
      <c r="U360" s="3">
        <v>14</v>
      </c>
      <c r="V360" s="3">
        <v>14</v>
      </c>
      <c r="W360" s="4" t="s">
        <v>4710</v>
      </c>
      <c r="X360" s="4" t="s">
        <v>4710</v>
      </c>
      <c r="Y360" s="4" t="s">
        <v>4711</v>
      </c>
      <c r="Z360" s="4" t="s">
        <v>4711</v>
      </c>
      <c r="AA360" s="3">
        <v>97</v>
      </c>
      <c r="AB360" s="3">
        <v>67</v>
      </c>
      <c r="AC360" s="3">
        <v>111</v>
      </c>
      <c r="AD360" s="3">
        <v>1</v>
      </c>
      <c r="AE360" s="3">
        <v>1</v>
      </c>
      <c r="AF360" s="3">
        <v>1</v>
      </c>
      <c r="AG360" s="3">
        <v>1</v>
      </c>
      <c r="AH360" s="3">
        <v>0</v>
      </c>
      <c r="AI360" s="3">
        <v>0</v>
      </c>
      <c r="AJ360" s="3">
        <v>1</v>
      </c>
      <c r="AK360" s="3">
        <v>1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2" t="s">
        <v>63</v>
      </c>
      <c r="AS360" s="2" t="s">
        <v>92</v>
      </c>
      <c r="AT360" s="5" t="str">
        <f>HYPERLINK("http://catalog.hathitrust.org/Record/002599195","HathiTrust Record")</f>
        <v>HathiTrust Record</v>
      </c>
      <c r="AU360" s="5" t="str">
        <f>HYPERLINK("https://creighton-primo.hosted.exlibrisgroup.com/primo-explore/search?tab=default_tab&amp;search_scope=EVERYTHING&amp;vid=01CRU&amp;lang=en_US&amp;offset=0&amp;query=any,contains,991000668459702656","Catalog Record")</f>
        <v>Catalog Record</v>
      </c>
      <c r="AV360" s="5" t="str">
        <f>HYPERLINK("http://www.worldcat.org/oclc/28510750","WorldCat Record")</f>
        <v>WorldCat Record</v>
      </c>
      <c r="AW360" s="2" t="s">
        <v>4712</v>
      </c>
      <c r="AX360" s="2" t="s">
        <v>4713</v>
      </c>
      <c r="AY360" s="2" t="s">
        <v>4714</v>
      </c>
      <c r="AZ360" s="2" t="s">
        <v>4714</v>
      </c>
      <c r="BA360" s="2" t="s">
        <v>4715</v>
      </c>
      <c r="BB360" s="2" t="s">
        <v>79</v>
      </c>
      <c r="BD360" s="2" t="s">
        <v>4716</v>
      </c>
      <c r="BE360" s="2" t="s">
        <v>4717</v>
      </c>
      <c r="BF360" s="2" t="s">
        <v>4718</v>
      </c>
    </row>
    <row r="361" spans="1:58" ht="46.5" customHeight="1">
      <c r="A361" s="1"/>
      <c r="B361" s="1" t="s">
        <v>58</v>
      </c>
      <c r="C361" s="1" t="s">
        <v>59</v>
      </c>
      <c r="D361" s="1" t="s">
        <v>4719</v>
      </c>
      <c r="E361" s="1" t="s">
        <v>4720</v>
      </c>
      <c r="F361" s="1" t="s">
        <v>4721</v>
      </c>
      <c r="H361" s="2" t="s">
        <v>63</v>
      </c>
      <c r="I361" s="2" t="s">
        <v>64</v>
      </c>
      <c r="J361" s="2" t="s">
        <v>63</v>
      </c>
      <c r="K361" s="2" t="s">
        <v>63</v>
      </c>
      <c r="L361" s="2" t="s">
        <v>65</v>
      </c>
      <c r="N361" s="1" t="s">
        <v>4722</v>
      </c>
      <c r="O361" s="2" t="s">
        <v>307</v>
      </c>
      <c r="Q361" s="2" t="s">
        <v>70</v>
      </c>
      <c r="R361" s="2" t="s">
        <v>786</v>
      </c>
      <c r="S361" s="1" t="s">
        <v>4723</v>
      </c>
      <c r="T361" s="2" t="s">
        <v>72</v>
      </c>
      <c r="U361" s="3">
        <v>2</v>
      </c>
      <c r="V361" s="3">
        <v>2</v>
      </c>
      <c r="W361" s="4" t="s">
        <v>4724</v>
      </c>
      <c r="X361" s="4" t="s">
        <v>4724</v>
      </c>
      <c r="Y361" s="4" t="s">
        <v>3387</v>
      </c>
      <c r="Z361" s="4" t="s">
        <v>3387</v>
      </c>
      <c r="AA361" s="3">
        <v>86</v>
      </c>
      <c r="AB361" s="3">
        <v>59</v>
      </c>
      <c r="AC361" s="3">
        <v>80</v>
      </c>
      <c r="AD361" s="3">
        <v>1</v>
      </c>
      <c r="AE361" s="3">
        <v>1</v>
      </c>
      <c r="AF361" s="3">
        <v>2</v>
      </c>
      <c r="AG361" s="3">
        <v>2</v>
      </c>
      <c r="AH361" s="3">
        <v>0</v>
      </c>
      <c r="AI361" s="3">
        <v>0</v>
      </c>
      <c r="AJ361" s="3">
        <v>1</v>
      </c>
      <c r="AK361" s="3">
        <v>1</v>
      </c>
      <c r="AL361" s="3">
        <v>1</v>
      </c>
      <c r="AM361" s="3">
        <v>1</v>
      </c>
      <c r="AN361" s="3">
        <v>0</v>
      </c>
      <c r="AO361" s="3">
        <v>0</v>
      </c>
      <c r="AP361" s="3">
        <v>0</v>
      </c>
      <c r="AQ361" s="3">
        <v>0</v>
      </c>
      <c r="AR361" s="2" t="s">
        <v>63</v>
      </c>
      <c r="AS361" s="2" t="s">
        <v>92</v>
      </c>
      <c r="AT361" s="5" t="str">
        <f>HYPERLINK("http://catalog.hathitrust.org/Record/000834915","HathiTrust Record")</f>
        <v>HathiTrust Record</v>
      </c>
      <c r="AU361" s="5" t="str">
        <f>HYPERLINK("https://creighton-primo.hosted.exlibrisgroup.com/primo-explore/search?tab=default_tab&amp;search_scope=EVERYTHING&amp;vid=01CRU&amp;lang=en_US&amp;offset=0&amp;query=any,contains,991000959619702656","Catalog Record")</f>
        <v>Catalog Record</v>
      </c>
      <c r="AV361" s="5" t="str">
        <f>HYPERLINK("http://www.worldcat.org/oclc/18780765","WorldCat Record")</f>
        <v>WorldCat Record</v>
      </c>
      <c r="AW361" s="2" t="s">
        <v>4725</v>
      </c>
      <c r="AX361" s="2" t="s">
        <v>4726</v>
      </c>
      <c r="AY361" s="2" t="s">
        <v>4727</v>
      </c>
      <c r="AZ361" s="2" t="s">
        <v>4727</v>
      </c>
      <c r="BA361" s="2" t="s">
        <v>4728</v>
      </c>
      <c r="BB361" s="2" t="s">
        <v>79</v>
      </c>
      <c r="BD361" s="2" t="s">
        <v>4729</v>
      </c>
      <c r="BE361" s="2" t="s">
        <v>4730</v>
      </c>
      <c r="BF361" s="2" t="s">
        <v>4731</v>
      </c>
    </row>
    <row r="362" spans="1:58" ht="46.5" customHeight="1">
      <c r="A362" s="1"/>
      <c r="B362" s="1" t="s">
        <v>58</v>
      </c>
      <c r="C362" s="1" t="s">
        <v>59</v>
      </c>
      <c r="D362" s="1" t="s">
        <v>4732</v>
      </c>
      <c r="E362" s="1" t="s">
        <v>4733</v>
      </c>
      <c r="F362" s="1" t="s">
        <v>4734</v>
      </c>
      <c r="H362" s="2" t="s">
        <v>63</v>
      </c>
      <c r="I362" s="2" t="s">
        <v>64</v>
      </c>
      <c r="J362" s="2" t="s">
        <v>63</v>
      </c>
      <c r="K362" s="2" t="s">
        <v>63</v>
      </c>
      <c r="L362" s="2" t="s">
        <v>65</v>
      </c>
      <c r="N362" s="1" t="s">
        <v>4735</v>
      </c>
      <c r="O362" s="2" t="s">
        <v>307</v>
      </c>
      <c r="Q362" s="2" t="s">
        <v>70</v>
      </c>
      <c r="R362" s="2" t="s">
        <v>89</v>
      </c>
      <c r="S362" s="1" t="s">
        <v>4736</v>
      </c>
      <c r="T362" s="2" t="s">
        <v>72</v>
      </c>
      <c r="U362" s="3">
        <v>7</v>
      </c>
      <c r="V362" s="3">
        <v>7</v>
      </c>
      <c r="W362" s="4" t="s">
        <v>4737</v>
      </c>
      <c r="X362" s="4" t="s">
        <v>4737</v>
      </c>
      <c r="Y362" s="4" t="s">
        <v>4738</v>
      </c>
      <c r="Z362" s="4" t="s">
        <v>4738</v>
      </c>
      <c r="AA362" s="3">
        <v>85</v>
      </c>
      <c r="AB362" s="3">
        <v>68</v>
      </c>
      <c r="AC362" s="3">
        <v>70</v>
      </c>
      <c r="AD362" s="3">
        <v>1</v>
      </c>
      <c r="AE362" s="3">
        <v>1</v>
      </c>
      <c r="AF362" s="3">
        <v>2</v>
      </c>
      <c r="AG362" s="3">
        <v>2</v>
      </c>
      <c r="AH362" s="3">
        <v>1</v>
      </c>
      <c r="AI362" s="3">
        <v>1</v>
      </c>
      <c r="AJ362" s="3">
        <v>0</v>
      </c>
      <c r="AK362" s="3">
        <v>0</v>
      </c>
      <c r="AL362" s="3">
        <v>1</v>
      </c>
      <c r="AM362" s="3">
        <v>1</v>
      </c>
      <c r="AN362" s="3">
        <v>0</v>
      </c>
      <c r="AO362" s="3">
        <v>0</v>
      </c>
      <c r="AP362" s="3">
        <v>0</v>
      </c>
      <c r="AQ362" s="3">
        <v>0</v>
      </c>
      <c r="AR362" s="2" t="s">
        <v>63</v>
      </c>
      <c r="AS362" s="2" t="s">
        <v>92</v>
      </c>
      <c r="AT362" s="5" t="str">
        <f>HYPERLINK("http://catalog.hathitrust.org/Record/000397165","HathiTrust Record")</f>
        <v>HathiTrust Record</v>
      </c>
      <c r="AU362" s="5" t="str">
        <f>HYPERLINK("https://creighton-primo.hosted.exlibrisgroup.com/primo-explore/search?tab=default_tab&amp;search_scope=EVERYTHING&amp;vid=01CRU&amp;lang=en_US&amp;offset=0&amp;query=any,contains,991001250249702656","Catalog Record")</f>
        <v>Catalog Record</v>
      </c>
      <c r="AV362" s="5" t="str">
        <f>HYPERLINK("http://www.worldcat.org/oclc/13525370","WorldCat Record")</f>
        <v>WorldCat Record</v>
      </c>
      <c r="AW362" s="2" t="s">
        <v>4739</v>
      </c>
      <c r="AX362" s="2" t="s">
        <v>4740</v>
      </c>
      <c r="AY362" s="2" t="s">
        <v>4741</v>
      </c>
      <c r="AZ362" s="2" t="s">
        <v>4741</v>
      </c>
      <c r="BA362" s="2" t="s">
        <v>4742</v>
      </c>
      <c r="BB362" s="2" t="s">
        <v>79</v>
      </c>
      <c r="BD362" s="2" t="s">
        <v>4743</v>
      </c>
      <c r="BE362" s="2" t="s">
        <v>4744</v>
      </c>
      <c r="BF362" s="2" t="s">
        <v>4745</v>
      </c>
    </row>
    <row r="363" spans="1:58" ht="46.5" customHeight="1">
      <c r="A363" s="1"/>
      <c r="B363" s="1" t="s">
        <v>58</v>
      </c>
      <c r="C363" s="1" t="s">
        <v>59</v>
      </c>
      <c r="D363" s="1" t="s">
        <v>4746</v>
      </c>
      <c r="E363" s="1" t="s">
        <v>4747</v>
      </c>
      <c r="F363" s="1" t="s">
        <v>4748</v>
      </c>
      <c r="H363" s="2" t="s">
        <v>63</v>
      </c>
      <c r="I363" s="2" t="s">
        <v>64</v>
      </c>
      <c r="J363" s="2" t="s">
        <v>63</v>
      </c>
      <c r="K363" s="2" t="s">
        <v>63</v>
      </c>
      <c r="L363" s="2" t="s">
        <v>65</v>
      </c>
      <c r="N363" s="1" t="s">
        <v>4749</v>
      </c>
      <c r="O363" s="2" t="s">
        <v>87</v>
      </c>
      <c r="Q363" s="2" t="s">
        <v>70</v>
      </c>
      <c r="R363" s="2" t="s">
        <v>4750</v>
      </c>
      <c r="T363" s="2" t="s">
        <v>72</v>
      </c>
      <c r="U363" s="3">
        <v>9</v>
      </c>
      <c r="V363" s="3">
        <v>9</v>
      </c>
      <c r="W363" s="4" t="s">
        <v>4751</v>
      </c>
      <c r="X363" s="4" t="s">
        <v>4751</v>
      </c>
      <c r="Y363" s="4" t="s">
        <v>4752</v>
      </c>
      <c r="Z363" s="4" t="s">
        <v>4752</v>
      </c>
      <c r="AA363" s="3">
        <v>82</v>
      </c>
      <c r="AB363" s="3">
        <v>53</v>
      </c>
      <c r="AC363" s="3">
        <v>55</v>
      </c>
      <c r="AD363" s="3">
        <v>1</v>
      </c>
      <c r="AE363" s="3">
        <v>1</v>
      </c>
      <c r="AF363" s="3">
        <v>2</v>
      </c>
      <c r="AG363" s="3">
        <v>2</v>
      </c>
      <c r="AH363" s="3">
        <v>1</v>
      </c>
      <c r="AI363" s="3">
        <v>1</v>
      </c>
      <c r="AJ363" s="3">
        <v>1</v>
      </c>
      <c r="AK363" s="3">
        <v>1</v>
      </c>
      <c r="AL363" s="3">
        <v>1</v>
      </c>
      <c r="AM363" s="3">
        <v>1</v>
      </c>
      <c r="AN363" s="3">
        <v>0</v>
      </c>
      <c r="AO363" s="3">
        <v>0</v>
      </c>
      <c r="AP363" s="3">
        <v>0</v>
      </c>
      <c r="AQ363" s="3">
        <v>0</v>
      </c>
      <c r="AR363" s="2" t="s">
        <v>63</v>
      </c>
      <c r="AS363" s="2" t="s">
        <v>92</v>
      </c>
      <c r="AT363" s="5" t="str">
        <f>HYPERLINK("http://catalog.hathitrust.org/Record/000857902","HathiTrust Record")</f>
        <v>HathiTrust Record</v>
      </c>
      <c r="AU363" s="5" t="str">
        <f>HYPERLINK("https://creighton-primo.hosted.exlibrisgroup.com/primo-explore/search?tab=default_tab&amp;search_scope=EVERYTHING&amp;vid=01CRU&amp;lang=en_US&amp;offset=0&amp;query=any,contains,991001171289702656","Catalog Record")</f>
        <v>Catalog Record</v>
      </c>
      <c r="AV363" s="5" t="str">
        <f>HYPERLINK("http://www.worldcat.org/oclc/18780778","WorldCat Record")</f>
        <v>WorldCat Record</v>
      </c>
      <c r="AW363" s="2" t="s">
        <v>4753</v>
      </c>
      <c r="AX363" s="2" t="s">
        <v>4754</v>
      </c>
      <c r="AY363" s="2" t="s">
        <v>4755</v>
      </c>
      <c r="AZ363" s="2" t="s">
        <v>4755</v>
      </c>
      <c r="BA363" s="2" t="s">
        <v>4756</v>
      </c>
      <c r="BB363" s="2" t="s">
        <v>79</v>
      </c>
      <c r="BD363" s="2" t="s">
        <v>4757</v>
      </c>
      <c r="BE363" s="2" t="s">
        <v>4758</v>
      </c>
      <c r="BF363" s="2" t="s">
        <v>4759</v>
      </c>
    </row>
    <row r="364" spans="1:58" ht="46.5" customHeight="1">
      <c r="A364" s="1"/>
      <c r="B364" s="1" t="s">
        <v>58</v>
      </c>
      <c r="C364" s="1" t="s">
        <v>59</v>
      </c>
      <c r="D364" s="1" t="s">
        <v>4760</v>
      </c>
      <c r="E364" s="1" t="s">
        <v>4761</v>
      </c>
      <c r="F364" s="1" t="s">
        <v>4762</v>
      </c>
      <c r="H364" s="2" t="s">
        <v>63</v>
      </c>
      <c r="I364" s="2" t="s">
        <v>64</v>
      </c>
      <c r="J364" s="2" t="s">
        <v>63</v>
      </c>
      <c r="K364" s="2" t="s">
        <v>63</v>
      </c>
      <c r="L364" s="2" t="s">
        <v>65</v>
      </c>
      <c r="N364" s="1" t="s">
        <v>4202</v>
      </c>
      <c r="O364" s="2" t="s">
        <v>407</v>
      </c>
      <c r="P364" s="1" t="s">
        <v>259</v>
      </c>
      <c r="Q364" s="2" t="s">
        <v>70</v>
      </c>
      <c r="R364" s="2" t="s">
        <v>89</v>
      </c>
      <c r="T364" s="2" t="s">
        <v>72</v>
      </c>
      <c r="U364" s="3">
        <v>18</v>
      </c>
      <c r="V364" s="3">
        <v>18</v>
      </c>
      <c r="W364" s="4" t="s">
        <v>2646</v>
      </c>
      <c r="X364" s="4" t="s">
        <v>2646</v>
      </c>
      <c r="Y364" s="4" t="s">
        <v>1047</v>
      </c>
      <c r="Z364" s="4" t="s">
        <v>1047</v>
      </c>
      <c r="AA364" s="3">
        <v>162</v>
      </c>
      <c r="AB364" s="3">
        <v>108</v>
      </c>
      <c r="AC364" s="3">
        <v>234</v>
      </c>
      <c r="AD364" s="3">
        <v>1</v>
      </c>
      <c r="AE364" s="3">
        <v>2</v>
      </c>
      <c r="AF364" s="3">
        <v>2</v>
      </c>
      <c r="AG364" s="3">
        <v>8</v>
      </c>
      <c r="AH364" s="3">
        <v>2</v>
      </c>
      <c r="AI364" s="3">
        <v>4</v>
      </c>
      <c r="AJ364" s="3">
        <v>0</v>
      </c>
      <c r="AK364" s="3">
        <v>3</v>
      </c>
      <c r="AL364" s="3">
        <v>0</v>
      </c>
      <c r="AM364" s="3">
        <v>1</v>
      </c>
      <c r="AN364" s="3">
        <v>0</v>
      </c>
      <c r="AO364" s="3">
        <v>1</v>
      </c>
      <c r="AP364" s="3">
        <v>0</v>
      </c>
      <c r="AQ364" s="3">
        <v>0</v>
      </c>
      <c r="AR364" s="2" t="s">
        <v>63</v>
      </c>
      <c r="AS364" s="2" t="s">
        <v>92</v>
      </c>
      <c r="AT364" s="5" t="str">
        <f>HYPERLINK("http://catalog.hathitrust.org/Record/002208724","HathiTrust Record")</f>
        <v>HathiTrust Record</v>
      </c>
      <c r="AU364" s="5" t="str">
        <f>HYPERLINK("https://creighton-primo.hosted.exlibrisgroup.com/primo-explore/search?tab=default_tab&amp;search_scope=EVERYTHING&amp;vid=01CRU&amp;lang=en_US&amp;offset=0&amp;query=any,contains,991000821819702656","Catalog Record")</f>
        <v>Catalog Record</v>
      </c>
      <c r="AV364" s="5" t="str">
        <f>HYPERLINK("http://www.worldcat.org/oclc/21517357","WorldCat Record")</f>
        <v>WorldCat Record</v>
      </c>
      <c r="AW364" s="2" t="s">
        <v>4763</v>
      </c>
      <c r="AX364" s="2" t="s">
        <v>4764</v>
      </c>
      <c r="AY364" s="2" t="s">
        <v>4765</v>
      </c>
      <c r="AZ364" s="2" t="s">
        <v>4765</v>
      </c>
      <c r="BA364" s="2" t="s">
        <v>4766</v>
      </c>
      <c r="BB364" s="2" t="s">
        <v>79</v>
      </c>
      <c r="BD364" s="2" t="s">
        <v>4767</v>
      </c>
      <c r="BE364" s="2" t="s">
        <v>4768</v>
      </c>
      <c r="BF364" s="2" t="s">
        <v>4769</v>
      </c>
    </row>
    <row r="365" spans="1:58" ht="46.5" customHeight="1">
      <c r="A365" s="1"/>
      <c r="B365" s="1" t="s">
        <v>58</v>
      </c>
      <c r="C365" s="1" t="s">
        <v>59</v>
      </c>
      <c r="D365" s="1" t="s">
        <v>4770</v>
      </c>
      <c r="E365" s="1" t="s">
        <v>4771</v>
      </c>
      <c r="F365" s="1" t="s">
        <v>4772</v>
      </c>
      <c r="H365" s="2" t="s">
        <v>63</v>
      </c>
      <c r="I365" s="2" t="s">
        <v>64</v>
      </c>
      <c r="J365" s="2" t="s">
        <v>63</v>
      </c>
      <c r="K365" s="2" t="s">
        <v>63</v>
      </c>
      <c r="L365" s="2" t="s">
        <v>65</v>
      </c>
      <c r="M365" s="1" t="s">
        <v>4773</v>
      </c>
      <c r="N365" s="1" t="s">
        <v>4774</v>
      </c>
      <c r="O365" s="2" t="s">
        <v>554</v>
      </c>
      <c r="P365" s="1" t="s">
        <v>157</v>
      </c>
      <c r="Q365" s="2" t="s">
        <v>70</v>
      </c>
      <c r="R365" s="2" t="s">
        <v>3037</v>
      </c>
      <c r="T365" s="2" t="s">
        <v>72</v>
      </c>
      <c r="U365" s="3">
        <v>13</v>
      </c>
      <c r="V365" s="3">
        <v>13</v>
      </c>
      <c r="W365" s="4" t="s">
        <v>2646</v>
      </c>
      <c r="X365" s="4" t="s">
        <v>2646</v>
      </c>
      <c r="Y365" s="4" t="s">
        <v>4775</v>
      </c>
      <c r="Z365" s="4" t="s">
        <v>4775</v>
      </c>
      <c r="AA365" s="3">
        <v>54</v>
      </c>
      <c r="AB365" s="3">
        <v>33</v>
      </c>
      <c r="AC365" s="3">
        <v>69</v>
      </c>
      <c r="AD365" s="3">
        <v>1</v>
      </c>
      <c r="AE365" s="3">
        <v>1</v>
      </c>
      <c r="AF365" s="3">
        <v>0</v>
      </c>
      <c r="AG365" s="3">
        <v>1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1</v>
      </c>
      <c r="AN365" s="3">
        <v>0</v>
      </c>
      <c r="AO365" s="3">
        <v>0</v>
      </c>
      <c r="AP365" s="3">
        <v>0</v>
      </c>
      <c r="AQ365" s="3">
        <v>0</v>
      </c>
      <c r="AR365" s="2" t="s">
        <v>63</v>
      </c>
      <c r="AS365" s="2" t="s">
        <v>92</v>
      </c>
      <c r="AT365" s="5" t="str">
        <f>HYPERLINK("http://catalog.hathitrust.org/Record/002902453","HathiTrust Record")</f>
        <v>HathiTrust Record</v>
      </c>
      <c r="AU365" s="5" t="str">
        <f>HYPERLINK("https://creighton-primo.hosted.exlibrisgroup.com/primo-explore/search?tab=default_tab&amp;search_scope=EVERYTHING&amp;vid=01CRU&amp;lang=en_US&amp;offset=0&amp;query=any,contains,991001396469702656","Catalog Record")</f>
        <v>Catalog Record</v>
      </c>
      <c r="AV365" s="5" t="str">
        <f>HYPERLINK("http://www.worldcat.org/oclc/30915924","WorldCat Record")</f>
        <v>WorldCat Record</v>
      </c>
      <c r="AW365" s="2" t="s">
        <v>4776</v>
      </c>
      <c r="AX365" s="2" t="s">
        <v>4777</v>
      </c>
      <c r="AY365" s="2" t="s">
        <v>4778</v>
      </c>
      <c r="AZ365" s="2" t="s">
        <v>4778</v>
      </c>
      <c r="BA365" s="2" t="s">
        <v>4779</v>
      </c>
      <c r="BB365" s="2" t="s">
        <v>79</v>
      </c>
      <c r="BD365" s="2" t="s">
        <v>4780</v>
      </c>
      <c r="BE365" s="2" t="s">
        <v>4781</v>
      </c>
      <c r="BF365" s="2" t="s">
        <v>4782</v>
      </c>
    </row>
    <row r="366" spans="1:58" ht="46.5" customHeight="1">
      <c r="A366" s="1"/>
      <c r="B366" s="1" t="s">
        <v>58</v>
      </c>
      <c r="C366" s="1" t="s">
        <v>59</v>
      </c>
      <c r="D366" s="1" t="s">
        <v>4783</v>
      </c>
      <c r="E366" s="1" t="s">
        <v>4784</v>
      </c>
      <c r="F366" s="1" t="s">
        <v>4785</v>
      </c>
      <c r="H366" s="2" t="s">
        <v>63</v>
      </c>
      <c r="I366" s="2" t="s">
        <v>64</v>
      </c>
      <c r="J366" s="2" t="s">
        <v>63</v>
      </c>
      <c r="K366" s="2" t="s">
        <v>63</v>
      </c>
      <c r="L366" s="2" t="s">
        <v>65</v>
      </c>
      <c r="N366" s="1" t="s">
        <v>4786</v>
      </c>
      <c r="O366" s="2" t="s">
        <v>423</v>
      </c>
      <c r="Q366" s="2" t="s">
        <v>70</v>
      </c>
      <c r="R366" s="2" t="s">
        <v>424</v>
      </c>
      <c r="S366" s="1" t="s">
        <v>4787</v>
      </c>
      <c r="T366" s="2" t="s">
        <v>72</v>
      </c>
      <c r="U366" s="3">
        <v>6</v>
      </c>
      <c r="V366" s="3">
        <v>6</v>
      </c>
      <c r="W366" s="4" t="s">
        <v>4788</v>
      </c>
      <c r="X366" s="4" t="s">
        <v>4788</v>
      </c>
      <c r="Y366" s="4" t="s">
        <v>4789</v>
      </c>
      <c r="Z366" s="4" t="s">
        <v>4789</v>
      </c>
      <c r="AA366" s="3">
        <v>17</v>
      </c>
      <c r="AB366" s="3">
        <v>10</v>
      </c>
      <c r="AC366" s="3">
        <v>24</v>
      </c>
      <c r="AD366" s="3">
        <v>1</v>
      </c>
      <c r="AE366" s="3">
        <v>1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2" t="s">
        <v>63</v>
      </c>
      <c r="AS366" s="2" t="s">
        <v>63</v>
      </c>
      <c r="AU366" s="5" t="str">
        <f>HYPERLINK("https://creighton-primo.hosted.exlibrisgroup.com/primo-explore/search?tab=default_tab&amp;search_scope=EVERYTHING&amp;vid=01CRU&amp;lang=en_US&amp;offset=0&amp;query=any,contains,991000823169702656","Catalog Record")</f>
        <v>Catalog Record</v>
      </c>
      <c r="AV366" s="5" t="str">
        <f>HYPERLINK("http://www.worldcat.org/oclc/24378730","WorldCat Record")</f>
        <v>WorldCat Record</v>
      </c>
      <c r="AW366" s="2" t="s">
        <v>4790</v>
      </c>
      <c r="AX366" s="2" t="s">
        <v>4791</v>
      </c>
      <c r="AY366" s="2" t="s">
        <v>4792</v>
      </c>
      <c r="AZ366" s="2" t="s">
        <v>4792</v>
      </c>
      <c r="BA366" s="2" t="s">
        <v>4793</v>
      </c>
      <c r="BB366" s="2" t="s">
        <v>79</v>
      </c>
      <c r="BD366" s="2" t="s">
        <v>4794</v>
      </c>
      <c r="BE366" s="2" t="s">
        <v>4795</v>
      </c>
      <c r="BF366" s="2" t="s">
        <v>4796</v>
      </c>
    </row>
    <row r="367" spans="1:58" ht="46.5" customHeight="1">
      <c r="A367" s="1"/>
      <c r="B367" s="1" t="s">
        <v>58</v>
      </c>
      <c r="C367" s="1" t="s">
        <v>59</v>
      </c>
      <c r="D367" s="1" t="s">
        <v>4797</v>
      </c>
      <c r="E367" s="1" t="s">
        <v>4798</v>
      </c>
      <c r="F367" s="1" t="s">
        <v>4799</v>
      </c>
      <c r="H367" s="2" t="s">
        <v>63</v>
      </c>
      <c r="I367" s="2" t="s">
        <v>64</v>
      </c>
      <c r="J367" s="2" t="s">
        <v>63</v>
      </c>
      <c r="K367" s="2" t="s">
        <v>92</v>
      </c>
      <c r="L367" s="2" t="s">
        <v>64</v>
      </c>
      <c r="N367" s="1" t="s">
        <v>4800</v>
      </c>
      <c r="O367" s="2" t="s">
        <v>198</v>
      </c>
      <c r="P367" s="1" t="s">
        <v>259</v>
      </c>
      <c r="Q367" s="2" t="s">
        <v>70</v>
      </c>
      <c r="R367" s="2" t="s">
        <v>260</v>
      </c>
      <c r="T367" s="2" t="s">
        <v>72</v>
      </c>
      <c r="U367" s="3">
        <v>18</v>
      </c>
      <c r="V367" s="3">
        <v>18</v>
      </c>
      <c r="W367" s="4" t="s">
        <v>4801</v>
      </c>
      <c r="X367" s="4" t="s">
        <v>4801</v>
      </c>
      <c r="Y367" s="4" t="s">
        <v>1047</v>
      </c>
      <c r="Z367" s="4" t="s">
        <v>1047</v>
      </c>
      <c r="AA367" s="3">
        <v>153</v>
      </c>
      <c r="AB367" s="3">
        <v>88</v>
      </c>
      <c r="AC367" s="3">
        <v>508</v>
      </c>
      <c r="AD367" s="3">
        <v>1</v>
      </c>
      <c r="AE367" s="3">
        <v>1</v>
      </c>
      <c r="AF367" s="3">
        <v>0</v>
      </c>
      <c r="AG367" s="3">
        <v>13</v>
      </c>
      <c r="AH367" s="3">
        <v>0</v>
      </c>
      <c r="AI367" s="3">
        <v>5</v>
      </c>
      <c r="AJ367" s="3">
        <v>0</v>
      </c>
      <c r="AK367" s="3">
        <v>5</v>
      </c>
      <c r="AL367" s="3">
        <v>0</v>
      </c>
      <c r="AM367" s="3">
        <v>6</v>
      </c>
      <c r="AN367" s="3">
        <v>0</v>
      </c>
      <c r="AO367" s="3">
        <v>0</v>
      </c>
      <c r="AP367" s="3">
        <v>0</v>
      </c>
      <c r="AQ367" s="3">
        <v>0</v>
      </c>
      <c r="AR367" s="2" t="s">
        <v>63</v>
      </c>
      <c r="AS367" s="2" t="s">
        <v>92</v>
      </c>
      <c r="AT367" s="5" t="str">
        <f>HYPERLINK("http://catalog.hathitrust.org/Record/002500874","HathiTrust Record")</f>
        <v>HathiTrust Record</v>
      </c>
      <c r="AU367" s="5" t="str">
        <f>HYPERLINK("https://creighton-primo.hosted.exlibrisgroup.com/primo-explore/search?tab=default_tab&amp;search_scope=EVERYTHING&amp;vid=01CRU&amp;lang=en_US&amp;offset=0&amp;query=any,contains,991000821199702656","Catalog Record")</f>
        <v>Catalog Record</v>
      </c>
      <c r="AV367" s="5" t="str">
        <f>HYPERLINK("http://www.worldcat.org/oclc/22307253","WorldCat Record")</f>
        <v>WorldCat Record</v>
      </c>
      <c r="AW367" s="2" t="s">
        <v>4802</v>
      </c>
      <c r="AX367" s="2" t="s">
        <v>4803</v>
      </c>
      <c r="AY367" s="2" t="s">
        <v>4804</v>
      </c>
      <c r="AZ367" s="2" t="s">
        <v>4804</v>
      </c>
      <c r="BA367" s="2" t="s">
        <v>4805</v>
      </c>
      <c r="BB367" s="2" t="s">
        <v>79</v>
      </c>
      <c r="BD367" s="2" t="s">
        <v>4806</v>
      </c>
      <c r="BE367" s="2" t="s">
        <v>4807</v>
      </c>
      <c r="BF367" s="2" t="s">
        <v>4808</v>
      </c>
    </row>
    <row r="368" spans="1:58" ht="46.5" customHeight="1">
      <c r="A368" s="1"/>
      <c r="B368" s="1" t="s">
        <v>58</v>
      </c>
      <c r="C368" s="1" t="s">
        <v>59</v>
      </c>
      <c r="D368" s="1" t="s">
        <v>4809</v>
      </c>
      <c r="E368" s="1" t="s">
        <v>4810</v>
      </c>
      <c r="F368" s="1" t="s">
        <v>4811</v>
      </c>
      <c r="H368" s="2" t="s">
        <v>63</v>
      </c>
      <c r="I368" s="2" t="s">
        <v>64</v>
      </c>
      <c r="J368" s="2" t="s">
        <v>63</v>
      </c>
      <c r="K368" s="2" t="s">
        <v>92</v>
      </c>
      <c r="L368" s="2" t="s">
        <v>64</v>
      </c>
      <c r="N368" s="1" t="s">
        <v>4812</v>
      </c>
      <c r="O368" s="2" t="s">
        <v>1254</v>
      </c>
      <c r="P368" s="1" t="s">
        <v>105</v>
      </c>
      <c r="Q368" s="2" t="s">
        <v>70</v>
      </c>
      <c r="R368" s="2" t="s">
        <v>260</v>
      </c>
      <c r="T368" s="2" t="s">
        <v>72</v>
      </c>
      <c r="U368" s="3">
        <v>3</v>
      </c>
      <c r="V368" s="3">
        <v>3</v>
      </c>
      <c r="W368" s="4" t="s">
        <v>4813</v>
      </c>
      <c r="X368" s="4" t="s">
        <v>4813</v>
      </c>
      <c r="Y368" s="4" t="s">
        <v>4814</v>
      </c>
      <c r="Z368" s="4" t="s">
        <v>4814</v>
      </c>
      <c r="AA368" s="3">
        <v>133</v>
      </c>
      <c r="AB368" s="3">
        <v>81</v>
      </c>
      <c r="AC368" s="3">
        <v>508</v>
      </c>
      <c r="AD368" s="3">
        <v>1</v>
      </c>
      <c r="AE368" s="3">
        <v>1</v>
      </c>
      <c r="AF368" s="3">
        <v>1</v>
      </c>
      <c r="AG368" s="3">
        <v>13</v>
      </c>
      <c r="AH368" s="3">
        <v>1</v>
      </c>
      <c r="AI368" s="3">
        <v>5</v>
      </c>
      <c r="AJ368" s="3">
        <v>0</v>
      </c>
      <c r="AK368" s="3">
        <v>5</v>
      </c>
      <c r="AL368" s="3">
        <v>0</v>
      </c>
      <c r="AM368" s="3">
        <v>6</v>
      </c>
      <c r="AN368" s="3">
        <v>0</v>
      </c>
      <c r="AO368" s="3">
        <v>0</v>
      </c>
      <c r="AP368" s="3">
        <v>0</v>
      </c>
      <c r="AQ368" s="3">
        <v>0</v>
      </c>
      <c r="AR368" s="2" t="s">
        <v>63</v>
      </c>
      <c r="AS368" s="2" t="s">
        <v>92</v>
      </c>
      <c r="AT368" s="5" t="str">
        <f>HYPERLINK("http://catalog.hathitrust.org/Record/003567630","HathiTrust Record")</f>
        <v>HathiTrust Record</v>
      </c>
      <c r="AU368" s="5" t="str">
        <f>HYPERLINK("https://creighton-primo.hosted.exlibrisgroup.com/primo-explore/search?tab=default_tab&amp;search_scope=EVERYTHING&amp;vid=01CRU&amp;lang=en_US&amp;offset=0&amp;query=any,contains,991000333809702656","Catalog Record")</f>
        <v>Catalog Record</v>
      </c>
      <c r="AV368" s="5" t="str">
        <f>HYPERLINK("http://www.worldcat.org/oclc/44626891","WorldCat Record")</f>
        <v>WorldCat Record</v>
      </c>
      <c r="AW368" s="2" t="s">
        <v>4802</v>
      </c>
      <c r="AX368" s="2" t="s">
        <v>4815</v>
      </c>
      <c r="AY368" s="2" t="s">
        <v>4816</v>
      </c>
      <c r="AZ368" s="2" t="s">
        <v>4816</v>
      </c>
      <c r="BA368" s="2" t="s">
        <v>4817</v>
      </c>
      <c r="BB368" s="2" t="s">
        <v>79</v>
      </c>
      <c r="BD368" s="2" t="s">
        <v>4818</v>
      </c>
      <c r="BE368" s="2" t="s">
        <v>4819</v>
      </c>
      <c r="BF368" s="2" t="s">
        <v>4820</v>
      </c>
    </row>
    <row r="369" spans="1:58" ht="46.5" customHeight="1">
      <c r="A369" s="1"/>
      <c r="B369" s="1" t="s">
        <v>58</v>
      </c>
      <c r="C369" s="1" t="s">
        <v>59</v>
      </c>
      <c r="D369" s="1" t="s">
        <v>4821</v>
      </c>
      <c r="E369" s="1" t="s">
        <v>4822</v>
      </c>
      <c r="F369" s="1" t="s">
        <v>4823</v>
      </c>
      <c r="H369" s="2" t="s">
        <v>63</v>
      </c>
      <c r="I369" s="2" t="s">
        <v>64</v>
      </c>
      <c r="J369" s="2" t="s">
        <v>63</v>
      </c>
      <c r="K369" s="2" t="s">
        <v>63</v>
      </c>
      <c r="L369" s="2" t="s">
        <v>65</v>
      </c>
      <c r="N369" s="1" t="s">
        <v>4824</v>
      </c>
      <c r="O369" s="2" t="s">
        <v>215</v>
      </c>
      <c r="Q369" s="2" t="s">
        <v>70</v>
      </c>
      <c r="R369" s="2" t="s">
        <v>424</v>
      </c>
      <c r="S369" s="1" t="s">
        <v>4825</v>
      </c>
      <c r="T369" s="2" t="s">
        <v>72</v>
      </c>
      <c r="U369" s="3">
        <v>9</v>
      </c>
      <c r="V369" s="3">
        <v>9</v>
      </c>
      <c r="W369" s="4" t="s">
        <v>2646</v>
      </c>
      <c r="X369" s="4" t="s">
        <v>2646</v>
      </c>
      <c r="Y369" s="4" t="s">
        <v>3387</v>
      </c>
      <c r="Z369" s="4" t="s">
        <v>3387</v>
      </c>
      <c r="AA369" s="3">
        <v>123</v>
      </c>
      <c r="AB369" s="3">
        <v>78</v>
      </c>
      <c r="AC369" s="3">
        <v>108</v>
      </c>
      <c r="AD369" s="3">
        <v>1</v>
      </c>
      <c r="AE369" s="3">
        <v>1</v>
      </c>
      <c r="AF369" s="3">
        <v>1</v>
      </c>
      <c r="AG369" s="3">
        <v>3</v>
      </c>
      <c r="AH369" s="3">
        <v>0</v>
      </c>
      <c r="AI369" s="3">
        <v>1</v>
      </c>
      <c r="AJ369" s="3">
        <v>1</v>
      </c>
      <c r="AK369" s="3">
        <v>2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2" t="s">
        <v>63</v>
      </c>
      <c r="AS369" s="2" t="s">
        <v>92</v>
      </c>
      <c r="AT369" s="5" t="str">
        <f>HYPERLINK("http://catalog.hathitrust.org/Record/000946349","HathiTrust Record")</f>
        <v>HathiTrust Record</v>
      </c>
      <c r="AU369" s="5" t="str">
        <f>HYPERLINK("https://creighton-primo.hosted.exlibrisgroup.com/primo-explore/search?tab=default_tab&amp;search_scope=EVERYTHING&amp;vid=01CRU&amp;lang=en_US&amp;offset=0&amp;query=any,contains,991000959529702656","Catalog Record")</f>
        <v>Catalog Record</v>
      </c>
      <c r="AV369" s="5" t="str">
        <f>HYPERLINK("http://www.worldcat.org/oclc/10574784","WorldCat Record")</f>
        <v>WorldCat Record</v>
      </c>
      <c r="AW369" s="2" t="s">
        <v>4826</v>
      </c>
      <c r="AX369" s="2" t="s">
        <v>4827</v>
      </c>
      <c r="AY369" s="2" t="s">
        <v>4828</v>
      </c>
      <c r="AZ369" s="2" t="s">
        <v>4828</v>
      </c>
      <c r="BA369" s="2" t="s">
        <v>4829</v>
      </c>
      <c r="BB369" s="2" t="s">
        <v>79</v>
      </c>
      <c r="BD369" s="2" t="s">
        <v>4830</v>
      </c>
      <c r="BE369" s="2" t="s">
        <v>4831</v>
      </c>
      <c r="BF369" s="2" t="s">
        <v>4832</v>
      </c>
    </row>
    <row r="370" spans="1:58" ht="46.5" customHeight="1">
      <c r="A370" s="1"/>
      <c r="B370" s="1" t="s">
        <v>58</v>
      </c>
      <c r="C370" s="1" t="s">
        <v>59</v>
      </c>
      <c r="D370" s="1" t="s">
        <v>4833</v>
      </c>
      <c r="E370" s="1" t="s">
        <v>4834</v>
      </c>
      <c r="F370" s="1" t="s">
        <v>4835</v>
      </c>
      <c r="H370" s="2" t="s">
        <v>63</v>
      </c>
      <c r="I370" s="2" t="s">
        <v>64</v>
      </c>
      <c r="J370" s="2" t="s">
        <v>63</v>
      </c>
      <c r="K370" s="2" t="s">
        <v>63</v>
      </c>
      <c r="L370" s="2" t="s">
        <v>65</v>
      </c>
      <c r="N370" s="1" t="s">
        <v>4836</v>
      </c>
      <c r="O370" s="2" t="s">
        <v>198</v>
      </c>
      <c r="Q370" s="2" t="s">
        <v>70</v>
      </c>
      <c r="R370" s="2" t="s">
        <v>1541</v>
      </c>
      <c r="T370" s="2" t="s">
        <v>72</v>
      </c>
      <c r="U370" s="3">
        <v>2</v>
      </c>
      <c r="V370" s="3">
        <v>2</v>
      </c>
      <c r="W370" s="4" t="s">
        <v>3505</v>
      </c>
      <c r="X370" s="4" t="s">
        <v>3505</v>
      </c>
      <c r="Y370" s="4" t="s">
        <v>3505</v>
      </c>
      <c r="Z370" s="4" t="s">
        <v>3505</v>
      </c>
      <c r="AA370" s="3">
        <v>86</v>
      </c>
      <c r="AB370" s="3">
        <v>68</v>
      </c>
      <c r="AC370" s="3">
        <v>91</v>
      </c>
      <c r="AD370" s="3">
        <v>1</v>
      </c>
      <c r="AE370" s="3">
        <v>1</v>
      </c>
      <c r="AF370" s="3">
        <v>3</v>
      </c>
      <c r="AG370" s="3">
        <v>3</v>
      </c>
      <c r="AH370" s="3">
        <v>0</v>
      </c>
      <c r="AI370" s="3">
        <v>0</v>
      </c>
      <c r="AJ370" s="3">
        <v>1</v>
      </c>
      <c r="AK370" s="3">
        <v>1</v>
      </c>
      <c r="AL370" s="3">
        <v>2</v>
      </c>
      <c r="AM370" s="3">
        <v>2</v>
      </c>
      <c r="AN370" s="3">
        <v>0</v>
      </c>
      <c r="AO370" s="3">
        <v>0</v>
      </c>
      <c r="AP370" s="3">
        <v>0</v>
      </c>
      <c r="AQ370" s="3">
        <v>0</v>
      </c>
      <c r="AR370" s="2" t="s">
        <v>63</v>
      </c>
      <c r="AS370" s="2" t="s">
        <v>63</v>
      </c>
      <c r="AU370" s="5" t="str">
        <f>HYPERLINK("https://creighton-primo.hosted.exlibrisgroup.com/primo-explore/search?tab=default_tab&amp;search_scope=EVERYTHING&amp;vid=01CRU&amp;lang=en_US&amp;offset=0&amp;query=any,contains,991001022569702656","Catalog Record")</f>
        <v>Catalog Record</v>
      </c>
      <c r="AV370" s="5" t="str">
        <f>HYPERLINK("http://www.worldcat.org/oclc/23287756","WorldCat Record")</f>
        <v>WorldCat Record</v>
      </c>
      <c r="AW370" s="2" t="s">
        <v>4837</v>
      </c>
      <c r="AX370" s="2" t="s">
        <v>4838</v>
      </c>
      <c r="AY370" s="2" t="s">
        <v>4839</v>
      </c>
      <c r="AZ370" s="2" t="s">
        <v>4839</v>
      </c>
      <c r="BA370" s="2" t="s">
        <v>4840</v>
      </c>
      <c r="BB370" s="2" t="s">
        <v>79</v>
      </c>
      <c r="BD370" s="2" t="s">
        <v>4841</v>
      </c>
      <c r="BE370" s="2" t="s">
        <v>4842</v>
      </c>
      <c r="BF370" s="2" t="s">
        <v>4843</v>
      </c>
    </row>
    <row r="371" spans="1:58" ht="46.5" customHeight="1">
      <c r="A371" s="1"/>
      <c r="B371" s="1" t="s">
        <v>58</v>
      </c>
      <c r="C371" s="1" t="s">
        <v>59</v>
      </c>
      <c r="D371" s="1" t="s">
        <v>4844</v>
      </c>
      <c r="E371" s="1" t="s">
        <v>4845</v>
      </c>
      <c r="F371" s="1" t="s">
        <v>4846</v>
      </c>
      <c r="H371" s="2" t="s">
        <v>63</v>
      </c>
      <c r="I371" s="2" t="s">
        <v>64</v>
      </c>
      <c r="J371" s="2" t="s">
        <v>63</v>
      </c>
      <c r="K371" s="2" t="s">
        <v>63</v>
      </c>
      <c r="L371" s="2" t="s">
        <v>65</v>
      </c>
      <c r="N371" s="1" t="s">
        <v>4847</v>
      </c>
      <c r="O371" s="2" t="s">
        <v>4266</v>
      </c>
      <c r="P371" s="1" t="s">
        <v>4848</v>
      </c>
      <c r="Q371" s="2" t="s">
        <v>70</v>
      </c>
      <c r="R371" s="2" t="s">
        <v>555</v>
      </c>
      <c r="T371" s="2" t="s">
        <v>72</v>
      </c>
      <c r="U371" s="3">
        <v>1</v>
      </c>
      <c r="V371" s="3">
        <v>1</v>
      </c>
      <c r="W371" s="4" t="s">
        <v>4849</v>
      </c>
      <c r="X371" s="4" t="s">
        <v>4849</v>
      </c>
      <c r="Y371" s="4" t="s">
        <v>4850</v>
      </c>
      <c r="Z371" s="4" t="s">
        <v>4850</v>
      </c>
      <c r="AA371" s="3">
        <v>388</v>
      </c>
      <c r="AB371" s="3">
        <v>333</v>
      </c>
      <c r="AC371" s="3">
        <v>340</v>
      </c>
      <c r="AD371" s="3">
        <v>5</v>
      </c>
      <c r="AE371" s="3">
        <v>5</v>
      </c>
      <c r="AF371" s="3">
        <v>20</v>
      </c>
      <c r="AG371" s="3">
        <v>20</v>
      </c>
      <c r="AH371" s="3">
        <v>3</v>
      </c>
      <c r="AI371" s="3">
        <v>3</v>
      </c>
      <c r="AJ371" s="3">
        <v>2</v>
      </c>
      <c r="AK371" s="3">
        <v>2</v>
      </c>
      <c r="AL371" s="3">
        <v>14</v>
      </c>
      <c r="AM371" s="3">
        <v>14</v>
      </c>
      <c r="AN371" s="3">
        <v>4</v>
      </c>
      <c r="AO371" s="3">
        <v>4</v>
      </c>
      <c r="AP371" s="3">
        <v>0</v>
      </c>
      <c r="AQ371" s="3">
        <v>0</v>
      </c>
      <c r="AR371" s="2" t="s">
        <v>63</v>
      </c>
      <c r="AS371" s="2" t="s">
        <v>92</v>
      </c>
      <c r="AT371" s="5" t="str">
        <f>HYPERLINK("http://catalog.hathitrust.org/Record/001573870","HathiTrust Record")</f>
        <v>HathiTrust Record</v>
      </c>
      <c r="AU371" s="5" t="str">
        <f>HYPERLINK("https://creighton-primo.hosted.exlibrisgroup.com/primo-explore/search?tab=default_tab&amp;search_scope=EVERYTHING&amp;vid=01CRU&amp;lang=en_US&amp;offset=0&amp;query=any,contains,991000959579702656","Catalog Record")</f>
        <v>Catalog Record</v>
      </c>
      <c r="AV371" s="5" t="str">
        <f>HYPERLINK("http://www.worldcat.org/oclc/1200431","WorldCat Record")</f>
        <v>WorldCat Record</v>
      </c>
      <c r="AW371" s="2" t="s">
        <v>4851</v>
      </c>
      <c r="AX371" s="2" t="s">
        <v>4852</v>
      </c>
      <c r="AY371" s="2" t="s">
        <v>4853</v>
      </c>
      <c r="AZ371" s="2" t="s">
        <v>4853</v>
      </c>
      <c r="BA371" s="2" t="s">
        <v>4854</v>
      </c>
      <c r="BB371" s="2" t="s">
        <v>79</v>
      </c>
      <c r="BE371" s="2" t="s">
        <v>4855</v>
      </c>
      <c r="BF371" s="2" t="s">
        <v>4856</v>
      </c>
    </row>
    <row r="372" spans="1:58" ht="46.5" customHeight="1">
      <c r="A372" s="1"/>
      <c r="B372" s="1" t="s">
        <v>58</v>
      </c>
      <c r="C372" s="1" t="s">
        <v>59</v>
      </c>
      <c r="D372" s="1" t="s">
        <v>4857</v>
      </c>
      <c r="E372" s="1" t="s">
        <v>4858</v>
      </c>
      <c r="F372" s="1" t="s">
        <v>4859</v>
      </c>
      <c r="H372" s="2" t="s">
        <v>63</v>
      </c>
      <c r="I372" s="2" t="s">
        <v>64</v>
      </c>
      <c r="J372" s="2" t="s">
        <v>63</v>
      </c>
      <c r="K372" s="2" t="s">
        <v>63</v>
      </c>
      <c r="L372" s="2" t="s">
        <v>65</v>
      </c>
      <c r="M372" s="1" t="s">
        <v>4860</v>
      </c>
      <c r="N372" s="1" t="s">
        <v>4861</v>
      </c>
      <c r="O372" s="2" t="s">
        <v>292</v>
      </c>
      <c r="Q372" s="2" t="s">
        <v>70</v>
      </c>
      <c r="R372" s="2" t="s">
        <v>89</v>
      </c>
      <c r="S372" s="1" t="s">
        <v>4862</v>
      </c>
      <c r="T372" s="2" t="s">
        <v>72</v>
      </c>
      <c r="U372" s="3">
        <v>6</v>
      </c>
      <c r="V372" s="3">
        <v>6</v>
      </c>
      <c r="W372" s="4" t="s">
        <v>2646</v>
      </c>
      <c r="X372" s="4" t="s">
        <v>2646</v>
      </c>
      <c r="Y372" s="4" t="s">
        <v>4863</v>
      </c>
      <c r="Z372" s="4" t="s">
        <v>4863</v>
      </c>
      <c r="AA372" s="3">
        <v>70</v>
      </c>
      <c r="AB372" s="3">
        <v>56</v>
      </c>
      <c r="AC372" s="3">
        <v>80</v>
      </c>
      <c r="AD372" s="3">
        <v>1</v>
      </c>
      <c r="AE372" s="3">
        <v>1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2" t="s">
        <v>63</v>
      </c>
      <c r="AS372" s="2" t="s">
        <v>92</v>
      </c>
      <c r="AT372" s="5" t="str">
        <f>HYPERLINK("http://catalog.hathitrust.org/Record/000905966","HathiTrust Record")</f>
        <v>HathiTrust Record</v>
      </c>
      <c r="AU372" s="5" t="str">
        <f>HYPERLINK("https://creighton-primo.hosted.exlibrisgroup.com/primo-explore/search?tab=default_tab&amp;search_scope=EVERYTHING&amp;vid=01CRU&amp;lang=en_US&amp;offset=0&amp;query=any,contains,991001310659702656","Catalog Record")</f>
        <v>Catalog Record</v>
      </c>
      <c r="AV372" s="5" t="str">
        <f>HYPERLINK("http://www.worldcat.org/oclc/15428959","WorldCat Record")</f>
        <v>WorldCat Record</v>
      </c>
      <c r="AW372" s="2" t="s">
        <v>4864</v>
      </c>
      <c r="AX372" s="2" t="s">
        <v>4865</v>
      </c>
      <c r="AY372" s="2" t="s">
        <v>4866</v>
      </c>
      <c r="AZ372" s="2" t="s">
        <v>4866</v>
      </c>
      <c r="BA372" s="2" t="s">
        <v>4867</v>
      </c>
      <c r="BB372" s="2" t="s">
        <v>79</v>
      </c>
      <c r="BD372" s="2" t="s">
        <v>4868</v>
      </c>
      <c r="BE372" s="2" t="s">
        <v>4869</v>
      </c>
      <c r="BF372" s="2" t="s">
        <v>4870</v>
      </c>
    </row>
    <row r="373" spans="1:58" ht="46.5" customHeight="1">
      <c r="A373" s="1"/>
      <c r="B373" s="1" t="s">
        <v>58</v>
      </c>
      <c r="C373" s="1" t="s">
        <v>59</v>
      </c>
      <c r="D373" s="1" t="s">
        <v>4871</v>
      </c>
      <c r="E373" s="1" t="s">
        <v>4872</v>
      </c>
      <c r="F373" s="1" t="s">
        <v>4873</v>
      </c>
      <c r="H373" s="2" t="s">
        <v>63</v>
      </c>
      <c r="I373" s="2" t="s">
        <v>64</v>
      </c>
      <c r="J373" s="2" t="s">
        <v>63</v>
      </c>
      <c r="K373" s="2" t="s">
        <v>63</v>
      </c>
      <c r="L373" s="2" t="s">
        <v>65</v>
      </c>
      <c r="M373" s="1" t="s">
        <v>4874</v>
      </c>
      <c r="N373" s="1" t="s">
        <v>4836</v>
      </c>
      <c r="O373" s="2" t="s">
        <v>198</v>
      </c>
      <c r="Q373" s="2" t="s">
        <v>70</v>
      </c>
      <c r="R373" s="2" t="s">
        <v>1541</v>
      </c>
      <c r="T373" s="2" t="s">
        <v>72</v>
      </c>
      <c r="U373" s="3">
        <v>11</v>
      </c>
      <c r="V373" s="3">
        <v>11</v>
      </c>
      <c r="W373" s="4" t="s">
        <v>4875</v>
      </c>
      <c r="X373" s="4" t="s">
        <v>4875</v>
      </c>
      <c r="Y373" s="4" t="s">
        <v>4876</v>
      </c>
      <c r="Z373" s="4" t="s">
        <v>4876</v>
      </c>
      <c r="AA373" s="3">
        <v>55</v>
      </c>
      <c r="AB373" s="3">
        <v>41</v>
      </c>
      <c r="AC373" s="3">
        <v>41</v>
      </c>
      <c r="AD373" s="3">
        <v>1</v>
      </c>
      <c r="AE373" s="3">
        <v>1</v>
      </c>
      <c r="AF373" s="3">
        <v>2</v>
      </c>
      <c r="AG373" s="3">
        <v>2</v>
      </c>
      <c r="AH373" s="3">
        <v>1</v>
      </c>
      <c r="AI373" s="3">
        <v>1</v>
      </c>
      <c r="AJ373" s="3">
        <v>1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2" t="s">
        <v>63</v>
      </c>
      <c r="AS373" s="2" t="s">
        <v>63</v>
      </c>
      <c r="AU373" s="5" t="str">
        <f>HYPERLINK("https://creighton-primo.hosted.exlibrisgroup.com/primo-explore/search?tab=default_tab&amp;search_scope=EVERYTHING&amp;vid=01CRU&amp;lang=en_US&amp;offset=0&amp;query=any,contains,991000818639702656","Catalog Record")</f>
        <v>Catalog Record</v>
      </c>
      <c r="AV373" s="5" t="str">
        <f>HYPERLINK("http://www.worldcat.org/oclc/22314236","WorldCat Record")</f>
        <v>WorldCat Record</v>
      </c>
      <c r="AW373" s="2" t="s">
        <v>4877</v>
      </c>
      <c r="AX373" s="2" t="s">
        <v>4878</v>
      </c>
      <c r="AY373" s="2" t="s">
        <v>4879</v>
      </c>
      <c r="AZ373" s="2" t="s">
        <v>4879</v>
      </c>
      <c r="BA373" s="2" t="s">
        <v>4880</v>
      </c>
      <c r="BB373" s="2" t="s">
        <v>79</v>
      </c>
      <c r="BD373" s="2" t="s">
        <v>4881</v>
      </c>
      <c r="BE373" s="2" t="s">
        <v>4882</v>
      </c>
      <c r="BF373" s="2" t="s">
        <v>4883</v>
      </c>
    </row>
    <row r="374" spans="1:58" ht="46.5" customHeight="1">
      <c r="A374" s="1"/>
      <c r="B374" s="1" t="s">
        <v>58</v>
      </c>
      <c r="C374" s="1" t="s">
        <v>59</v>
      </c>
      <c r="D374" s="1" t="s">
        <v>4884</v>
      </c>
      <c r="E374" s="1" t="s">
        <v>4885</v>
      </c>
      <c r="F374" s="1" t="s">
        <v>4886</v>
      </c>
      <c r="H374" s="2" t="s">
        <v>92</v>
      </c>
      <c r="I374" s="2" t="s">
        <v>64</v>
      </c>
      <c r="J374" s="2" t="s">
        <v>92</v>
      </c>
      <c r="K374" s="2" t="s">
        <v>63</v>
      </c>
      <c r="L374" s="2" t="s">
        <v>65</v>
      </c>
      <c r="N374" s="1" t="s">
        <v>4887</v>
      </c>
      <c r="O374" s="2" t="s">
        <v>1175</v>
      </c>
      <c r="Q374" s="2" t="s">
        <v>70</v>
      </c>
      <c r="R374" s="2" t="s">
        <v>786</v>
      </c>
      <c r="S374" s="1" t="s">
        <v>4888</v>
      </c>
      <c r="T374" s="2" t="s">
        <v>72</v>
      </c>
      <c r="U374" s="3">
        <v>2</v>
      </c>
      <c r="V374" s="3">
        <v>5</v>
      </c>
      <c r="W374" s="4" t="s">
        <v>4889</v>
      </c>
      <c r="X374" s="4" t="s">
        <v>4889</v>
      </c>
      <c r="Y374" s="4" t="s">
        <v>3387</v>
      </c>
      <c r="Z374" s="4" t="s">
        <v>3387</v>
      </c>
      <c r="AA374" s="3">
        <v>149</v>
      </c>
      <c r="AB374" s="3">
        <v>103</v>
      </c>
      <c r="AC374" s="3">
        <v>105</v>
      </c>
      <c r="AD374" s="3">
        <v>1</v>
      </c>
      <c r="AE374" s="3">
        <v>1</v>
      </c>
      <c r="AF374" s="3">
        <v>2</v>
      </c>
      <c r="AG374" s="3">
        <v>2</v>
      </c>
      <c r="AH374" s="3">
        <v>0</v>
      </c>
      <c r="AI374" s="3">
        <v>0</v>
      </c>
      <c r="AJ374" s="3">
        <v>2</v>
      </c>
      <c r="AK374" s="3">
        <v>2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2" t="s">
        <v>63</v>
      </c>
      <c r="AS374" s="2" t="s">
        <v>92</v>
      </c>
      <c r="AT374" s="5" t="str">
        <f>HYPERLINK("http://catalog.hathitrust.org/Record/000225323","HathiTrust Record")</f>
        <v>HathiTrust Record</v>
      </c>
      <c r="AU374" s="5" t="str">
        <f>HYPERLINK("https://creighton-primo.hosted.exlibrisgroup.com/primo-explore/search?tab=default_tab&amp;search_scope=EVERYTHING&amp;vid=01CRU&amp;lang=en_US&amp;offset=0&amp;query=any,contains,991000960099702656","Catalog Record")</f>
        <v>Catalog Record</v>
      </c>
      <c r="AV374" s="5" t="str">
        <f>HYPERLINK("http://www.worldcat.org/oclc/7957792","WorldCat Record")</f>
        <v>WorldCat Record</v>
      </c>
      <c r="AW374" s="2" t="s">
        <v>4890</v>
      </c>
      <c r="AX374" s="2" t="s">
        <v>4891</v>
      </c>
      <c r="AY374" s="2" t="s">
        <v>4892</v>
      </c>
      <c r="AZ374" s="2" t="s">
        <v>4892</v>
      </c>
      <c r="BA374" s="2" t="s">
        <v>4893</v>
      </c>
      <c r="BB374" s="2" t="s">
        <v>79</v>
      </c>
      <c r="BE374" s="2" t="s">
        <v>4894</v>
      </c>
      <c r="BF374" s="2" t="s">
        <v>4895</v>
      </c>
    </row>
    <row r="375" spans="1:58" ht="46.5" customHeight="1">
      <c r="A375" s="1"/>
      <c r="B375" s="1" t="s">
        <v>58</v>
      </c>
      <c r="C375" s="1" t="s">
        <v>59</v>
      </c>
      <c r="D375" s="1" t="s">
        <v>4896</v>
      </c>
      <c r="E375" s="1" t="s">
        <v>4897</v>
      </c>
      <c r="F375" s="1" t="s">
        <v>4886</v>
      </c>
      <c r="G375" s="2" t="s">
        <v>2114</v>
      </c>
      <c r="H375" s="2" t="s">
        <v>92</v>
      </c>
      <c r="I375" s="2" t="s">
        <v>64</v>
      </c>
      <c r="J375" s="2" t="s">
        <v>63</v>
      </c>
      <c r="K375" s="2" t="s">
        <v>63</v>
      </c>
      <c r="L375" s="2" t="s">
        <v>65</v>
      </c>
      <c r="N375" s="1" t="s">
        <v>4887</v>
      </c>
      <c r="O375" s="2" t="s">
        <v>1175</v>
      </c>
      <c r="Q375" s="2" t="s">
        <v>70</v>
      </c>
      <c r="R375" s="2" t="s">
        <v>786</v>
      </c>
      <c r="S375" s="1" t="s">
        <v>4888</v>
      </c>
      <c r="T375" s="2" t="s">
        <v>72</v>
      </c>
      <c r="U375" s="3">
        <v>3</v>
      </c>
      <c r="V375" s="3">
        <v>5</v>
      </c>
      <c r="W375" s="4" t="s">
        <v>4898</v>
      </c>
      <c r="X375" s="4" t="s">
        <v>4889</v>
      </c>
      <c r="Y375" s="4" t="s">
        <v>3387</v>
      </c>
      <c r="Z375" s="4" t="s">
        <v>3387</v>
      </c>
      <c r="AA375" s="3">
        <v>149</v>
      </c>
      <c r="AB375" s="3">
        <v>103</v>
      </c>
      <c r="AC375" s="3">
        <v>105</v>
      </c>
      <c r="AD375" s="3">
        <v>1</v>
      </c>
      <c r="AE375" s="3">
        <v>1</v>
      </c>
      <c r="AF375" s="3">
        <v>2</v>
      </c>
      <c r="AG375" s="3">
        <v>2</v>
      </c>
      <c r="AH375" s="3">
        <v>0</v>
      </c>
      <c r="AI375" s="3">
        <v>0</v>
      </c>
      <c r="AJ375" s="3">
        <v>2</v>
      </c>
      <c r="AK375" s="3">
        <v>2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2" t="s">
        <v>63</v>
      </c>
      <c r="AS375" s="2" t="s">
        <v>92</v>
      </c>
      <c r="AT375" s="5" t="str">
        <f>HYPERLINK("http://catalog.hathitrust.org/Record/000225323","HathiTrust Record")</f>
        <v>HathiTrust Record</v>
      </c>
      <c r="AU375" s="5" t="str">
        <f>HYPERLINK("https://creighton-primo.hosted.exlibrisgroup.com/primo-explore/search?tab=default_tab&amp;search_scope=EVERYTHING&amp;vid=01CRU&amp;lang=en_US&amp;offset=0&amp;query=any,contains,991000960099702656","Catalog Record")</f>
        <v>Catalog Record</v>
      </c>
      <c r="AV375" s="5" t="str">
        <f>HYPERLINK("http://www.worldcat.org/oclc/7957792","WorldCat Record")</f>
        <v>WorldCat Record</v>
      </c>
      <c r="AW375" s="2" t="s">
        <v>4890</v>
      </c>
      <c r="AX375" s="2" t="s">
        <v>4891</v>
      </c>
      <c r="AY375" s="2" t="s">
        <v>4892</v>
      </c>
      <c r="AZ375" s="2" t="s">
        <v>4892</v>
      </c>
      <c r="BA375" s="2" t="s">
        <v>4893</v>
      </c>
      <c r="BB375" s="2" t="s">
        <v>79</v>
      </c>
      <c r="BE375" s="2" t="s">
        <v>4899</v>
      </c>
      <c r="BF375" s="2" t="s">
        <v>4900</v>
      </c>
    </row>
    <row r="376" spans="1:58" ht="46.5" customHeight="1">
      <c r="A376" s="1"/>
      <c r="B376" s="1" t="s">
        <v>58</v>
      </c>
      <c r="C376" s="1" t="s">
        <v>59</v>
      </c>
      <c r="D376" s="1" t="s">
        <v>4901</v>
      </c>
      <c r="E376" s="1" t="s">
        <v>4902</v>
      </c>
      <c r="F376" s="1" t="s">
        <v>4903</v>
      </c>
      <c r="H376" s="2" t="s">
        <v>63</v>
      </c>
      <c r="I376" s="2" t="s">
        <v>64</v>
      </c>
      <c r="J376" s="2" t="s">
        <v>63</v>
      </c>
      <c r="K376" s="2" t="s">
        <v>63</v>
      </c>
      <c r="L376" s="2" t="s">
        <v>65</v>
      </c>
      <c r="M376" s="1" t="s">
        <v>4904</v>
      </c>
      <c r="N376" s="1" t="s">
        <v>4905</v>
      </c>
      <c r="O376" s="2" t="s">
        <v>198</v>
      </c>
      <c r="Q376" s="2" t="s">
        <v>70</v>
      </c>
      <c r="R376" s="2" t="s">
        <v>555</v>
      </c>
      <c r="T376" s="2" t="s">
        <v>72</v>
      </c>
      <c r="U376" s="3">
        <v>6</v>
      </c>
      <c r="V376" s="3">
        <v>6</v>
      </c>
      <c r="W376" s="4" t="s">
        <v>4906</v>
      </c>
      <c r="X376" s="4" t="s">
        <v>4906</v>
      </c>
      <c r="Y376" s="4" t="s">
        <v>4907</v>
      </c>
      <c r="Z376" s="4" t="s">
        <v>4907</v>
      </c>
      <c r="AA376" s="3">
        <v>115</v>
      </c>
      <c r="AB376" s="3">
        <v>96</v>
      </c>
      <c r="AC376" s="3">
        <v>505</v>
      </c>
      <c r="AD376" s="3">
        <v>1</v>
      </c>
      <c r="AE376" s="3">
        <v>4</v>
      </c>
      <c r="AF376" s="3">
        <v>1</v>
      </c>
      <c r="AG376" s="3">
        <v>6</v>
      </c>
      <c r="AH376" s="3">
        <v>0</v>
      </c>
      <c r="AI376" s="3">
        <v>2</v>
      </c>
      <c r="AJ376" s="3">
        <v>1</v>
      </c>
      <c r="AK376" s="3">
        <v>1</v>
      </c>
      <c r="AL376" s="3">
        <v>0</v>
      </c>
      <c r="AM376" s="3">
        <v>1</v>
      </c>
      <c r="AN376" s="3">
        <v>0</v>
      </c>
      <c r="AO376" s="3">
        <v>3</v>
      </c>
      <c r="AP376" s="3">
        <v>0</v>
      </c>
      <c r="AQ376" s="3">
        <v>0</v>
      </c>
      <c r="AR376" s="2" t="s">
        <v>63</v>
      </c>
      <c r="AS376" s="2" t="s">
        <v>92</v>
      </c>
      <c r="AT376" s="5" t="str">
        <f>HYPERLINK("http://catalog.hathitrust.org/Record/002559428","HathiTrust Record")</f>
        <v>HathiTrust Record</v>
      </c>
      <c r="AU376" s="5" t="str">
        <f>HYPERLINK("https://creighton-primo.hosted.exlibrisgroup.com/primo-explore/search?tab=default_tab&amp;search_scope=EVERYTHING&amp;vid=01CRU&amp;lang=en_US&amp;offset=0&amp;query=any,contains,991001025579702656","Catalog Record")</f>
        <v>Catalog Record</v>
      </c>
      <c r="AV376" s="5" t="str">
        <f>HYPERLINK("http://www.worldcat.org/oclc/24808026","WorldCat Record")</f>
        <v>WorldCat Record</v>
      </c>
      <c r="AW376" s="2" t="s">
        <v>4908</v>
      </c>
      <c r="AX376" s="2" t="s">
        <v>4909</v>
      </c>
      <c r="AY376" s="2" t="s">
        <v>4910</v>
      </c>
      <c r="AZ376" s="2" t="s">
        <v>4910</v>
      </c>
      <c r="BA376" s="2" t="s">
        <v>4911</v>
      </c>
      <c r="BB376" s="2" t="s">
        <v>79</v>
      </c>
      <c r="BD376" s="2" t="s">
        <v>4912</v>
      </c>
      <c r="BE376" s="2" t="s">
        <v>4913</v>
      </c>
      <c r="BF376" s="2" t="s">
        <v>4914</v>
      </c>
    </row>
    <row r="377" spans="1:58" ht="46.5" customHeight="1">
      <c r="A377" s="1"/>
      <c r="B377" s="1" t="s">
        <v>58</v>
      </c>
      <c r="C377" s="1" t="s">
        <v>59</v>
      </c>
      <c r="D377" s="1" t="s">
        <v>4915</v>
      </c>
      <c r="E377" s="1" t="s">
        <v>4916</v>
      </c>
      <c r="F377" s="1" t="s">
        <v>4917</v>
      </c>
      <c r="H377" s="2" t="s">
        <v>63</v>
      </c>
      <c r="I377" s="2" t="s">
        <v>64</v>
      </c>
      <c r="J377" s="2" t="s">
        <v>63</v>
      </c>
      <c r="K377" s="2" t="s">
        <v>63</v>
      </c>
      <c r="L377" s="2" t="s">
        <v>65</v>
      </c>
      <c r="M377" s="1" t="s">
        <v>4918</v>
      </c>
      <c r="N377" s="1" t="s">
        <v>4919</v>
      </c>
      <c r="O377" s="2" t="s">
        <v>4572</v>
      </c>
      <c r="Q377" s="2" t="s">
        <v>70</v>
      </c>
      <c r="R377" s="2" t="s">
        <v>277</v>
      </c>
      <c r="T377" s="2" t="s">
        <v>72</v>
      </c>
      <c r="U377" s="3">
        <v>1</v>
      </c>
      <c r="V377" s="3">
        <v>1</v>
      </c>
      <c r="W377" s="4" t="s">
        <v>4920</v>
      </c>
      <c r="X377" s="4" t="s">
        <v>4920</v>
      </c>
      <c r="Y377" s="4" t="s">
        <v>2062</v>
      </c>
      <c r="Z377" s="4" t="s">
        <v>2062</v>
      </c>
      <c r="AA377" s="3">
        <v>335</v>
      </c>
      <c r="AB377" s="3">
        <v>314</v>
      </c>
      <c r="AC377" s="3">
        <v>605</v>
      </c>
      <c r="AD377" s="3">
        <v>5</v>
      </c>
      <c r="AE377" s="3">
        <v>6</v>
      </c>
      <c r="AF377" s="3">
        <v>13</v>
      </c>
      <c r="AG377" s="3">
        <v>15</v>
      </c>
      <c r="AH377" s="3">
        <v>2</v>
      </c>
      <c r="AI377" s="3">
        <v>4</v>
      </c>
      <c r="AJ377" s="3">
        <v>3</v>
      </c>
      <c r="AK377" s="3">
        <v>3</v>
      </c>
      <c r="AL377" s="3">
        <v>5</v>
      </c>
      <c r="AM377" s="3">
        <v>6</v>
      </c>
      <c r="AN377" s="3">
        <v>4</v>
      </c>
      <c r="AO377" s="3">
        <v>4</v>
      </c>
      <c r="AP377" s="3">
        <v>0</v>
      </c>
      <c r="AQ377" s="3">
        <v>0</v>
      </c>
      <c r="AR377" s="2" t="s">
        <v>63</v>
      </c>
      <c r="AS377" s="2" t="s">
        <v>92</v>
      </c>
      <c r="AT377" s="5" t="str">
        <f>HYPERLINK("http://catalog.hathitrust.org/Record/001569651","HathiTrust Record")</f>
        <v>HathiTrust Record</v>
      </c>
      <c r="AU377" s="5" t="str">
        <f>HYPERLINK("https://creighton-primo.hosted.exlibrisgroup.com/primo-explore/search?tab=default_tab&amp;search_scope=EVERYTHING&amp;vid=01CRU&amp;lang=en_US&amp;offset=0&amp;query=any,contains,991000960059702656","Catalog Record")</f>
        <v>Catalog Record</v>
      </c>
      <c r="AV377" s="5" t="str">
        <f>HYPERLINK("http://www.worldcat.org/oclc/30564","WorldCat Record")</f>
        <v>WorldCat Record</v>
      </c>
      <c r="AW377" s="2" t="s">
        <v>4921</v>
      </c>
      <c r="AX377" s="2" t="s">
        <v>4922</v>
      </c>
      <c r="AY377" s="2" t="s">
        <v>4923</v>
      </c>
      <c r="AZ377" s="2" t="s">
        <v>4923</v>
      </c>
      <c r="BA377" s="2" t="s">
        <v>4924</v>
      </c>
      <c r="BB377" s="2" t="s">
        <v>79</v>
      </c>
      <c r="BE377" s="2" t="s">
        <v>4925</v>
      </c>
      <c r="BF377" s="2" t="s">
        <v>4926</v>
      </c>
    </row>
    <row r="378" spans="1:58" ht="46.5" customHeight="1">
      <c r="A378" s="1"/>
      <c r="B378" s="1" t="s">
        <v>58</v>
      </c>
      <c r="C378" s="1" t="s">
        <v>59</v>
      </c>
      <c r="D378" s="1" t="s">
        <v>4927</v>
      </c>
      <c r="E378" s="1" t="s">
        <v>4928</v>
      </c>
      <c r="F378" s="1" t="s">
        <v>4929</v>
      </c>
      <c r="H378" s="2" t="s">
        <v>63</v>
      </c>
      <c r="I378" s="2" t="s">
        <v>64</v>
      </c>
      <c r="J378" s="2" t="s">
        <v>63</v>
      </c>
      <c r="K378" s="2" t="s">
        <v>63</v>
      </c>
      <c r="L378" s="2" t="s">
        <v>65</v>
      </c>
      <c r="M378" s="1" t="s">
        <v>4930</v>
      </c>
      <c r="N378" s="1" t="s">
        <v>4931</v>
      </c>
      <c r="O378" s="2" t="s">
        <v>4932</v>
      </c>
      <c r="P378" s="1" t="s">
        <v>4933</v>
      </c>
      <c r="Q378" s="2" t="s">
        <v>70</v>
      </c>
      <c r="R378" s="2" t="s">
        <v>555</v>
      </c>
      <c r="T378" s="2" t="s">
        <v>72</v>
      </c>
      <c r="U378" s="3">
        <v>2</v>
      </c>
      <c r="V378" s="3">
        <v>2</v>
      </c>
      <c r="W378" s="4" t="s">
        <v>4934</v>
      </c>
      <c r="X378" s="4" t="s">
        <v>4934</v>
      </c>
      <c r="Y378" s="4" t="s">
        <v>3914</v>
      </c>
      <c r="Z378" s="4" t="s">
        <v>3914</v>
      </c>
      <c r="AA378" s="3">
        <v>151</v>
      </c>
      <c r="AB378" s="3">
        <v>112</v>
      </c>
      <c r="AC378" s="3">
        <v>115</v>
      </c>
      <c r="AD378" s="3">
        <v>1</v>
      </c>
      <c r="AE378" s="3">
        <v>1</v>
      </c>
      <c r="AF378" s="3">
        <v>1</v>
      </c>
      <c r="AG378" s="3">
        <v>1</v>
      </c>
      <c r="AH378" s="3">
        <v>0</v>
      </c>
      <c r="AI378" s="3">
        <v>0</v>
      </c>
      <c r="AJ378" s="3">
        <v>0</v>
      </c>
      <c r="AK378" s="3">
        <v>0</v>
      </c>
      <c r="AL378" s="3">
        <v>1</v>
      </c>
      <c r="AM378" s="3">
        <v>1</v>
      </c>
      <c r="AN378" s="3">
        <v>0</v>
      </c>
      <c r="AO378" s="3">
        <v>0</v>
      </c>
      <c r="AP378" s="3">
        <v>0</v>
      </c>
      <c r="AQ378" s="3">
        <v>0</v>
      </c>
      <c r="AR378" s="2" t="s">
        <v>63</v>
      </c>
      <c r="AS378" s="2" t="s">
        <v>92</v>
      </c>
      <c r="AT378" s="5" t="str">
        <f>HYPERLINK("http://catalog.hathitrust.org/Record/001576933","HathiTrust Record")</f>
        <v>HathiTrust Record</v>
      </c>
      <c r="AU378" s="5" t="str">
        <f>HYPERLINK("https://creighton-primo.hosted.exlibrisgroup.com/primo-explore/search?tab=default_tab&amp;search_scope=EVERYTHING&amp;vid=01CRU&amp;lang=en_US&amp;offset=0&amp;query=any,contains,991000960019702656","Catalog Record")</f>
        <v>Catalog Record</v>
      </c>
      <c r="AV378" s="5" t="str">
        <f>HYPERLINK("http://www.worldcat.org/oclc/559626","WorldCat Record")</f>
        <v>WorldCat Record</v>
      </c>
      <c r="AW378" s="2" t="s">
        <v>4935</v>
      </c>
      <c r="AX378" s="2" t="s">
        <v>4936</v>
      </c>
      <c r="AY378" s="2" t="s">
        <v>4937</v>
      </c>
      <c r="AZ378" s="2" t="s">
        <v>4937</v>
      </c>
      <c r="BA378" s="2" t="s">
        <v>4938</v>
      </c>
      <c r="BB378" s="2" t="s">
        <v>79</v>
      </c>
      <c r="BE378" s="2" t="s">
        <v>4939</v>
      </c>
      <c r="BF378" s="2" t="s">
        <v>4940</v>
      </c>
    </row>
    <row r="379" spans="1:58" ht="46.5" customHeight="1">
      <c r="A379" s="1"/>
      <c r="B379" s="1" t="s">
        <v>58</v>
      </c>
      <c r="C379" s="1" t="s">
        <v>59</v>
      </c>
      <c r="D379" s="1" t="s">
        <v>4941</v>
      </c>
      <c r="E379" s="1" t="s">
        <v>4942</v>
      </c>
      <c r="F379" s="1" t="s">
        <v>4943</v>
      </c>
      <c r="H379" s="2" t="s">
        <v>63</v>
      </c>
      <c r="I379" s="2" t="s">
        <v>64</v>
      </c>
      <c r="J379" s="2" t="s">
        <v>63</v>
      </c>
      <c r="K379" s="2" t="s">
        <v>63</v>
      </c>
      <c r="L379" s="2" t="s">
        <v>65</v>
      </c>
      <c r="N379" s="1" t="s">
        <v>3370</v>
      </c>
      <c r="O379" s="2" t="s">
        <v>132</v>
      </c>
      <c r="Q379" s="2" t="s">
        <v>70</v>
      </c>
      <c r="R379" s="2" t="s">
        <v>1541</v>
      </c>
      <c r="T379" s="2" t="s">
        <v>72</v>
      </c>
      <c r="U379" s="3">
        <v>11</v>
      </c>
      <c r="V379" s="3">
        <v>11</v>
      </c>
      <c r="W379" s="4" t="s">
        <v>4944</v>
      </c>
      <c r="X379" s="4" t="s">
        <v>4944</v>
      </c>
      <c r="Y379" s="4" t="s">
        <v>4945</v>
      </c>
      <c r="Z379" s="4" t="s">
        <v>4945</v>
      </c>
      <c r="AA379" s="3">
        <v>120</v>
      </c>
      <c r="AB379" s="3">
        <v>86</v>
      </c>
      <c r="AC379" s="3">
        <v>122</v>
      </c>
      <c r="AD379" s="3">
        <v>2</v>
      </c>
      <c r="AE379" s="3">
        <v>2</v>
      </c>
      <c r="AF379" s="3">
        <v>2</v>
      </c>
      <c r="AG379" s="3">
        <v>2</v>
      </c>
      <c r="AH379" s="3">
        <v>0</v>
      </c>
      <c r="AI379" s="3">
        <v>0</v>
      </c>
      <c r="AJ379" s="3">
        <v>1</v>
      </c>
      <c r="AK379" s="3">
        <v>1</v>
      </c>
      <c r="AL379" s="3">
        <v>0</v>
      </c>
      <c r="AM379" s="3">
        <v>0</v>
      </c>
      <c r="AN379" s="3">
        <v>1</v>
      </c>
      <c r="AO379" s="3">
        <v>1</v>
      </c>
      <c r="AP379" s="3">
        <v>0</v>
      </c>
      <c r="AQ379" s="3">
        <v>0</v>
      </c>
      <c r="AR379" s="2" t="s">
        <v>63</v>
      </c>
      <c r="AS379" s="2" t="s">
        <v>63</v>
      </c>
      <c r="AU379" s="5" t="str">
        <f>HYPERLINK("https://creighton-primo.hosted.exlibrisgroup.com/primo-explore/search?tab=default_tab&amp;search_scope=EVERYTHING&amp;vid=01CRU&amp;lang=en_US&amp;offset=0&amp;query=any,contains,991001341579702656","Catalog Record")</f>
        <v>Catalog Record</v>
      </c>
      <c r="AV379" s="5" t="str">
        <f>HYPERLINK("http://www.worldcat.org/oclc/25282412","WorldCat Record")</f>
        <v>WorldCat Record</v>
      </c>
      <c r="AW379" s="2" t="s">
        <v>4946</v>
      </c>
      <c r="AX379" s="2" t="s">
        <v>4947</v>
      </c>
      <c r="AY379" s="2" t="s">
        <v>4948</v>
      </c>
      <c r="AZ379" s="2" t="s">
        <v>4948</v>
      </c>
      <c r="BA379" s="2" t="s">
        <v>4949</v>
      </c>
      <c r="BB379" s="2" t="s">
        <v>79</v>
      </c>
      <c r="BD379" s="2" t="s">
        <v>4950</v>
      </c>
      <c r="BE379" s="2" t="s">
        <v>4951</v>
      </c>
      <c r="BF379" s="2" t="s">
        <v>4952</v>
      </c>
    </row>
    <row r="380" spans="1:58" ht="46.5" customHeight="1">
      <c r="A380" s="1"/>
      <c r="B380" s="1" t="s">
        <v>58</v>
      </c>
      <c r="C380" s="1" t="s">
        <v>59</v>
      </c>
      <c r="D380" s="1" t="s">
        <v>4953</v>
      </c>
      <c r="E380" s="1" t="s">
        <v>4954</v>
      </c>
      <c r="F380" s="1" t="s">
        <v>4955</v>
      </c>
      <c r="H380" s="2" t="s">
        <v>63</v>
      </c>
      <c r="I380" s="2" t="s">
        <v>64</v>
      </c>
      <c r="J380" s="2" t="s">
        <v>63</v>
      </c>
      <c r="K380" s="2" t="s">
        <v>63</v>
      </c>
      <c r="L380" s="2" t="s">
        <v>65</v>
      </c>
      <c r="N380" s="1" t="s">
        <v>4956</v>
      </c>
      <c r="O380" s="2" t="s">
        <v>554</v>
      </c>
      <c r="Q380" s="2" t="s">
        <v>70</v>
      </c>
      <c r="R380" s="2" t="s">
        <v>377</v>
      </c>
      <c r="T380" s="2" t="s">
        <v>72</v>
      </c>
      <c r="U380" s="3">
        <v>9</v>
      </c>
      <c r="V380" s="3">
        <v>9</v>
      </c>
      <c r="W380" s="4" t="s">
        <v>4957</v>
      </c>
      <c r="X380" s="4" t="s">
        <v>4957</v>
      </c>
      <c r="Y380" s="4" t="s">
        <v>4958</v>
      </c>
      <c r="Z380" s="4" t="s">
        <v>4958</v>
      </c>
      <c r="AA380" s="3">
        <v>117</v>
      </c>
      <c r="AB380" s="3">
        <v>69</v>
      </c>
      <c r="AC380" s="3">
        <v>71</v>
      </c>
      <c r="AD380" s="3">
        <v>1</v>
      </c>
      <c r="AE380" s="3">
        <v>1</v>
      </c>
      <c r="AF380" s="3">
        <v>2</v>
      </c>
      <c r="AG380" s="3">
        <v>2</v>
      </c>
      <c r="AH380" s="3">
        <v>1</v>
      </c>
      <c r="AI380" s="3">
        <v>1</v>
      </c>
      <c r="AJ380" s="3">
        <v>0</v>
      </c>
      <c r="AK380" s="3">
        <v>0</v>
      </c>
      <c r="AL380" s="3">
        <v>2</v>
      </c>
      <c r="AM380" s="3">
        <v>2</v>
      </c>
      <c r="AN380" s="3">
        <v>0</v>
      </c>
      <c r="AO380" s="3">
        <v>0</v>
      </c>
      <c r="AP380" s="3">
        <v>0</v>
      </c>
      <c r="AQ380" s="3">
        <v>0</v>
      </c>
      <c r="AR380" s="2" t="s">
        <v>63</v>
      </c>
      <c r="AS380" s="2" t="s">
        <v>92</v>
      </c>
      <c r="AT380" s="5" t="str">
        <f>HYPERLINK("http://catalog.hathitrust.org/Record/002981869","HathiTrust Record")</f>
        <v>HathiTrust Record</v>
      </c>
      <c r="AU380" s="5" t="str">
        <f>HYPERLINK("https://creighton-primo.hosted.exlibrisgroup.com/primo-explore/search?tab=default_tab&amp;search_scope=EVERYTHING&amp;vid=01CRU&amp;lang=en_US&amp;offset=0&amp;query=any,contains,991000677509702656","Catalog Record")</f>
        <v>Catalog Record</v>
      </c>
      <c r="AV380" s="5" t="str">
        <f>HYPERLINK("http://www.worldcat.org/oclc/30493282","WorldCat Record")</f>
        <v>WorldCat Record</v>
      </c>
      <c r="AW380" s="2" t="s">
        <v>4959</v>
      </c>
      <c r="AX380" s="2" t="s">
        <v>4960</v>
      </c>
      <c r="AY380" s="2" t="s">
        <v>4961</v>
      </c>
      <c r="AZ380" s="2" t="s">
        <v>4961</v>
      </c>
      <c r="BA380" s="2" t="s">
        <v>4962</v>
      </c>
      <c r="BB380" s="2" t="s">
        <v>79</v>
      </c>
      <c r="BD380" s="2" t="s">
        <v>4963</v>
      </c>
      <c r="BE380" s="2" t="s">
        <v>4964</v>
      </c>
      <c r="BF380" s="2" t="s">
        <v>4965</v>
      </c>
    </row>
    <row r="381" spans="1:58" ht="46.5" customHeight="1">
      <c r="A381" s="1"/>
      <c r="B381" s="1" t="s">
        <v>58</v>
      </c>
      <c r="C381" s="1" t="s">
        <v>59</v>
      </c>
      <c r="D381" s="1" t="s">
        <v>4966</v>
      </c>
      <c r="E381" s="1" t="s">
        <v>4967</v>
      </c>
      <c r="F381" s="1" t="s">
        <v>4968</v>
      </c>
      <c r="H381" s="2" t="s">
        <v>63</v>
      </c>
      <c r="I381" s="2" t="s">
        <v>64</v>
      </c>
      <c r="J381" s="2" t="s">
        <v>63</v>
      </c>
      <c r="K381" s="2" t="s">
        <v>63</v>
      </c>
      <c r="L381" s="2" t="s">
        <v>65</v>
      </c>
      <c r="M381" s="1" t="s">
        <v>4969</v>
      </c>
      <c r="N381" s="1" t="s">
        <v>4970</v>
      </c>
      <c r="O381" s="2" t="s">
        <v>1585</v>
      </c>
      <c r="Q381" s="2" t="s">
        <v>70</v>
      </c>
      <c r="R381" s="2" t="s">
        <v>691</v>
      </c>
      <c r="T381" s="2" t="s">
        <v>72</v>
      </c>
      <c r="U381" s="3">
        <v>5</v>
      </c>
      <c r="V381" s="3">
        <v>5</v>
      </c>
      <c r="W381" s="4" t="s">
        <v>4971</v>
      </c>
      <c r="X381" s="4" t="s">
        <v>4971</v>
      </c>
      <c r="Y381" s="4" t="s">
        <v>3914</v>
      </c>
      <c r="Z381" s="4" t="s">
        <v>3914</v>
      </c>
      <c r="AA381" s="3">
        <v>23</v>
      </c>
      <c r="AB381" s="3">
        <v>16</v>
      </c>
      <c r="AC381" s="3">
        <v>16</v>
      </c>
      <c r="AD381" s="3">
        <v>1</v>
      </c>
      <c r="AE381" s="3">
        <v>1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2" t="s">
        <v>63</v>
      </c>
      <c r="AS381" s="2" t="s">
        <v>63</v>
      </c>
      <c r="AU381" s="5" t="str">
        <f>HYPERLINK("https://creighton-primo.hosted.exlibrisgroup.com/primo-explore/search?tab=default_tab&amp;search_scope=EVERYTHING&amp;vid=01CRU&amp;lang=en_US&amp;offset=0&amp;query=any,contains,991000959979702656","Catalog Record")</f>
        <v>Catalog Record</v>
      </c>
      <c r="AV381" s="5" t="str">
        <f>HYPERLINK("http://www.worldcat.org/oclc/1201484","WorldCat Record")</f>
        <v>WorldCat Record</v>
      </c>
      <c r="AW381" s="2" t="s">
        <v>4972</v>
      </c>
      <c r="AX381" s="2" t="s">
        <v>4973</v>
      </c>
      <c r="AY381" s="2" t="s">
        <v>4974</v>
      </c>
      <c r="AZ381" s="2" t="s">
        <v>4974</v>
      </c>
      <c r="BA381" s="2" t="s">
        <v>4975</v>
      </c>
      <c r="BB381" s="2" t="s">
        <v>79</v>
      </c>
      <c r="BE381" s="2" t="s">
        <v>4976</v>
      </c>
      <c r="BF381" s="2" t="s">
        <v>4977</v>
      </c>
    </row>
    <row r="382" spans="1:58" ht="46.5" customHeight="1">
      <c r="A382" s="1"/>
      <c r="B382" s="1" t="s">
        <v>58</v>
      </c>
      <c r="C382" s="1" t="s">
        <v>59</v>
      </c>
      <c r="D382" s="1" t="s">
        <v>4978</v>
      </c>
      <c r="E382" s="1" t="s">
        <v>4979</v>
      </c>
      <c r="F382" s="1" t="s">
        <v>4980</v>
      </c>
      <c r="H382" s="2" t="s">
        <v>63</v>
      </c>
      <c r="I382" s="2" t="s">
        <v>64</v>
      </c>
      <c r="J382" s="2" t="s">
        <v>63</v>
      </c>
      <c r="K382" s="2" t="s">
        <v>63</v>
      </c>
      <c r="L382" s="2" t="s">
        <v>65</v>
      </c>
      <c r="M382" s="1" t="s">
        <v>4981</v>
      </c>
      <c r="N382" s="1" t="s">
        <v>3051</v>
      </c>
      <c r="O382" s="2" t="s">
        <v>104</v>
      </c>
      <c r="Q382" s="2" t="s">
        <v>70</v>
      </c>
      <c r="R382" s="2" t="s">
        <v>3037</v>
      </c>
      <c r="T382" s="2" t="s">
        <v>72</v>
      </c>
      <c r="U382" s="3">
        <v>4</v>
      </c>
      <c r="V382" s="3">
        <v>4</v>
      </c>
      <c r="W382" s="4" t="s">
        <v>4982</v>
      </c>
      <c r="X382" s="4" t="s">
        <v>4982</v>
      </c>
      <c r="Y382" s="4" t="s">
        <v>3387</v>
      </c>
      <c r="Z382" s="4" t="s">
        <v>3387</v>
      </c>
      <c r="AA382" s="3">
        <v>86</v>
      </c>
      <c r="AB382" s="3">
        <v>53</v>
      </c>
      <c r="AC382" s="3">
        <v>55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1</v>
      </c>
      <c r="AN382" s="3">
        <v>0</v>
      </c>
      <c r="AO382" s="3">
        <v>0</v>
      </c>
      <c r="AP382" s="3">
        <v>0</v>
      </c>
      <c r="AQ382" s="3">
        <v>0</v>
      </c>
      <c r="AR382" s="2" t="s">
        <v>63</v>
      </c>
      <c r="AS382" s="2" t="s">
        <v>92</v>
      </c>
      <c r="AT382" s="5" t="str">
        <f>HYPERLINK("http://catalog.hathitrust.org/Record/000806932","HathiTrust Record")</f>
        <v>HathiTrust Record</v>
      </c>
      <c r="AU382" s="5" t="str">
        <f>HYPERLINK("https://creighton-primo.hosted.exlibrisgroup.com/primo-explore/search?tab=default_tab&amp;search_scope=EVERYTHING&amp;vid=01CRU&amp;lang=en_US&amp;offset=0&amp;query=any,contains,991000959929702656","Catalog Record")</f>
        <v>Catalog Record</v>
      </c>
      <c r="AV382" s="5" t="str">
        <f>HYPERLINK("http://www.worldcat.org/oclc/12418782","WorldCat Record")</f>
        <v>WorldCat Record</v>
      </c>
      <c r="AW382" s="2" t="s">
        <v>4983</v>
      </c>
      <c r="AX382" s="2" t="s">
        <v>4984</v>
      </c>
      <c r="AY382" s="2" t="s">
        <v>4985</v>
      </c>
      <c r="AZ382" s="2" t="s">
        <v>4985</v>
      </c>
      <c r="BA382" s="2" t="s">
        <v>4986</v>
      </c>
      <c r="BB382" s="2" t="s">
        <v>79</v>
      </c>
      <c r="BD382" s="2" t="s">
        <v>4987</v>
      </c>
      <c r="BE382" s="2" t="s">
        <v>4988</v>
      </c>
      <c r="BF382" s="2" t="s">
        <v>4989</v>
      </c>
    </row>
    <row r="383" spans="1:58" ht="46.5" customHeight="1">
      <c r="A383" s="1"/>
      <c r="B383" s="1" t="s">
        <v>58</v>
      </c>
      <c r="C383" s="1" t="s">
        <v>59</v>
      </c>
      <c r="D383" s="1" t="s">
        <v>4990</v>
      </c>
      <c r="E383" s="1" t="s">
        <v>4991</v>
      </c>
      <c r="F383" s="1" t="s">
        <v>4992</v>
      </c>
      <c r="H383" s="2" t="s">
        <v>63</v>
      </c>
      <c r="I383" s="2" t="s">
        <v>64</v>
      </c>
      <c r="J383" s="2" t="s">
        <v>63</v>
      </c>
      <c r="K383" s="2" t="s">
        <v>63</v>
      </c>
      <c r="L383" s="2" t="s">
        <v>65</v>
      </c>
      <c r="M383" s="1" t="s">
        <v>4993</v>
      </c>
      <c r="N383" s="1" t="s">
        <v>4994</v>
      </c>
      <c r="O383" s="2" t="s">
        <v>1856</v>
      </c>
      <c r="Q383" s="2" t="s">
        <v>70</v>
      </c>
      <c r="R383" s="2" t="s">
        <v>89</v>
      </c>
      <c r="T383" s="2" t="s">
        <v>72</v>
      </c>
      <c r="U383" s="3">
        <v>3</v>
      </c>
      <c r="V383" s="3">
        <v>3</v>
      </c>
      <c r="W383" s="4" t="s">
        <v>4995</v>
      </c>
      <c r="X383" s="4" t="s">
        <v>4995</v>
      </c>
      <c r="Y383" s="4" t="s">
        <v>4996</v>
      </c>
      <c r="Z383" s="4" t="s">
        <v>4996</v>
      </c>
      <c r="AA383" s="3">
        <v>81</v>
      </c>
      <c r="AB383" s="3">
        <v>48</v>
      </c>
      <c r="AC383" s="3">
        <v>50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1</v>
      </c>
      <c r="AN383" s="3">
        <v>0</v>
      </c>
      <c r="AO383" s="3">
        <v>0</v>
      </c>
      <c r="AP383" s="3">
        <v>0</v>
      </c>
      <c r="AQ383" s="3">
        <v>0</v>
      </c>
      <c r="AR383" s="2" t="s">
        <v>63</v>
      </c>
      <c r="AS383" s="2" t="s">
        <v>92</v>
      </c>
      <c r="AT383" s="5" t="str">
        <f>HYPERLINK("http://catalog.hathitrust.org/Record/003794812","HathiTrust Record")</f>
        <v>HathiTrust Record</v>
      </c>
      <c r="AU383" s="5" t="str">
        <f>HYPERLINK("https://creighton-primo.hosted.exlibrisgroup.com/primo-explore/search?tab=default_tab&amp;search_scope=EVERYTHING&amp;vid=01CRU&amp;lang=en_US&amp;offset=0&amp;query=any,contains,991000960259702656","Catalog Record")</f>
        <v>Catalog Record</v>
      </c>
      <c r="AV383" s="5" t="str">
        <f>HYPERLINK("http://www.worldcat.org/oclc/6581208","WorldCat Record")</f>
        <v>WorldCat Record</v>
      </c>
      <c r="AW383" s="2" t="s">
        <v>4997</v>
      </c>
      <c r="AX383" s="2" t="s">
        <v>4998</v>
      </c>
      <c r="AY383" s="2" t="s">
        <v>4999</v>
      </c>
      <c r="AZ383" s="2" t="s">
        <v>4999</v>
      </c>
      <c r="BA383" s="2" t="s">
        <v>5000</v>
      </c>
      <c r="BB383" s="2" t="s">
        <v>79</v>
      </c>
      <c r="BD383" s="2" t="s">
        <v>5001</v>
      </c>
      <c r="BE383" s="2" t="s">
        <v>5002</v>
      </c>
      <c r="BF383" s="2" t="s">
        <v>5003</v>
      </c>
    </row>
    <row r="384" spans="1:58" ht="46.5" customHeight="1">
      <c r="A384" s="1"/>
      <c r="B384" s="1" t="s">
        <v>58</v>
      </c>
      <c r="C384" s="1" t="s">
        <v>59</v>
      </c>
      <c r="D384" s="1" t="s">
        <v>5004</v>
      </c>
      <c r="E384" s="1" t="s">
        <v>5005</v>
      </c>
      <c r="F384" s="1" t="s">
        <v>5006</v>
      </c>
      <c r="H384" s="2" t="s">
        <v>63</v>
      </c>
      <c r="I384" s="2" t="s">
        <v>64</v>
      </c>
      <c r="J384" s="2" t="s">
        <v>63</v>
      </c>
      <c r="K384" s="2" t="s">
        <v>63</v>
      </c>
      <c r="L384" s="2" t="s">
        <v>65</v>
      </c>
      <c r="N384" s="1" t="s">
        <v>5007</v>
      </c>
      <c r="O384" s="2" t="s">
        <v>1241</v>
      </c>
      <c r="Q384" s="2" t="s">
        <v>70</v>
      </c>
      <c r="R384" s="2" t="s">
        <v>277</v>
      </c>
      <c r="T384" s="2" t="s">
        <v>72</v>
      </c>
      <c r="U384" s="3">
        <v>0</v>
      </c>
      <c r="V384" s="3">
        <v>0</v>
      </c>
      <c r="W384" s="4" t="s">
        <v>5008</v>
      </c>
      <c r="X384" s="4" t="s">
        <v>5008</v>
      </c>
      <c r="Y384" s="4" t="s">
        <v>5008</v>
      </c>
      <c r="Z384" s="4" t="s">
        <v>5008</v>
      </c>
      <c r="AA384" s="3">
        <v>20</v>
      </c>
      <c r="AB384" s="3">
        <v>15</v>
      </c>
      <c r="AC384" s="3">
        <v>15</v>
      </c>
      <c r="AD384" s="3">
        <v>1</v>
      </c>
      <c r="AE384" s="3">
        <v>1</v>
      </c>
      <c r="AF384" s="3">
        <v>1</v>
      </c>
      <c r="AG384" s="3">
        <v>1</v>
      </c>
      <c r="AH384" s="3">
        <v>0</v>
      </c>
      <c r="AI384" s="3">
        <v>0</v>
      </c>
      <c r="AJ384" s="3">
        <v>1</v>
      </c>
      <c r="AK384" s="3">
        <v>1</v>
      </c>
      <c r="AL384" s="3">
        <v>1</v>
      </c>
      <c r="AM384" s="3">
        <v>1</v>
      </c>
      <c r="AN384" s="3">
        <v>0</v>
      </c>
      <c r="AO384" s="3">
        <v>0</v>
      </c>
      <c r="AP384" s="3">
        <v>0</v>
      </c>
      <c r="AQ384" s="3">
        <v>0</v>
      </c>
      <c r="AR384" s="2" t="s">
        <v>63</v>
      </c>
      <c r="AS384" s="2" t="s">
        <v>63</v>
      </c>
      <c r="AU384" s="5" t="str">
        <f>HYPERLINK("https://creighton-primo.hosted.exlibrisgroup.com/primo-explore/search?tab=default_tab&amp;search_scope=EVERYTHING&amp;vid=01CRU&amp;lang=en_US&amp;offset=0&amp;query=any,contains,991001323939702656","Catalog Record")</f>
        <v>Catalog Record</v>
      </c>
      <c r="AV384" s="5" t="str">
        <f>HYPERLINK("http://www.worldcat.org/oclc/165048857","WorldCat Record")</f>
        <v>WorldCat Record</v>
      </c>
      <c r="AW384" s="2" t="s">
        <v>5009</v>
      </c>
      <c r="AX384" s="2" t="s">
        <v>5010</v>
      </c>
      <c r="AY384" s="2" t="s">
        <v>5011</v>
      </c>
      <c r="AZ384" s="2" t="s">
        <v>5011</v>
      </c>
      <c r="BA384" s="2" t="s">
        <v>5012</v>
      </c>
      <c r="BB384" s="2" t="s">
        <v>79</v>
      </c>
      <c r="BD384" s="2" t="s">
        <v>5013</v>
      </c>
      <c r="BE384" s="2" t="s">
        <v>5014</v>
      </c>
      <c r="BF384" s="2" t="s">
        <v>5015</v>
      </c>
    </row>
    <row r="385" spans="1:58" ht="46.5" customHeight="1">
      <c r="A385" s="1"/>
      <c r="B385" s="1" t="s">
        <v>58</v>
      </c>
      <c r="C385" s="1" t="s">
        <v>59</v>
      </c>
      <c r="D385" s="1" t="s">
        <v>5016</v>
      </c>
      <c r="E385" s="1" t="s">
        <v>5017</v>
      </c>
      <c r="F385" s="1" t="s">
        <v>5018</v>
      </c>
      <c r="H385" s="2" t="s">
        <v>63</v>
      </c>
      <c r="I385" s="2" t="s">
        <v>64</v>
      </c>
      <c r="J385" s="2" t="s">
        <v>63</v>
      </c>
      <c r="K385" s="2" t="s">
        <v>63</v>
      </c>
      <c r="L385" s="2" t="s">
        <v>65</v>
      </c>
      <c r="M385" s="1" t="s">
        <v>5019</v>
      </c>
      <c r="N385" s="1" t="s">
        <v>5020</v>
      </c>
      <c r="O385" s="2" t="s">
        <v>215</v>
      </c>
      <c r="Q385" s="2" t="s">
        <v>70</v>
      </c>
      <c r="R385" s="2" t="s">
        <v>1071</v>
      </c>
      <c r="S385" s="1" t="s">
        <v>732</v>
      </c>
      <c r="T385" s="2" t="s">
        <v>72</v>
      </c>
      <c r="U385" s="3">
        <v>3</v>
      </c>
      <c r="V385" s="3">
        <v>3</v>
      </c>
      <c r="W385" s="4" t="s">
        <v>5021</v>
      </c>
      <c r="X385" s="4" t="s">
        <v>5021</v>
      </c>
      <c r="Y385" s="4" t="s">
        <v>5022</v>
      </c>
      <c r="Z385" s="4" t="s">
        <v>5022</v>
      </c>
      <c r="AA385" s="3">
        <v>104</v>
      </c>
      <c r="AB385" s="3">
        <v>74</v>
      </c>
      <c r="AC385" s="3">
        <v>76</v>
      </c>
      <c r="AD385" s="3">
        <v>1</v>
      </c>
      <c r="AE385" s="3">
        <v>1</v>
      </c>
      <c r="AF385" s="3">
        <v>2</v>
      </c>
      <c r="AG385" s="3">
        <v>2</v>
      </c>
      <c r="AH385" s="3">
        <v>0</v>
      </c>
      <c r="AI385" s="3">
        <v>0</v>
      </c>
      <c r="AJ385" s="3">
        <v>1</v>
      </c>
      <c r="AK385" s="3">
        <v>1</v>
      </c>
      <c r="AL385" s="3">
        <v>1</v>
      </c>
      <c r="AM385" s="3">
        <v>1</v>
      </c>
      <c r="AN385" s="3">
        <v>0</v>
      </c>
      <c r="AO385" s="3">
        <v>0</v>
      </c>
      <c r="AP385" s="3">
        <v>0</v>
      </c>
      <c r="AQ385" s="3">
        <v>0</v>
      </c>
      <c r="AR385" s="2" t="s">
        <v>63</v>
      </c>
      <c r="AS385" s="2" t="s">
        <v>92</v>
      </c>
      <c r="AT385" s="5" t="str">
        <f>HYPERLINK("http://catalog.hathitrust.org/Record/000456177","HathiTrust Record")</f>
        <v>HathiTrust Record</v>
      </c>
      <c r="AU385" s="5" t="str">
        <f>HYPERLINK("https://creighton-primo.hosted.exlibrisgroup.com/primo-explore/search?tab=default_tab&amp;search_scope=EVERYTHING&amp;vid=01CRU&amp;lang=en_US&amp;offset=0&amp;query=any,contains,991000960299702656","Catalog Record")</f>
        <v>Catalog Record</v>
      </c>
      <c r="AV385" s="5" t="str">
        <f>HYPERLINK("http://www.worldcat.org/oclc/10912707","WorldCat Record")</f>
        <v>WorldCat Record</v>
      </c>
      <c r="AW385" s="2" t="s">
        <v>5023</v>
      </c>
      <c r="AX385" s="2" t="s">
        <v>5024</v>
      </c>
      <c r="AY385" s="2" t="s">
        <v>5025</v>
      </c>
      <c r="AZ385" s="2" t="s">
        <v>5025</v>
      </c>
      <c r="BA385" s="2" t="s">
        <v>5026</v>
      </c>
      <c r="BB385" s="2" t="s">
        <v>79</v>
      </c>
      <c r="BD385" s="2" t="s">
        <v>5027</v>
      </c>
      <c r="BE385" s="2" t="s">
        <v>5028</v>
      </c>
      <c r="BF385" s="2" t="s">
        <v>5029</v>
      </c>
    </row>
    <row r="386" spans="1:58" ht="46.5" customHeight="1">
      <c r="A386" s="1"/>
      <c r="B386" s="1" t="s">
        <v>58</v>
      </c>
      <c r="C386" s="1" t="s">
        <v>59</v>
      </c>
      <c r="D386" s="1" t="s">
        <v>5030</v>
      </c>
      <c r="E386" s="1" t="s">
        <v>5031</v>
      </c>
      <c r="F386" s="1" t="s">
        <v>5032</v>
      </c>
      <c r="H386" s="2" t="s">
        <v>63</v>
      </c>
      <c r="I386" s="2" t="s">
        <v>64</v>
      </c>
      <c r="J386" s="2" t="s">
        <v>63</v>
      </c>
      <c r="K386" s="2" t="s">
        <v>92</v>
      </c>
      <c r="L386" s="2" t="s">
        <v>65</v>
      </c>
      <c r="N386" s="1" t="s">
        <v>5033</v>
      </c>
      <c r="O386" s="2" t="s">
        <v>172</v>
      </c>
      <c r="P386" s="1" t="s">
        <v>259</v>
      </c>
      <c r="Q386" s="2" t="s">
        <v>70</v>
      </c>
      <c r="R386" s="2" t="s">
        <v>89</v>
      </c>
      <c r="T386" s="2" t="s">
        <v>72</v>
      </c>
      <c r="U386" s="3">
        <v>9</v>
      </c>
      <c r="V386" s="3">
        <v>9</v>
      </c>
      <c r="W386" s="4" t="s">
        <v>5034</v>
      </c>
      <c r="X386" s="4" t="s">
        <v>5034</v>
      </c>
      <c r="Y386" s="4" t="s">
        <v>5022</v>
      </c>
      <c r="Z386" s="4" t="s">
        <v>5022</v>
      </c>
      <c r="AA386" s="3">
        <v>331</v>
      </c>
      <c r="AB386" s="3">
        <v>248</v>
      </c>
      <c r="AC386" s="3">
        <v>711</v>
      </c>
      <c r="AD386" s="3">
        <v>1</v>
      </c>
      <c r="AE386" s="3">
        <v>6</v>
      </c>
      <c r="AF386" s="3">
        <v>5</v>
      </c>
      <c r="AG386" s="3">
        <v>18</v>
      </c>
      <c r="AH386" s="3">
        <v>1</v>
      </c>
      <c r="AI386" s="3">
        <v>7</v>
      </c>
      <c r="AJ386" s="3">
        <v>3</v>
      </c>
      <c r="AK386" s="3">
        <v>4</v>
      </c>
      <c r="AL386" s="3">
        <v>3</v>
      </c>
      <c r="AM386" s="3">
        <v>8</v>
      </c>
      <c r="AN386" s="3">
        <v>0</v>
      </c>
      <c r="AO386" s="3">
        <v>4</v>
      </c>
      <c r="AP386" s="3">
        <v>0</v>
      </c>
      <c r="AQ386" s="3">
        <v>0</v>
      </c>
      <c r="AR386" s="2" t="s">
        <v>63</v>
      </c>
      <c r="AS386" s="2" t="s">
        <v>92</v>
      </c>
      <c r="AT386" s="5" t="str">
        <f>HYPERLINK("http://catalog.hathitrust.org/Record/000776175","HathiTrust Record")</f>
        <v>HathiTrust Record</v>
      </c>
      <c r="AU386" s="5" t="str">
        <f>HYPERLINK("https://creighton-primo.hosted.exlibrisgroup.com/primo-explore/search?tab=default_tab&amp;search_scope=EVERYTHING&amp;vid=01CRU&amp;lang=en_US&amp;offset=0&amp;query=any,contains,991000960219702656","Catalog Record")</f>
        <v>Catalog Record</v>
      </c>
      <c r="AV386" s="5" t="str">
        <f>HYPERLINK("http://www.worldcat.org/oclc/9110784","WorldCat Record")</f>
        <v>WorldCat Record</v>
      </c>
      <c r="AW386" s="2" t="s">
        <v>5035</v>
      </c>
      <c r="AX386" s="2" t="s">
        <v>5036</v>
      </c>
      <c r="AY386" s="2" t="s">
        <v>5037</v>
      </c>
      <c r="AZ386" s="2" t="s">
        <v>5037</v>
      </c>
      <c r="BA386" s="2" t="s">
        <v>5038</v>
      </c>
      <c r="BB386" s="2" t="s">
        <v>79</v>
      </c>
      <c r="BD386" s="2" t="s">
        <v>5039</v>
      </c>
      <c r="BE386" s="2" t="s">
        <v>5040</v>
      </c>
      <c r="BF386" s="2" t="s">
        <v>5041</v>
      </c>
    </row>
    <row r="387" spans="1:58" ht="46.5" customHeight="1">
      <c r="A387" s="1"/>
      <c r="B387" s="1" t="s">
        <v>58</v>
      </c>
      <c r="C387" s="1" t="s">
        <v>59</v>
      </c>
      <c r="D387" s="1" t="s">
        <v>5042</v>
      </c>
      <c r="E387" s="1" t="s">
        <v>5043</v>
      </c>
      <c r="F387" s="1" t="s">
        <v>5044</v>
      </c>
      <c r="H387" s="2" t="s">
        <v>63</v>
      </c>
      <c r="I387" s="2" t="s">
        <v>64</v>
      </c>
      <c r="J387" s="2" t="s">
        <v>63</v>
      </c>
      <c r="K387" s="2" t="s">
        <v>63</v>
      </c>
      <c r="L387" s="2" t="s">
        <v>65</v>
      </c>
      <c r="M387" s="1" t="s">
        <v>5045</v>
      </c>
      <c r="N387" s="1" t="s">
        <v>5046</v>
      </c>
      <c r="O387" s="2" t="s">
        <v>554</v>
      </c>
      <c r="Q387" s="2" t="s">
        <v>70</v>
      </c>
      <c r="R387" s="2" t="s">
        <v>1541</v>
      </c>
      <c r="T387" s="2" t="s">
        <v>72</v>
      </c>
      <c r="U387" s="3">
        <v>3</v>
      </c>
      <c r="V387" s="3">
        <v>3</v>
      </c>
      <c r="W387" s="4" t="s">
        <v>5047</v>
      </c>
      <c r="X387" s="4" t="s">
        <v>5047</v>
      </c>
      <c r="Y387" s="4" t="s">
        <v>5048</v>
      </c>
      <c r="Z387" s="4" t="s">
        <v>5048</v>
      </c>
      <c r="AA387" s="3">
        <v>246</v>
      </c>
      <c r="AB387" s="3">
        <v>179</v>
      </c>
      <c r="AC387" s="3">
        <v>179</v>
      </c>
      <c r="AD387" s="3">
        <v>1</v>
      </c>
      <c r="AE387" s="3">
        <v>1</v>
      </c>
      <c r="AF387" s="3">
        <v>4</v>
      </c>
      <c r="AG387" s="3">
        <v>4</v>
      </c>
      <c r="AH387" s="3">
        <v>1</v>
      </c>
      <c r="AI387" s="3">
        <v>1</v>
      </c>
      <c r="AJ387" s="3">
        <v>2</v>
      </c>
      <c r="AK387" s="3">
        <v>2</v>
      </c>
      <c r="AL387" s="3">
        <v>3</v>
      </c>
      <c r="AM387" s="3">
        <v>3</v>
      </c>
      <c r="AN387" s="3">
        <v>0</v>
      </c>
      <c r="AO387" s="3">
        <v>0</v>
      </c>
      <c r="AP387" s="3">
        <v>0</v>
      </c>
      <c r="AQ387" s="3">
        <v>0</v>
      </c>
      <c r="AR387" s="2" t="s">
        <v>63</v>
      </c>
      <c r="AS387" s="2" t="s">
        <v>63</v>
      </c>
      <c r="AU387" s="5" t="str">
        <f>HYPERLINK("https://creighton-primo.hosted.exlibrisgroup.com/primo-explore/search?tab=default_tab&amp;search_scope=EVERYTHING&amp;vid=01CRU&amp;lang=en_US&amp;offset=0&amp;query=any,contains,991000679679702656","Catalog Record")</f>
        <v>Catalog Record</v>
      </c>
      <c r="AV387" s="5" t="str">
        <f>HYPERLINK("http://www.worldcat.org/oclc/28585198","WorldCat Record")</f>
        <v>WorldCat Record</v>
      </c>
      <c r="AW387" s="2" t="s">
        <v>5049</v>
      </c>
      <c r="AX387" s="2" t="s">
        <v>5050</v>
      </c>
      <c r="AY387" s="2" t="s">
        <v>5051</v>
      </c>
      <c r="AZ387" s="2" t="s">
        <v>5051</v>
      </c>
      <c r="BA387" s="2" t="s">
        <v>5052</v>
      </c>
      <c r="BB387" s="2" t="s">
        <v>79</v>
      </c>
      <c r="BD387" s="2" t="s">
        <v>5053</v>
      </c>
      <c r="BE387" s="2" t="s">
        <v>5054</v>
      </c>
      <c r="BF387" s="2" t="s">
        <v>5055</v>
      </c>
    </row>
    <row r="388" spans="1:58" ht="46.5" customHeight="1">
      <c r="A388" s="1"/>
      <c r="B388" s="1" t="s">
        <v>58</v>
      </c>
      <c r="C388" s="1" t="s">
        <v>59</v>
      </c>
      <c r="D388" s="1" t="s">
        <v>5056</v>
      </c>
      <c r="E388" s="1" t="s">
        <v>5057</v>
      </c>
      <c r="F388" s="1" t="s">
        <v>5058</v>
      </c>
      <c r="G388" s="2" t="s">
        <v>2264</v>
      </c>
      <c r="H388" s="2" t="s">
        <v>92</v>
      </c>
      <c r="I388" s="2" t="s">
        <v>64</v>
      </c>
      <c r="J388" s="2" t="s">
        <v>63</v>
      </c>
      <c r="K388" s="2" t="s">
        <v>63</v>
      </c>
      <c r="L388" s="2" t="s">
        <v>65</v>
      </c>
      <c r="N388" s="1" t="s">
        <v>5059</v>
      </c>
      <c r="O388" s="2" t="s">
        <v>104</v>
      </c>
      <c r="Q388" s="2" t="s">
        <v>70</v>
      </c>
      <c r="R388" s="2" t="s">
        <v>89</v>
      </c>
      <c r="T388" s="2" t="s">
        <v>72</v>
      </c>
      <c r="U388" s="3">
        <v>3</v>
      </c>
      <c r="V388" s="3">
        <v>11</v>
      </c>
      <c r="W388" s="4" t="s">
        <v>5060</v>
      </c>
      <c r="X388" s="4" t="s">
        <v>2646</v>
      </c>
      <c r="Y388" s="4" t="s">
        <v>5022</v>
      </c>
      <c r="Z388" s="4" t="s">
        <v>5022</v>
      </c>
      <c r="AA388" s="3">
        <v>128</v>
      </c>
      <c r="AB388" s="3">
        <v>102</v>
      </c>
      <c r="AC388" s="3">
        <v>104</v>
      </c>
      <c r="AD388" s="3">
        <v>1</v>
      </c>
      <c r="AE388" s="3">
        <v>1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2" t="s">
        <v>63</v>
      </c>
      <c r="AS388" s="2" t="s">
        <v>92</v>
      </c>
      <c r="AT388" s="5" t="str">
        <f>HYPERLINK("http://catalog.hathitrust.org/Record/000580163","HathiTrust Record")</f>
        <v>HathiTrust Record</v>
      </c>
      <c r="AU388" s="5" t="str">
        <f>HYPERLINK("https://creighton-primo.hosted.exlibrisgroup.com/primo-explore/search?tab=default_tab&amp;search_scope=EVERYTHING&amp;vid=01CRU&amp;lang=en_US&amp;offset=0&amp;query=any,contains,991000960139702656","Catalog Record")</f>
        <v>Catalog Record</v>
      </c>
      <c r="AV388" s="5" t="str">
        <f>HYPERLINK("http://www.worldcat.org/oclc/11113868","WorldCat Record")</f>
        <v>WorldCat Record</v>
      </c>
      <c r="AW388" s="2" t="s">
        <v>5061</v>
      </c>
      <c r="AX388" s="2" t="s">
        <v>5062</v>
      </c>
      <c r="AY388" s="2" t="s">
        <v>5063</v>
      </c>
      <c r="AZ388" s="2" t="s">
        <v>5063</v>
      </c>
      <c r="BA388" s="2" t="s">
        <v>5064</v>
      </c>
      <c r="BB388" s="2" t="s">
        <v>79</v>
      </c>
      <c r="BD388" s="2" t="s">
        <v>5065</v>
      </c>
      <c r="BE388" s="2" t="s">
        <v>5066</v>
      </c>
      <c r="BF388" s="2" t="s">
        <v>5067</v>
      </c>
    </row>
    <row r="389" spans="1:58" ht="46.5" customHeight="1">
      <c r="A389" s="1"/>
      <c r="B389" s="1" t="s">
        <v>58</v>
      </c>
      <c r="C389" s="1" t="s">
        <v>59</v>
      </c>
      <c r="D389" s="1" t="s">
        <v>5056</v>
      </c>
      <c r="E389" s="1" t="s">
        <v>5057</v>
      </c>
      <c r="F389" s="1" t="s">
        <v>5058</v>
      </c>
      <c r="G389" s="2" t="s">
        <v>1538</v>
      </c>
      <c r="H389" s="2" t="s">
        <v>92</v>
      </c>
      <c r="I389" s="2" t="s">
        <v>64</v>
      </c>
      <c r="J389" s="2" t="s">
        <v>63</v>
      </c>
      <c r="K389" s="2" t="s">
        <v>63</v>
      </c>
      <c r="L389" s="2" t="s">
        <v>65</v>
      </c>
      <c r="N389" s="1" t="s">
        <v>5059</v>
      </c>
      <c r="O389" s="2" t="s">
        <v>104</v>
      </c>
      <c r="Q389" s="2" t="s">
        <v>70</v>
      </c>
      <c r="R389" s="2" t="s">
        <v>89</v>
      </c>
      <c r="T389" s="2" t="s">
        <v>72</v>
      </c>
      <c r="U389" s="3">
        <v>4</v>
      </c>
      <c r="V389" s="3">
        <v>11</v>
      </c>
      <c r="W389" s="4" t="s">
        <v>2646</v>
      </c>
      <c r="X389" s="4" t="s">
        <v>2646</v>
      </c>
      <c r="Y389" s="4" t="s">
        <v>5022</v>
      </c>
      <c r="Z389" s="4" t="s">
        <v>5022</v>
      </c>
      <c r="AA389" s="3">
        <v>128</v>
      </c>
      <c r="AB389" s="3">
        <v>102</v>
      </c>
      <c r="AC389" s="3">
        <v>104</v>
      </c>
      <c r="AD389" s="3">
        <v>1</v>
      </c>
      <c r="AE389" s="3">
        <v>1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2" t="s">
        <v>63</v>
      </c>
      <c r="AS389" s="2" t="s">
        <v>92</v>
      </c>
      <c r="AT389" s="5" t="str">
        <f>HYPERLINK("http://catalog.hathitrust.org/Record/000580163","HathiTrust Record")</f>
        <v>HathiTrust Record</v>
      </c>
      <c r="AU389" s="5" t="str">
        <f>HYPERLINK("https://creighton-primo.hosted.exlibrisgroup.com/primo-explore/search?tab=default_tab&amp;search_scope=EVERYTHING&amp;vid=01CRU&amp;lang=en_US&amp;offset=0&amp;query=any,contains,991000960139702656","Catalog Record")</f>
        <v>Catalog Record</v>
      </c>
      <c r="AV389" s="5" t="str">
        <f>HYPERLINK("http://www.worldcat.org/oclc/11113868","WorldCat Record")</f>
        <v>WorldCat Record</v>
      </c>
      <c r="AW389" s="2" t="s">
        <v>5061</v>
      </c>
      <c r="AX389" s="2" t="s">
        <v>5062</v>
      </c>
      <c r="AY389" s="2" t="s">
        <v>5063</v>
      </c>
      <c r="AZ389" s="2" t="s">
        <v>5063</v>
      </c>
      <c r="BA389" s="2" t="s">
        <v>5064</v>
      </c>
      <c r="BB389" s="2" t="s">
        <v>79</v>
      </c>
      <c r="BD389" s="2" t="s">
        <v>5065</v>
      </c>
      <c r="BE389" s="2" t="s">
        <v>5068</v>
      </c>
      <c r="BF389" s="2" t="s">
        <v>5069</v>
      </c>
    </row>
    <row r="390" spans="1:58" ht="46.5" customHeight="1">
      <c r="A390" s="1"/>
      <c r="B390" s="1" t="s">
        <v>58</v>
      </c>
      <c r="C390" s="1" t="s">
        <v>59</v>
      </c>
      <c r="D390" s="1" t="s">
        <v>5056</v>
      </c>
      <c r="E390" s="1" t="s">
        <v>5057</v>
      </c>
      <c r="F390" s="1" t="s">
        <v>5058</v>
      </c>
      <c r="G390" s="2" t="s">
        <v>1552</v>
      </c>
      <c r="H390" s="2" t="s">
        <v>92</v>
      </c>
      <c r="I390" s="2" t="s">
        <v>64</v>
      </c>
      <c r="J390" s="2" t="s">
        <v>63</v>
      </c>
      <c r="K390" s="2" t="s">
        <v>63</v>
      </c>
      <c r="L390" s="2" t="s">
        <v>65</v>
      </c>
      <c r="N390" s="1" t="s">
        <v>5059</v>
      </c>
      <c r="O390" s="2" t="s">
        <v>104</v>
      </c>
      <c r="Q390" s="2" t="s">
        <v>70</v>
      </c>
      <c r="R390" s="2" t="s">
        <v>89</v>
      </c>
      <c r="T390" s="2" t="s">
        <v>72</v>
      </c>
      <c r="U390" s="3">
        <v>4</v>
      </c>
      <c r="V390" s="3">
        <v>11</v>
      </c>
      <c r="W390" s="4" t="s">
        <v>2646</v>
      </c>
      <c r="X390" s="4" t="s">
        <v>2646</v>
      </c>
      <c r="Y390" s="4" t="s">
        <v>5022</v>
      </c>
      <c r="Z390" s="4" t="s">
        <v>5022</v>
      </c>
      <c r="AA390" s="3">
        <v>128</v>
      </c>
      <c r="AB390" s="3">
        <v>102</v>
      </c>
      <c r="AC390" s="3">
        <v>104</v>
      </c>
      <c r="AD390" s="3">
        <v>1</v>
      </c>
      <c r="AE390" s="3">
        <v>1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2" t="s">
        <v>63</v>
      </c>
      <c r="AS390" s="2" t="s">
        <v>92</v>
      </c>
      <c r="AT390" s="5" t="str">
        <f>HYPERLINK("http://catalog.hathitrust.org/Record/000580163","HathiTrust Record")</f>
        <v>HathiTrust Record</v>
      </c>
      <c r="AU390" s="5" t="str">
        <f>HYPERLINK("https://creighton-primo.hosted.exlibrisgroup.com/primo-explore/search?tab=default_tab&amp;search_scope=EVERYTHING&amp;vid=01CRU&amp;lang=en_US&amp;offset=0&amp;query=any,contains,991000960139702656","Catalog Record")</f>
        <v>Catalog Record</v>
      </c>
      <c r="AV390" s="5" t="str">
        <f>HYPERLINK("http://www.worldcat.org/oclc/11113868","WorldCat Record")</f>
        <v>WorldCat Record</v>
      </c>
      <c r="AW390" s="2" t="s">
        <v>5061</v>
      </c>
      <c r="AX390" s="2" t="s">
        <v>5062</v>
      </c>
      <c r="AY390" s="2" t="s">
        <v>5063</v>
      </c>
      <c r="AZ390" s="2" t="s">
        <v>5063</v>
      </c>
      <c r="BA390" s="2" t="s">
        <v>5064</v>
      </c>
      <c r="BB390" s="2" t="s">
        <v>79</v>
      </c>
      <c r="BD390" s="2" t="s">
        <v>5065</v>
      </c>
      <c r="BE390" s="2" t="s">
        <v>5070</v>
      </c>
      <c r="BF390" s="2" t="s">
        <v>5071</v>
      </c>
    </row>
    <row r="391" spans="1:58" ht="46.5" customHeight="1">
      <c r="A391" s="1"/>
      <c r="B391" s="1" t="s">
        <v>58</v>
      </c>
      <c r="C391" s="1" t="s">
        <v>59</v>
      </c>
      <c r="D391" s="1" t="s">
        <v>5072</v>
      </c>
      <c r="E391" s="1" t="s">
        <v>5073</v>
      </c>
      <c r="F391" s="1" t="s">
        <v>5074</v>
      </c>
      <c r="H391" s="2" t="s">
        <v>63</v>
      </c>
      <c r="I391" s="2" t="s">
        <v>64</v>
      </c>
      <c r="J391" s="2" t="s">
        <v>63</v>
      </c>
      <c r="K391" s="2" t="s">
        <v>63</v>
      </c>
      <c r="L391" s="2" t="s">
        <v>65</v>
      </c>
      <c r="N391" s="1" t="s">
        <v>5075</v>
      </c>
      <c r="O391" s="2" t="s">
        <v>1856</v>
      </c>
      <c r="P391" s="1" t="s">
        <v>5076</v>
      </c>
      <c r="Q391" s="2" t="s">
        <v>70</v>
      </c>
      <c r="R391" s="2" t="s">
        <v>89</v>
      </c>
      <c r="T391" s="2" t="s">
        <v>72</v>
      </c>
      <c r="U391" s="3">
        <v>1</v>
      </c>
      <c r="V391" s="3">
        <v>1</v>
      </c>
      <c r="W391" s="4" t="s">
        <v>5077</v>
      </c>
      <c r="X391" s="4" t="s">
        <v>5077</v>
      </c>
      <c r="Y391" s="4" t="s">
        <v>262</v>
      </c>
      <c r="Z391" s="4" t="s">
        <v>262</v>
      </c>
      <c r="AA391" s="3">
        <v>215</v>
      </c>
      <c r="AB391" s="3">
        <v>164</v>
      </c>
      <c r="AC391" s="3">
        <v>257</v>
      </c>
      <c r="AD391" s="3">
        <v>1</v>
      </c>
      <c r="AE391" s="3">
        <v>3</v>
      </c>
      <c r="AF391" s="3">
        <v>0</v>
      </c>
      <c r="AG391" s="3">
        <v>5</v>
      </c>
      <c r="AH391" s="3">
        <v>0</v>
      </c>
      <c r="AI391" s="3">
        <v>1</v>
      </c>
      <c r="AJ391" s="3">
        <v>0</v>
      </c>
      <c r="AK391" s="3">
        <v>1</v>
      </c>
      <c r="AL391" s="3">
        <v>0</v>
      </c>
      <c r="AM391" s="3">
        <v>1</v>
      </c>
      <c r="AN391" s="3">
        <v>0</v>
      </c>
      <c r="AO391" s="3">
        <v>2</v>
      </c>
      <c r="AP391" s="3">
        <v>0</v>
      </c>
      <c r="AQ391" s="3">
        <v>0</v>
      </c>
      <c r="AR391" s="2" t="s">
        <v>63</v>
      </c>
      <c r="AS391" s="2" t="s">
        <v>92</v>
      </c>
      <c r="AT391" s="5" t="str">
        <f>HYPERLINK("http://catalog.hathitrust.org/Record/000138675","HathiTrust Record")</f>
        <v>HathiTrust Record</v>
      </c>
      <c r="AU391" s="5" t="str">
        <f>HYPERLINK("https://creighton-primo.hosted.exlibrisgroup.com/primo-explore/search?tab=default_tab&amp;search_scope=EVERYTHING&amp;vid=01CRU&amp;lang=en_US&amp;offset=0&amp;query=any,contains,991000748029702656","Catalog Record")</f>
        <v>Catalog Record</v>
      </c>
      <c r="AV391" s="5" t="str">
        <f>HYPERLINK("http://www.worldcat.org/oclc/6197170","WorldCat Record")</f>
        <v>WorldCat Record</v>
      </c>
      <c r="AW391" s="2" t="s">
        <v>5078</v>
      </c>
      <c r="AX391" s="2" t="s">
        <v>5079</v>
      </c>
      <c r="AY391" s="2" t="s">
        <v>5080</v>
      </c>
      <c r="AZ391" s="2" t="s">
        <v>5080</v>
      </c>
      <c r="BA391" s="2" t="s">
        <v>5081</v>
      </c>
      <c r="BB391" s="2" t="s">
        <v>79</v>
      </c>
      <c r="BD391" s="2" t="s">
        <v>5082</v>
      </c>
      <c r="BE391" s="2" t="s">
        <v>5083</v>
      </c>
      <c r="BF391" s="2" t="s">
        <v>5084</v>
      </c>
    </row>
    <row r="392" spans="1:58" ht="46.5" customHeight="1">
      <c r="A392" s="1"/>
      <c r="B392" s="1" t="s">
        <v>58</v>
      </c>
      <c r="C392" s="1" t="s">
        <v>59</v>
      </c>
      <c r="D392" s="1" t="s">
        <v>5085</v>
      </c>
      <c r="E392" s="1" t="s">
        <v>5086</v>
      </c>
      <c r="F392" s="1" t="s">
        <v>5087</v>
      </c>
      <c r="H392" s="2" t="s">
        <v>63</v>
      </c>
      <c r="I392" s="2" t="s">
        <v>64</v>
      </c>
      <c r="J392" s="2" t="s">
        <v>63</v>
      </c>
      <c r="K392" s="2" t="s">
        <v>63</v>
      </c>
      <c r="L392" s="2" t="s">
        <v>65</v>
      </c>
      <c r="N392" s="1" t="s">
        <v>2326</v>
      </c>
      <c r="O392" s="2" t="s">
        <v>407</v>
      </c>
      <c r="Q392" s="2" t="s">
        <v>70</v>
      </c>
      <c r="R392" s="2" t="s">
        <v>89</v>
      </c>
      <c r="S392" s="1" t="s">
        <v>5088</v>
      </c>
      <c r="T392" s="2" t="s">
        <v>72</v>
      </c>
      <c r="U392" s="3">
        <v>6</v>
      </c>
      <c r="V392" s="3">
        <v>6</v>
      </c>
      <c r="W392" s="4" t="s">
        <v>4889</v>
      </c>
      <c r="X392" s="4" t="s">
        <v>4889</v>
      </c>
      <c r="Y392" s="4" t="s">
        <v>5089</v>
      </c>
      <c r="Z392" s="4" t="s">
        <v>5089</v>
      </c>
      <c r="AA392" s="3">
        <v>84</v>
      </c>
      <c r="AB392" s="3">
        <v>59</v>
      </c>
      <c r="AC392" s="3">
        <v>59</v>
      </c>
      <c r="AD392" s="3">
        <v>1</v>
      </c>
      <c r="AE392" s="3">
        <v>1</v>
      </c>
      <c r="AF392" s="3">
        <v>2</v>
      </c>
      <c r="AG392" s="3">
        <v>2</v>
      </c>
      <c r="AH392" s="3">
        <v>2</v>
      </c>
      <c r="AI392" s="3">
        <v>2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2" t="s">
        <v>63</v>
      </c>
      <c r="AS392" s="2" t="s">
        <v>63</v>
      </c>
      <c r="AU392" s="5" t="str">
        <f>HYPERLINK("https://creighton-primo.hosted.exlibrisgroup.com/primo-explore/search?tab=default_tab&amp;search_scope=EVERYTHING&amp;vid=01CRU&amp;lang=en_US&amp;offset=0&amp;query=any,contains,991000815879702656","Catalog Record")</f>
        <v>Catalog Record</v>
      </c>
      <c r="AV392" s="5" t="str">
        <f>HYPERLINK("http://www.worldcat.org/oclc/21909906","WorldCat Record")</f>
        <v>WorldCat Record</v>
      </c>
      <c r="AW392" s="2" t="s">
        <v>5090</v>
      </c>
      <c r="AX392" s="2" t="s">
        <v>5091</v>
      </c>
      <c r="AY392" s="2" t="s">
        <v>5092</v>
      </c>
      <c r="AZ392" s="2" t="s">
        <v>5092</v>
      </c>
      <c r="BA392" s="2" t="s">
        <v>5093</v>
      </c>
      <c r="BB392" s="2" t="s">
        <v>79</v>
      </c>
      <c r="BD392" s="2" t="s">
        <v>5094</v>
      </c>
      <c r="BE392" s="2" t="s">
        <v>5095</v>
      </c>
      <c r="BF392" s="2" t="s">
        <v>5096</v>
      </c>
    </row>
    <row r="393" spans="1:58" ht="46.5" customHeight="1">
      <c r="A393" s="1"/>
      <c r="B393" s="1" t="s">
        <v>58</v>
      </c>
      <c r="C393" s="1" t="s">
        <v>59</v>
      </c>
      <c r="D393" s="1" t="s">
        <v>5097</v>
      </c>
      <c r="E393" s="1" t="s">
        <v>5098</v>
      </c>
      <c r="F393" s="1" t="s">
        <v>5099</v>
      </c>
      <c r="H393" s="2" t="s">
        <v>63</v>
      </c>
      <c r="I393" s="2" t="s">
        <v>64</v>
      </c>
      <c r="J393" s="2" t="s">
        <v>63</v>
      </c>
      <c r="K393" s="2" t="s">
        <v>63</v>
      </c>
      <c r="L393" s="2" t="s">
        <v>65</v>
      </c>
      <c r="N393" s="1" t="s">
        <v>5100</v>
      </c>
      <c r="O393" s="2" t="s">
        <v>608</v>
      </c>
      <c r="Q393" s="2" t="s">
        <v>70</v>
      </c>
      <c r="R393" s="2" t="s">
        <v>277</v>
      </c>
      <c r="S393" s="1" t="s">
        <v>5101</v>
      </c>
      <c r="T393" s="2" t="s">
        <v>72</v>
      </c>
      <c r="U393" s="3">
        <v>5</v>
      </c>
      <c r="V393" s="3">
        <v>5</v>
      </c>
      <c r="W393" s="4" t="s">
        <v>5102</v>
      </c>
      <c r="X393" s="4" t="s">
        <v>5102</v>
      </c>
      <c r="Y393" s="4" t="s">
        <v>979</v>
      </c>
      <c r="Z393" s="4" t="s">
        <v>979</v>
      </c>
      <c r="AA393" s="3">
        <v>69</v>
      </c>
      <c r="AB393" s="3">
        <v>51</v>
      </c>
      <c r="AC393" s="3">
        <v>51</v>
      </c>
      <c r="AD393" s="3">
        <v>1</v>
      </c>
      <c r="AE393" s="3">
        <v>1</v>
      </c>
      <c r="AF393" s="3">
        <v>1</v>
      </c>
      <c r="AG393" s="3">
        <v>1</v>
      </c>
      <c r="AH393" s="3">
        <v>0</v>
      </c>
      <c r="AI393" s="3">
        <v>0</v>
      </c>
      <c r="AJ393" s="3">
        <v>1</v>
      </c>
      <c r="AK393" s="3">
        <v>1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2" t="s">
        <v>63</v>
      </c>
      <c r="AS393" s="2" t="s">
        <v>63</v>
      </c>
      <c r="AU393" s="5" t="str">
        <f>HYPERLINK("https://creighton-primo.hosted.exlibrisgroup.com/primo-explore/search?tab=default_tab&amp;search_scope=EVERYTHING&amp;vid=01CRU&amp;lang=en_US&amp;offset=0&amp;query=any,contains,991001511019702656","Catalog Record")</f>
        <v>Catalog Record</v>
      </c>
      <c r="AV393" s="5" t="str">
        <f>HYPERLINK("http://www.worldcat.org/oclc/27173247","WorldCat Record")</f>
        <v>WorldCat Record</v>
      </c>
      <c r="AW393" s="2" t="s">
        <v>5103</v>
      </c>
      <c r="AX393" s="2" t="s">
        <v>5104</v>
      </c>
      <c r="AY393" s="2" t="s">
        <v>5105</v>
      </c>
      <c r="AZ393" s="2" t="s">
        <v>5105</v>
      </c>
      <c r="BA393" s="2" t="s">
        <v>5106</v>
      </c>
      <c r="BB393" s="2" t="s">
        <v>79</v>
      </c>
      <c r="BD393" s="2" t="s">
        <v>5107</v>
      </c>
      <c r="BE393" s="2" t="s">
        <v>5108</v>
      </c>
      <c r="BF393" s="2" t="s">
        <v>5109</v>
      </c>
    </row>
    <row r="394" spans="1:58" ht="46.5" customHeight="1">
      <c r="A394" s="1"/>
      <c r="B394" s="1" t="s">
        <v>58</v>
      </c>
      <c r="C394" s="1" t="s">
        <v>59</v>
      </c>
      <c r="D394" s="1" t="s">
        <v>5110</v>
      </c>
      <c r="E394" s="1" t="s">
        <v>5111</v>
      </c>
      <c r="F394" s="1" t="s">
        <v>5112</v>
      </c>
      <c r="H394" s="2" t="s">
        <v>63</v>
      </c>
      <c r="I394" s="2" t="s">
        <v>64</v>
      </c>
      <c r="J394" s="2" t="s">
        <v>63</v>
      </c>
      <c r="K394" s="2" t="s">
        <v>63</v>
      </c>
      <c r="L394" s="2" t="s">
        <v>65</v>
      </c>
      <c r="N394" s="1" t="s">
        <v>5113</v>
      </c>
      <c r="O394" s="2" t="s">
        <v>5114</v>
      </c>
      <c r="Q394" s="2" t="s">
        <v>70</v>
      </c>
      <c r="R394" s="2" t="s">
        <v>277</v>
      </c>
      <c r="S394" s="1" t="s">
        <v>5115</v>
      </c>
      <c r="T394" s="2" t="s">
        <v>72</v>
      </c>
      <c r="U394" s="3">
        <v>2</v>
      </c>
      <c r="V394" s="3">
        <v>2</v>
      </c>
      <c r="W394" s="4" t="s">
        <v>5116</v>
      </c>
      <c r="X394" s="4" t="s">
        <v>5116</v>
      </c>
      <c r="Y394" s="4" t="s">
        <v>5117</v>
      </c>
      <c r="Z394" s="4" t="s">
        <v>5117</v>
      </c>
      <c r="AA394" s="3">
        <v>30</v>
      </c>
      <c r="AB394" s="3">
        <v>17</v>
      </c>
      <c r="AC394" s="3">
        <v>19</v>
      </c>
      <c r="AD394" s="3">
        <v>1</v>
      </c>
      <c r="AE394" s="3">
        <v>1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2" t="s">
        <v>63</v>
      </c>
      <c r="AS394" s="2" t="s">
        <v>63</v>
      </c>
      <c r="AT394" s="5" t="str">
        <f>HYPERLINK("http://catalog.hathitrust.org/Record/002074937","HathiTrust Record")</f>
        <v>HathiTrust Record</v>
      </c>
      <c r="AU394" s="5" t="str">
        <f>HYPERLINK("https://creighton-primo.hosted.exlibrisgroup.com/primo-explore/search?tab=default_tab&amp;search_scope=EVERYTHING&amp;vid=01CRU&amp;lang=en_US&amp;offset=0&amp;query=any,contains,991000960579702656","Catalog Record")</f>
        <v>Catalog Record</v>
      </c>
      <c r="AV394" s="5" t="str">
        <f>HYPERLINK("http://www.worldcat.org/oclc/14728800","WorldCat Record")</f>
        <v>WorldCat Record</v>
      </c>
      <c r="AW394" s="2" t="s">
        <v>5118</v>
      </c>
      <c r="AX394" s="2" t="s">
        <v>5119</v>
      </c>
      <c r="AY394" s="2" t="s">
        <v>5120</v>
      </c>
      <c r="AZ394" s="2" t="s">
        <v>5120</v>
      </c>
      <c r="BA394" s="2" t="s">
        <v>5121</v>
      </c>
      <c r="BB394" s="2" t="s">
        <v>79</v>
      </c>
      <c r="BE394" s="2" t="s">
        <v>5122</v>
      </c>
      <c r="BF394" s="2" t="s">
        <v>5123</v>
      </c>
    </row>
    <row r="395" spans="1:58" ht="46.5" customHeight="1">
      <c r="A395" s="1"/>
      <c r="B395" s="1" t="s">
        <v>58</v>
      </c>
      <c r="C395" s="1" t="s">
        <v>59</v>
      </c>
      <c r="D395" s="1" t="s">
        <v>5124</v>
      </c>
      <c r="E395" s="1" t="s">
        <v>5125</v>
      </c>
      <c r="F395" s="1" t="s">
        <v>5126</v>
      </c>
      <c r="H395" s="2" t="s">
        <v>63</v>
      </c>
      <c r="I395" s="2" t="s">
        <v>64</v>
      </c>
      <c r="J395" s="2" t="s">
        <v>63</v>
      </c>
      <c r="K395" s="2" t="s">
        <v>63</v>
      </c>
      <c r="L395" s="2" t="s">
        <v>64</v>
      </c>
      <c r="M395" s="1" t="s">
        <v>5127</v>
      </c>
      <c r="N395" s="1" t="s">
        <v>5128</v>
      </c>
      <c r="O395" s="2" t="s">
        <v>307</v>
      </c>
      <c r="Q395" s="2" t="s">
        <v>70</v>
      </c>
      <c r="R395" s="2" t="s">
        <v>89</v>
      </c>
      <c r="T395" s="2" t="s">
        <v>72</v>
      </c>
      <c r="U395" s="3">
        <v>4</v>
      </c>
      <c r="V395" s="3">
        <v>4</v>
      </c>
      <c r="W395" s="4" t="s">
        <v>2031</v>
      </c>
      <c r="X395" s="4" t="s">
        <v>2031</v>
      </c>
      <c r="Y395" s="4" t="s">
        <v>5129</v>
      </c>
      <c r="Z395" s="4" t="s">
        <v>5129</v>
      </c>
      <c r="AA395" s="3">
        <v>200</v>
      </c>
      <c r="AB395" s="3">
        <v>133</v>
      </c>
      <c r="AC395" s="3">
        <v>880</v>
      </c>
      <c r="AD395" s="3">
        <v>1</v>
      </c>
      <c r="AE395" s="3">
        <v>15</v>
      </c>
      <c r="AF395" s="3">
        <v>3</v>
      </c>
      <c r="AG395" s="3">
        <v>34</v>
      </c>
      <c r="AH395" s="3">
        <v>0</v>
      </c>
      <c r="AI395" s="3">
        <v>8</v>
      </c>
      <c r="AJ395" s="3">
        <v>1</v>
      </c>
      <c r="AK395" s="3">
        <v>7</v>
      </c>
      <c r="AL395" s="3">
        <v>2</v>
      </c>
      <c r="AM395" s="3">
        <v>9</v>
      </c>
      <c r="AN395" s="3">
        <v>0</v>
      </c>
      <c r="AO395" s="3">
        <v>13</v>
      </c>
      <c r="AP395" s="3">
        <v>0</v>
      </c>
      <c r="AQ395" s="3">
        <v>1</v>
      </c>
      <c r="AR395" s="2" t="s">
        <v>63</v>
      </c>
      <c r="AS395" s="2" t="s">
        <v>92</v>
      </c>
      <c r="AT395" s="5" t="str">
        <f>HYPERLINK("http://catalog.hathitrust.org/Record/000426794","HathiTrust Record")</f>
        <v>HathiTrust Record</v>
      </c>
      <c r="AU395" s="5" t="str">
        <f>HYPERLINK("https://creighton-primo.hosted.exlibrisgroup.com/primo-explore/search?tab=default_tab&amp;search_scope=EVERYTHING&amp;vid=01CRU&amp;lang=en_US&amp;offset=0&amp;query=any,contains,991001423329702656","Catalog Record")</f>
        <v>Catalog Record</v>
      </c>
      <c r="AV395" s="5" t="str">
        <f>HYPERLINK("http://www.worldcat.org/oclc/11649516","WorldCat Record")</f>
        <v>WorldCat Record</v>
      </c>
      <c r="AW395" s="2" t="s">
        <v>5130</v>
      </c>
      <c r="AX395" s="2" t="s">
        <v>5131</v>
      </c>
      <c r="AY395" s="2" t="s">
        <v>5132</v>
      </c>
      <c r="AZ395" s="2" t="s">
        <v>5132</v>
      </c>
      <c r="BA395" s="2" t="s">
        <v>5133</v>
      </c>
      <c r="BB395" s="2" t="s">
        <v>79</v>
      </c>
      <c r="BD395" s="2" t="s">
        <v>5134</v>
      </c>
      <c r="BE395" s="2" t="s">
        <v>5135</v>
      </c>
      <c r="BF395" s="2" t="s">
        <v>5136</v>
      </c>
    </row>
    <row r="396" spans="1:58" ht="46.5" customHeight="1">
      <c r="A396" s="1"/>
      <c r="B396" s="1" t="s">
        <v>58</v>
      </c>
      <c r="C396" s="1" t="s">
        <v>59</v>
      </c>
      <c r="D396" s="1" t="s">
        <v>5137</v>
      </c>
      <c r="E396" s="1" t="s">
        <v>5138</v>
      </c>
      <c r="F396" s="1" t="s">
        <v>5139</v>
      </c>
      <c r="H396" s="2" t="s">
        <v>63</v>
      </c>
      <c r="I396" s="2" t="s">
        <v>64</v>
      </c>
      <c r="J396" s="2" t="s">
        <v>63</v>
      </c>
      <c r="K396" s="2" t="s">
        <v>63</v>
      </c>
      <c r="L396" s="2" t="s">
        <v>65</v>
      </c>
      <c r="N396" s="1" t="s">
        <v>5140</v>
      </c>
      <c r="O396" s="2" t="s">
        <v>348</v>
      </c>
      <c r="P396" s="1" t="s">
        <v>157</v>
      </c>
      <c r="Q396" s="2" t="s">
        <v>70</v>
      </c>
      <c r="R396" s="2" t="s">
        <v>322</v>
      </c>
      <c r="T396" s="2" t="s">
        <v>72</v>
      </c>
      <c r="U396" s="3">
        <v>1</v>
      </c>
      <c r="V396" s="3">
        <v>1</v>
      </c>
      <c r="W396" s="4" t="s">
        <v>5141</v>
      </c>
      <c r="X396" s="4" t="s">
        <v>5141</v>
      </c>
      <c r="Y396" s="4" t="s">
        <v>5142</v>
      </c>
      <c r="Z396" s="4" t="s">
        <v>5142</v>
      </c>
      <c r="AA396" s="3">
        <v>120</v>
      </c>
      <c r="AB396" s="3">
        <v>88</v>
      </c>
      <c r="AC396" s="3">
        <v>256</v>
      </c>
      <c r="AD396" s="3">
        <v>1</v>
      </c>
      <c r="AE396" s="3">
        <v>1</v>
      </c>
      <c r="AF396" s="3">
        <v>1</v>
      </c>
      <c r="AG396" s="3">
        <v>8</v>
      </c>
      <c r="AH396" s="3">
        <v>0</v>
      </c>
      <c r="AI396" s="3">
        <v>4</v>
      </c>
      <c r="AJ396" s="3">
        <v>1</v>
      </c>
      <c r="AK396" s="3">
        <v>4</v>
      </c>
      <c r="AL396" s="3">
        <v>0</v>
      </c>
      <c r="AM396" s="3">
        <v>1</v>
      </c>
      <c r="AN396" s="3">
        <v>0</v>
      </c>
      <c r="AO396" s="3">
        <v>0</v>
      </c>
      <c r="AP396" s="3">
        <v>0</v>
      </c>
      <c r="AQ396" s="3">
        <v>0</v>
      </c>
      <c r="AR396" s="2" t="s">
        <v>63</v>
      </c>
      <c r="AS396" s="2" t="s">
        <v>92</v>
      </c>
      <c r="AT396" s="5" t="str">
        <f>HYPERLINK("http://catalog.hathitrust.org/Record/003252836","HathiTrust Record")</f>
        <v>HathiTrust Record</v>
      </c>
      <c r="AU396" s="5" t="str">
        <f>HYPERLINK("https://creighton-primo.hosted.exlibrisgroup.com/primo-explore/search?tab=default_tab&amp;search_scope=EVERYTHING&amp;vid=01CRU&amp;lang=en_US&amp;offset=0&amp;query=any,contains,991001565419702656","Catalog Record")</f>
        <v>Catalog Record</v>
      </c>
      <c r="AV396" s="5" t="str">
        <f>HYPERLINK("http://www.worldcat.org/oclc/38750587","WorldCat Record")</f>
        <v>WorldCat Record</v>
      </c>
      <c r="AW396" s="2" t="s">
        <v>5143</v>
      </c>
      <c r="AX396" s="2" t="s">
        <v>5144</v>
      </c>
      <c r="AY396" s="2" t="s">
        <v>5145</v>
      </c>
      <c r="AZ396" s="2" t="s">
        <v>5145</v>
      </c>
      <c r="BA396" s="2" t="s">
        <v>5146</v>
      </c>
      <c r="BB396" s="2" t="s">
        <v>79</v>
      </c>
      <c r="BD396" s="2" t="s">
        <v>5147</v>
      </c>
      <c r="BE396" s="2" t="s">
        <v>5148</v>
      </c>
      <c r="BF396" s="2" t="s">
        <v>5149</v>
      </c>
    </row>
    <row r="397" spans="1:58" ht="46.5" customHeight="1">
      <c r="A397" s="1"/>
      <c r="B397" s="1" t="s">
        <v>58</v>
      </c>
      <c r="C397" s="1" t="s">
        <v>59</v>
      </c>
      <c r="D397" s="1" t="s">
        <v>5150</v>
      </c>
      <c r="E397" s="1" t="s">
        <v>5151</v>
      </c>
      <c r="F397" s="1" t="s">
        <v>5152</v>
      </c>
      <c r="H397" s="2" t="s">
        <v>63</v>
      </c>
      <c r="I397" s="2" t="s">
        <v>64</v>
      </c>
      <c r="J397" s="2" t="s">
        <v>63</v>
      </c>
      <c r="K397" s="2" t="s">
        <v>63</v>
      </c>
      <c r="L397" s="2" t="s">
        <v>65</v>
      </c>
      <c r="M397" s="1" t="s">
        <v>5153</v>
      </c>
      <c r="N397" s="1" t="s">
        <v>5154</v>
      </c>
      <c r="O397" s="2" t="s">
        <v>132</v>
      </c>
      <c r="Q397" s="2" t="s">
        <v>70</v>
      </c>
      <c r="R397" s="2" t="s">
        <v>4558</v>
      </c>
      <c r="T397" s="2" t="s">
        <v>72</v>
      </c>
      <c r="U397" s="3">
        <v>3</v>
      </c>
      <c r="V397" s="3">
        <v>3</v>
      </c>
      <c r="W397" s="4" t="s">
        <v>5155</v>
      </c>
      <c r="X397" s="4" t="s">
        <v>5155</v>
      </c>
      <c r="Y397" s="4" t="s">
        <v>5156</v>
      </c>
      <c r="Z397" s="4" t="s">
        <v>5156</v>
      </c>
      <c r="AA397" s="3">
        <v>4</v>
      </c>
      <c r="AB397" s="3">
        <v>4</v>
      </c>
      <c r="AC397" s="3">
        <v>4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2" t="s">
        <v>63</v>
      </c>
      <c r="AS397" s="2" t="s">
        <v>63</v>
      </c>
      <c r="AU397" s="5" t="str">
        <f>HYPERLINK("https://creighton-primo.hosted.exlibrisgroup.com/primo-explore/search?tab=default_tab&amp;search_scope=EVERYTHING&amp;vid=01CRU&amp;lang=en_US&amp;offset=0&amp;query=any,contains,991000275539702656","Catalog Record")</f>
        <v>Catalog Record</v>
      </c>
      <c r="AV397" s="5" t="str">
        <f>HYPERLINK("http://www.worldcat.org/oclc/32297708","WorldCat Record")</f>
        <v>WorldCat Record</v>
      </c>
      <c r="AW397" s="2" t="s">
        <v>5157</v>
      </c>
      <c r="AX397" s="2" t="s">
        <v>5158</v>
      </c>
      <c r="AY397" s="2" t="s">
        <v>5159</v>
      </c>
      <c r="AZ397" s="2" t="s">
        <v>5159</v>
      </c>
      <c r="BA397" s="2" t="s">
        <v>5160</v>
      </c>
      <c r="BB397" s="2" t="s">
        <v>79</v>
      </c>
      <c r="BE397" s="2" t="s">
        <v>5161</v>
      </c>
      <c r="BF397" s="2" t="s">
        <v>5162</v>
      </c>
    </row>
    <row r="398" spans="1:58" ht="46.5" customHeight="1">
      <c r="A398" s="1"/>
      <c r="B398" s="1" t="s">
        <v>58</v>
      </c>
      <c r="C398" s="1" t="s">
        <v>59</v>
      </c>
      <c r="D398" s="1" t="s">
        <v>5163</v>
      </c>
      <c r="E398" s="1" t="s">
        <v>5164</v>
      </c>
      <c r="F398" s="1" t="s">
        <v>5165</v>
      </c>
      <c r="H398" s="2" t="s">
        <v>63</v>
      </c>
      <c r="I398" s="2" t="s">
        <v>64</v>
      </c>
      <c r="J398" s="2" t="s">
        <v>63</v>
      </c>
      <c r="K398" s="2" t="s">
        <v>63</v>
      </c>
      <c r="L398" s="2" t="s">
        <v>65</v>
      </c>
      <c r="M398" s="1" t="s">
        <v>5166</v>
      </c>
      <c r="N398" s="1" t="s">
        <v>5167</v>
      </c>
      <c r="O398" s="2" t="s">
        <v>292</v>
      </c>
      <c r="Q398" s="2" t="s">
        <v>70</v>
      </c>
      <c r="R398" s="2" t="s">
        <v>3152</v>
      </c>
      <c r="T398" s="2" t="s">
        <v>72</v>
      </c>
      <c r="U398" s="3">
        <v>0</v>
      </c>
      <c r="V398" s="3">
        <v>0</v>
      </c>
      <c r="W398" s="4" t="s">
        <v>3794</v>
      </c>
      <c r="X398" s="4" t="s">
        <v>3794</v>
      </c>
      <c r="Y398" s="4" t="s">
        <v>5168</v>
      </c>
      <c r="Z398" s="4" t="s">
        <v>5168</v>
      </c>
      <c r="AA398" s="3">
        <v>12</v>
      </c>
      <c r="AB398" s="3">
        <v>9</v>
      </c>
      <c r="AC398" s="3">
        <v>11</v>
      </c>
      <c r="AD398" s="3">
        <v>1</v>
      </c>
      <c r="AE398" s="3">
        <v>1</v>
      </c>
      <c r="AF398" s="3">
        <v>1</v>
      </c>
      <c r="AG398" s="3">
        <v>1</v>
      </c>
      <c r="AH398" s="3">
        <v>0</v>
      </c>
      <c r="AI398" s="3">
        <v>0</v>
      </c>
      <c r="AJ398" s="3">
        <v>0</v>
      </c>
      <c r="AK398" s="3">
        <v>0</v>
      </c>
      <c r="AL398" s="3">
        <v>1</v>
      </c>
      <c r="AM398" s="3">
        <v>1</v>
      </c>
      <c r="AN398" s="3">
        <v>0</v>
      </c>
      <c r="AO398" s="3">
        <v>0</v>
      </c>
      <c r="AP398" s="3">
        <v>0</v>
      </c>
      <c r="AQ398" s="3">
        <v>0</v>
      </c>
      <c r="AR398" s="2" t="s">
        <v>63</v>
      </c>
      <c r="AS398" s="2" t="s">
        <v>92</v>
      </c>
      <c r="AT398" s="5" t="str">
        <f>HYPERLINK("http://catalog.hathitrust.org/Record/003950017","HathiTrust Record")</f>
        <v>HathiTrust Record</v>
      </c>
      <c r="AU398" s="5" t="str">
        <f>HYPERLINK("https://creighton-primo.hosted.exlibrisgroup.com/primo-explore/search?tab=default_tab&amp;search_scope=EVERYTHING&amp;vid=01CRU&amp;lang=en_US&amp;offset=0&amp;query=any,contains,991001244329702656","Catalog Record")</f>
        <v>Catalog Record</v>
      </c>
      <c r="AV398" s="5" t="str">
        <f>HYPERLINK("http://www.worldcat.org/oclc/19412466","WorldCat Record")</f>
        <v>WorldCat Record</v>
      </c>
      <c r="AW398" s="2" t="s">
        <v>5169</v>
      </c>
      <c r="AX398" s="2" t="s">
        <v>5170</v>
      </c>
      <c r="AY398" s="2" t="s">
        <v>5171</v>
      </c>
      <c r="AZ398" s="2" t="s">
        <v>5171</v>
      </c>
      <c r="BA398" s="2" t="s">
        <v>5172</v>
      </c>
      <c r="BB398" s="2" t="s">
        <v>79</v>
      </c>
      <c r="BD398" s="2" t="s">
        <v>5173</v>
      </c>
      <c r="BE398" s="2" t="s">
        <v>5174</v>
      </c>
      <c r="BF398" s="2" t="s">
        <v>5175</v>
      </c>
    </row>
    <row r="399" spans="1:58" ht="46.5" customHeight="1">
      <c r="A399" s="1"/>
      <c r="B399" s="1" t="s">
        <v>58</v>
      </c>
      <c r="C399" s="1" t="s">
        <v>59</v>
      </c>
      <c r="D399" s="1" t="s">
        <v>5176</v>
      </c>
      <c r="E399" s="1" t="s">
        <v>5177</v>
      </c>
      <c r="F399" s="1" t="s">
        <v>5178</v>
      </c>
      <c r="G399" s="2" t="s">
        <v>1552</v>
      </c>
      <c r="H399" s="2" t="s">
        <v>92</v>
      </c>
      <c r="I399" s="2" t="s">
        <v>64</v>
      </c>
      <c r="J399" s="2" t="s">
        <v>63</v>
      </c>
      <c r="K399" s="2" t="s">
        <v>63</v>
      </c>
      <c r="L399" s="2" t="s">
        <v>65</v>
      </c>
      <c r="N399" s="1" t="s">
        <v>5179</v>
      </c>
      <c r="O399" s="2" t="s">
        <v>292</v>
      </c>
      <c r="Q399" s="2" t="s">
        <v>70</v>
      </c>
      <c r="R399" s="2" t="s">
        <v>89</v>
      </c>
      <c r="T399" s="2" t="s">
        <v>72</v>
      </c>
      <c r="U399" s="3">
        <v>4</v>
      </c>
      <c r="V399" s="3">
        <v>9</v>
      </c>
      <c r="W399" s="4" t="s">
        <v>5180</v>
      </c>
      <c r="X399" s="4" t="s">
        <v>5180</v>
      </c>
      <c r="Y399" s="4" t="s">
        <v>1815</v>
      </c>
      <c r="Z399" s="4" t="s">
        <v>1815</v>
      </c>
      <c r="AA399" s="3">
        <v>117</v>
      </c>
      <c r="AB399" s="3">
        <v>87</v>
      </c>
      <c r="AC399" s="3">
        <v>89</v>
      </c>
      <c r="AD399" s="3">
        <v>1</v>
      </c>
      <c r="AE399" s="3">
        <v>1</v>
      </c>
      <c r="AF399" s="3">
        <v>1</v>
      </c>
      <c r="AG399" s="3">
        <v>1</v>
      </c>
      <c r="AH399" s="3">
        <v>1</v>
      </c>
      <c r="AI399" s="3">
        <v>1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2" t="s">
        <v>63</v>
      </c>
      <c r="AS399" s="2" t="s">
        <v>92</v>
      </c>
      <c r="AT399" s="5" t="str">
        <f>HYPERLINK("http://catalog.hathitrust.org/Record/000875059","HathiTrust Record")</f>
        <v>HathiTrust Record</v>
      </c>
      <c r="AU399" s="5" t="str">
        <f>HYPERLINK("https://creighton-primo.hosted.exlibrisgroup.com/primo-explore/search?tab=default_tab&amp;search_scope=EVERYTHING&amp;vid=01CRU&amp;lang=en_US&amp;offset=0&amp;query=any,contains,991001417709702656","Catalog Record")</f>
        <v>Catalog Record</v>
      </c>
      <c r="AV399" s="5" t="str">
        <f>HYPERLINK("http://www.worldcat.org/oclc/15520654","WorldCat Record")</f>
        <v>WorldCat Record</v>
      </c>
      <c r="AW399" s="2" t="s">
        <v>5181</v>
      </c>
      <c r="AX399" s="2" t="s">
        <v>5182</v>
      </c>
      <c r="AY399" s="2" t="s">
        <v>5183</v>
      </c>
      <c r="AZ399" s="2" t="s">
        <v>5183</v>
      </c>
      <c r="BA399" s="2" t="s">
        <v>5184</v>
      </c>
      <c r="BB399" s="2" t="s">
        <v>79</v>
      </c>
      <c r="BD399" s="2" t="s">
        <v>5185</v>
      </c>
      <c r="BE399" s="2" t="s">
        <v>5186</v>
      </c>
      <c r="BF399" s="2" t="s">
        <v>5187</v>
      </c>
    </row>
    <row r="400" spans="1:58" ht="46.5" customHeight="1">
      <c r="A400" s="1"/>
      <c r="B400" s="1" t="s">
        <v>58</v>
      </c>
      <c r="C400" s="1" t="s">
        <v>59</v>
      </c>
      <c r="D400" s="1" t="s">
        <v>5176</v>
      </c>
      <c r="E400" s="1" t="s">
        <v>5177</v>
      </c>
      <c r="F400" s="1" t="s">
        <v>5178</v>
      </c>
      <c r="G400" s="2" t="s">
        <v>1538</v>
      </c>
      <c r="H400" s="2" t="s">
        <v>92</v>
      </c>
      <c r="I400" s="2" t="s">
        <v>64</v>
      </c>
      <c r="J400" s="2" t="s">
        <v>63</v>
      </c>
      <c r="K400" s="2" t="s">
        <v>63</v>
      </c>
      <c r="L400" s="2" t="s">
        <v>65</v>
      </c>
      <c r="N400" s="1" t="s">
        <v>5179</v>
      </c>
      <c r="O400" s="2" t="s">
        <v>292</v>
      </c>
      <c r="Q400" s="2" t="s">
        <v>70</v>
      </c>
      <c r="R400" s="2" t="s">
        <v>89</v>
      </c>
      <c r="T400" s="2" t="s">
        <v>72</v>
      </c>
      <c r="U400" s="3">
        <v>5</v>
      </c>
      <c r="V400" s="3">
        <v>9</v>
      </c>
      <c r="W400" s="4" t="s">
        <v>5180</v>
      </c>
      <c r="X400" s="4" t="s">
        <v>5180</v>
      </c>
      <c r="Y400" s="4" t="s">
        <v>1815</v>
      </c>
      <c r="Z400" s="4" t="s">
        <v>1815</v>
      </c>
      <c r="AA400" s="3">
        <v>117</v>
      </c>
      <c r="AB400" s="3">
        <v>87</v>
      </c>
      <c r="AC400" s="3">
        <v>89</v>
      </c>
      <c r="AD400" s="3">
        <v>1</v>
      </c>
      <c r="AE400" s="3">
        <v>1</v>
      </c>
      <c r="AF400" s="3">
        <v>1</v>
      </c>
      <c r="AG400" s="3">
        <v>1</v>
      </c>
      <c r="AH400" s="3">
        <v>1</v>
      </c>
      <c r="AI400" s="3">
        <v>1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2" t="s">
        <v>63</v>
      </c>
      <c r="AS400" s="2" t="s">
        <v>92</v>
      </c>
      <c r="AT400" s="5" t="str">
        <f>HYPERLINK("http://catalog.hathitrust.org/Record/000875059","HathiTrust Record")</f>
        <v>HathiTrust Record</v>
      </c>
      <c r="AU400" s="5" t="str">
        <f>HYPERLINK("https://creighton-primo.hosted.exlibrisgroup.com/primo-explore/search?tab=default_tab&amp;search_scope=EVERYTHING&amp;vid=01CRU&amp;lang=en_US&amp;offset=0&amp;query=any,contains,991001417709702656","Catalog Record")</f>
        <v>Catalog Record</v>
      </c>
      <c r="AV400" s="5" t="str">
        <f>HYPERLINK("http://www.worldcat.org/oclc/15520654","WorldCat Record")</f>
        <v>WorldCat Record</v>
      </c>
      <c r="AW400" s="2" t="s">
        <v>5181</v>
      </c>
      <c r="AX400" s="2" t="s">
        <v>5182</v>
      </c>
      <c r="AY400" s="2" t="s">
        <v>5183</v>
      </c>
      <c r="AZ400" s="2" t="s">
        <v>5183</v>
      </c>
      <c r="BA400" s="2" t="s">
        <v>5184</v>
      </c>
      <c r="BB400" s="2" t="s">
        <v>79</v>
      </c>
      <c r="BD400" s="2" t="s">
        <v>5185</v>
      </c>
      <c r="BE400" s="2" t="s">
        <v>5188</v>
      </c>
      <c r="BF400" s="2" t="s">
        <v>5189</v>
      </c>
    </row>
    <row r="401" spans="1:58" ht="46.5" customHeight="1">
      <c r="A401" s="1"/>
      <c r="B401" s="1" t="s">
        <v>58</v>
      </c>
      <c r="C401" s="1" t="s">
        <v>59</v>
      </c>
      <c r="D401" s="1" t="s">
        <v>5190</v>
      </c>
      <c r="E401" s="1" t="s">
        <v>5191</v>
      </c>
      <c r="F401" s="1" t="s">
        <v>5192</v>
      </c>
      <c r="G401" s="2" t="s">
        <v>5193</v>
      </c>
      <c r="H401" s="2" t="s">
        <v>63</v>
      </c>
      <c r="I401" s="2" t="s">
        <v>64</v>
      </c>
      <c r="J401" s="2" t="s">
        <v>63</v>
      </c>
      <c r="K401" s="2" t="s">
        <v>63</v>
      </c>
      <c r="L401" s="2" t="s">
        <v>65</v>
      </c>
      <c r="N401" s="1" t="s">
        <v>5194</v>
      </c>
      <c r="O401" s="2" t="s">
        <v>119</v>
      </c>
      <c r="Q401" s="2" t="s">
        <v>70</v>
      </c>
      <c r="R401" s="2" t="s">
        <v>786</v>
      </c>
      <c r="S401" s="1" t="s">
        <v>5195</v>
      </c>
      <c r="T401" s="2" t="s">
        <v>72</v>
      </c>
      <c r="U401" s="3">
        <v>3</v>
      </c>
      <c r="V401" s="3">
        <v>3</v>
      </c>
      <c r="W401" s="4" t="s">
        <v>5196</v>
      </c>
      <c r="X401" s="4" t="s">
        <v>5196</v>
      </c>
      <c r="Y401" s="4" t="s">
        <v>5022</v>
      </c>
      <c r="Z401" s="4" t="s">
        <v>5022</v>
      </c>
      <c r="AA401" s="3">
        <v>181</v>
      </c>
      <c r="AB401" s="3">
        <v>110</v>
      </c>
      <c r="AC401" s="3">
        <v>113</v>
      </c>
      <c r="AD401" s="3">
        <v>1</v>
      </c>
      <c r="AE401" s="3">
        <v>1</v>
      </c>
      <c r="AF401" s="3">
        <v>2</v>
      </c>
      <c r="AG401" s="3">
        <v>2</v>
      </c>
      <c r="AH401" s="3">
        <v>0</v>
      </c>
      <c r="AI401" s="3">
        <v>0</v>
      </c>
      <c r="AJ401" s="3">
        <v>2</v>
      </c>
      <c r="AK401" s="3">
        <v>2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2" t="s">
        <v>63</v>
      </c>
      <c r="AS401" s="2" t="s">
        <v>92</v>
      </c>
      <c r="AT401" s="5" t="str">
        <f>HYPERLINK("http://catalog.hathitrust.org/Record/000767926","HathiTrust Record")</f>
        <v>HathiTrust Record</v>
      </c>
      <c r="AU401" s="5" t="str">
        <f>HYPERLINK("https://creighton-primo.hosted.exlibrisgroup.com/primo-explore/search?tab=default_tab&amp;search_scope=EVERYTHING&amp;vid=01CRU&amp;lang=en_US&amp;offset=0&amp;query=any,contains,991000960419702656","Catalog Record")</f>
        <v>Catalog Record</v>
      </c>
      <c r="AV401" s="5" t="str">
        <f>HYPERLINK("http://www.worldcat.org/oclc/8132563","WorldCat Record")</f>
        <v>WorldCat Record</v>
      </c>
      <c r="AW401" s="2" t="s">
        <v>5197</v>
      </c>
      <c r="AX401" s="2" t="s">
        <v>5198</v>
      </c>
      <c r="AY401" s="2" t="s">
        <v>5199</v>
      </c>
      <c r="AZ401" s="2" t="s">
        <v>5199</v>
      </c>
      <c r="BA401" s="2" t="s">
        <v>5200</v>
      </c>
      <c r="BB401" s="2" t="s">
        <v>79</v>
      </c>
      <c r="BD401" s="2" t="s">
        <v>5201</v>
      </c>
      <c r="BE401" s="2" t="s">
        <v>5202</v>
      </c>
      <c r="BF401" s="2" t="s">
        <v>5203</v>
      </c>
    </row>
    <row r="402" spans="1:58" ht="46.5" customHeight="1">
      <c r="A402" s="1"/>
      <c r="B402" s="1" t="s">
        <v>58</v>
      </c>
      <c r="C402" s="1" t="s">
        <v>59</v>
      </c>
      <c r="D402" s="1" t="s">
        <v>5204</v>
      </c>
      <c r="E402" s="1" t="s">
        <v>5205</v>
      </c>
      <c r="F402" s="1" t="s">
        <v>5206</v>
      </c>
      <c r="H402" s="2" t="s">
        <v>63</v>
      </c>
      <c r="I402" s="2" t="s">
        <v>64</v>
      </c>
      <c r="J402" s="2" t="s">
        <v>63</v>
      </c>
      <c r="K402" s="2" t="s">
        <v>63</v>
      </c>
      <c r="L402" s="2" t="s">
        <v>65</v>
      </c>
      <c r="N402" s="1" t="s">
        <v>5207</v>
      </c>
      <c r="O402" s="2" t="s">
        <v>407</v>
      </c>
      <c r="Q402" s="2" t="s">
        <v>70</v>
      </c>
      <c r="R402" s="2" t="s">
        <v>424</v>
      </c>
      <c r="S402" s="1" t="s">
        <v>5208</v>
      </c>
      <c r="T402" s="2" t="s">
        <v>72</v>
      </c>
      <c r="U402" s="3">
        <v>4</v>
      </c>
      <c r="V402" s="3">
        <v>4</v>
      </c>
      <c r="W402" s="4" t="s">
        <v>5209</v>
      </c>
      <c r="X402" s="4" t="s">
        <v>5209</v>
      </c>
      <c r="Y402" s="4" t="s">
        <v>5210</v>
      </c>
      <c r="Z402" s="4" t="s">
        <v>5210</v>
      </c>
      <c r="AA402" s="3">
        <v>109</v>
      </c>
      <c r="AB402" s="3">
        <v>71</v>
      </c>
      <c r="AC402" s="3">
        <v>73</v>
      </c>
      <c r="AD402" s="3">
        <v>1</v>
      </c>
      <c r="AE402" s="3">
        <v>1</v>
      </c>
      <c r="AF402" s="3">
        <v>1</v>
      </c>
      <c r="AG402" s="3">
        <v>1</v>
      </c>
      <c r="AH402" s="3">
        <v>0</v>
      </c>
      <c r="AI402" s="3">
        <v>0</v>
      </c>
      <c r="AJ402" s="3">
        <v>1</v>
      </c>
      <c r="AK402" s="3">
        <v>1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2" t="s">
        <v>63</v>
      </c>
      <c r="AS402" s="2" t="s">
        <v>92</v>
      </c>
      <c r="AT402" s="5" t="str">
        <f>HYPERLINK("http://catalog.hathitrust.org/Record/002233577","HathiTrust Record")</f>
        <v>HathiTrust Record</v>
      </c>
      <c r="AU402" s="5" t="str">
        <f>HYPERLINK("https://creighton-primo.hosted.exlibrisgroup.com/primo-explore/search?tab=default_tab&amp;search_scope=EVERYTHING&amp;vid=01CRU&amp;lang=en_US&amp;offset=0&amp;query=any,contains,991000816339702656","Catalog Record")</f>
        <v>Catalog Record</v>
      </c>
      <c r="AV402" s="5" t="str">
        <f>HYPERLINK("http://www.worldcat.org/oclc/22005487","WorldCat Record")</f>
        <v>WorldCat Record</v>
      </c>
      <c r="AW402" s="2" t="s">
        <v>5211</v>
      </c>
      <c r="AX402" s="2" t="s">
        <v>5212</v>
      </c>
      <c r="AY402" s="2" t="s">
        <v>5213</v>
      </c>
      <c r="AZ402" s="2" t="s">
        <v>5213</v>
      </c>
      <c r="BA402" s="2" t="s">
        <v>5214</v>
      </c>
      <c r="BB402" s="2" t="s">
        <v>79</v>
      </c>
      <c r="BD402" s="2" t="s">
        <v>5215</v>
      </c>
      <c r="BE402" s="2" t="s">
        <v>5216</v>
      </c>
      <c r="BF402" s="2" t="s">
        <v>5217</v>
      </c>
    </row>
    <row r="403" spans="1:58" ht="46.5" customHeight="1">
      <c r="A403" s="1"/>
      <c r="B403" s="1" t="s">
        <v>58</v>
      </c>
      <c r="C403" s="1" t="s">
        <v>59</v>
      </c>
      <c r="D403" s="1" t="s">
        <v>5218</v>
      </c>
      <c r="E403" s="1" t="s">
        <v>5219</v>
      </c>
      <c r="F403" s="1" t="s">
        <v>5220</v>
      </c>
      <c r="H403" s="2" t="s">
        <v>63</v>
      </c>
      <c r="I403" s="2" t="s">
        <v>64</v>
      </c>
      <c r="J403" s="2" t="s">
        <v>63</v>
      </c>
      <c r="K403" s="2" t="s">
        <v>63</v>
      </c>
      <c r="L403" s="2" t="s">
        <v>65</v>
      </c>
      <c r="N403" s="1" t="s">
        <v>5221</v>
      </c>
      <c r="O403" s="2" t="s">
        <v>407</v>
      </c>
      <c r="P403" s="1" t="s">
        <v>376</v>
      </c>
      <c r="Q403" s="2" t="s">
        <v>70</v>
      </c>
      <c r="R403" s="2" t="s">
        <v>260</v>
      </c>
      <c r="T403" s="2" t="s">
        <v>72</v>
      </c>
      <c r="U403" s="3">
        <v>1</v>
      </c>
      <c r="V403" s="3">
        <v>1</v>
      </c>
      <c r="W403" s="4" t="s">
        <v>5222</v>
      </c>
      <c r="X403" s="4" t="s">
        <v>5222</v>
      </c>
      <c r="Y403" s="4" t="s">
        <v>5222</v>
      </c>
      <c r="Z403" s="4" t="s">
        <v>5222</v>
      </c>
      <c r="AA403" s="3">
        <v>54</v>
      </c>
      <c r="AB403" s="3">
        <v>46</v>
      </c>
      <c r="AC403" s="3">
        <v>48</v>
      </c>
      <c r="AD403" s="3">
        <v>1</v>
      </c>
      <c r="AE403" s="3">
        <v>1</v>
      </c>
      <c r="AF403" s="3">
        <v>1</v>
      </c>
      <c r="AG403" s="3">
        <v>1</v>
      </c>
      <c r="AH403" s="3">
        <v>0</v>
      </c>
      <c r="AI403" s="3">
        <v>0</v>
      </c>
      <c r="AJ403" s="3">
        <v>1</v>
      </c>
      <c r="AK403" s="3">
        <v>1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2" t="s">
        <v>63</v>
      </c>
      <c r="AS403" s="2" t="s">
        <v>92</v>
      </c>
      <c r="AT403" s="5" t="str">
        <f>HYPERLINK("http://catalog.hathitrust.org/Record/003253660","HathiTrust Record")</f>
        <v>HathiTrust Record</v>
      </c>
      <c r="AU403" s="5" t="str">
        <f>HYPERLINK("https://creighton-primo.hosted.exlibrisgroup.com/primo-explore/search?tab=default_tab&amp;search_scope=EVERYTHING&amp;vid=01CRU&amp;lang=en_US&amp;offset=0&amp;query=any,contains,991000770859702656","Catalog Record")</f>
        <v>Catalog Record</v>
      </c>
      <c r="AV403" s="5" t="str">
        <f>HYPERLINK("http://www.worldcat.org/oclc/22372109","WorldCat Record")</f>
        <v>WorldCat Record</v>
      </c>
      <c r="AW403" s="2" t="s">
        <v>5223</v>
      </c>
      <c r="AX403" s="2" t="s">
        <v>5224</v>
      </c>
      <c r="AY403" s="2" t="s">
        <v>5225</v>
      </c>
      <c r="AZ403" s="2" t="s">
        <v>5225</v>
      </c>
      <c r="BA403" s="2" t="s">
        <v>5226</v>
      </c>
      <c r="BB403" s="2" t="s">
        <v>79</v>
      </c>
      <c r="BE403" s="2" t="s">
        <v>5227</v>
      </c>
      <c r="BF403" s="2" t="s">
        <v>5228</v>
      </c>
    </row>
    <row r="404" spans="1:58" ht="46.5" customHeight="1">
      <c r="A404" s="1"/>
      <c r="B404" s="1" t="s">
        <v>58</v>
      </c>
      <c r="C404" s="1" t="s">
        <v>59</v>
      </c>
      <c r="D404" s="1" t="s">
        <v>5229</v>
      </c>
      <c r="E404" s="1" t="s">
        <v>5230</v>
      </c>
      <c r="F404" s="1" t="s">
        <v>5231</v>
      </c>
      <c r="H404" s="2" t="s">
        <v>63</v>
      </c>
      <c r="I404" s="2" t="s">
        <v>64</v>
      </c>
      <c r="J404" s="2" t="s">
        <v>63</v>
      </c>
      <c r="K404" s="2" t="s">
        <v>63</v>
      </c>
      <c r="L404" s="2" t="s">
        <v>65</v>
      </c>
      <c r="M404" s="1" t="s">
        <v>5232</v>
      </c>
      <c r="N404" s="1" t="s">
        <v>5233</v>
      </c>
      <c r="O404" s="2" t="s">
        <v>1241</v>
      </c>
      <c r="Q404" s="2" t="s">
        <v>70</v>
      </c>
      <c r="R404" s="2" t="s">
        <v>277</v>
      </c>
      <c r="T404" s="2" t="s">
        <v>72</v>
      </c>
      <c r="U404" s="3">
        <v>0</v>
      </c>
      <c r="V404" s="3">
        <v>0</v>
      </c>
      <c r="W404" s="4" t="s">
        <v>3309</v>
      </c>
      <c r="X404" s="4" t="s">
        <v>3309</v>
      </c>
      <c r="Y404" s="4" t="s">
        <v>3309</v>
      </c>
      <c r="Z404" s="4" t="s">
        <v>3309</v>
      </c>
      <c r="AA404" s="3">
        <v>23</v>
      </c>
      <c r="AB404" s="3">
        <v>16</v>
      </c>
      <c r="AC404" s="3">
        <v>16</v>
      </c>
      <c r="AD404" s="3">
        <v>1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2" t="s">
        <v>63</v>
      </c>
      <c r="AS404" s="2" t="s">
        <v>63</v>
      </c>
      <c r="AU404" s="5" t="str">
        <f>HYPERLINK("https://creighton-primo.hosted.exlibrisgroup.com/primo-explore/search?tab=default_tab&amp;search_scope=EVERYTHING&amp;vid=01CRU&amp;lang=en_US&amp;offset=0&amp;query=any,contains,991001462009702656","Catalog Record")</f>
        <v>Catalog Record</v>
      </c>
      <c r="AV404" s="5" t="str">
        <f>HYPERLINK("http://www.worldcat.org/oclc/221220296","WorldCat Record")</f>
        <v>WorldCat Record</v>
      </c>
      <c r="AW404" s="2" t="s">
        <v>5234</v>
      </c>
      <c r="AX404" s="2" t="s">
        <v>5235</v>
      </c>
      <c r="AY404" s="2" t="s">
        <v>5236</v>
      </c>
      <c r="AZ404" s="2" t="s">
        <v>5236</v>
      </c>
      <c r="BA404" s="2" t="s">
        <v>5237</v>
      </c>
      <c r="BB404" s="2" t="s">
        <v>79</v>
      </c>
      <c r="BD404" s="2" t="s">
        <v>5238</v>
      </c>
      <c r="BE404" s="2" t="s">
        <v>5239</v>
      </c>
      <c r="BF404" s="2" t="s">
        <v>5240</v>
      </c>
    </row>
    <row r="405" spans="1:58" ht="46.5" customHeight="1">
      <c r="A405" s="1"/>
      <c r="B405" s="1" t="s">
        <v>58</v>
      </c>
      <c r="C405" s="1" t="s">
        <v>59</v>
      </c>
      <c r="D405" s="1" t="s">
        <v>5241</v>
      </c>
      <c r="E405" s="1" t="s">
        <v>5242</v>
      </c>
      <c r="F405" s="1" t="s">
        <v>5243</v>
      </c>
      <c r="H405" s="2" t="s">
        <v>63</v>
      </c>
      <c r="I405" s="2" t="s">
        <v>64</v>
      </c>
      <c r="J405" s="2" t="s">
        <v>63</v>
      </c>
      <c r="K405" s="2" t="s">
        <v>63</v>
      </c>
      <c r="L405" s="2" t="s">
        <v>65</v>
      </c>
      <c r="M405" s="1" t="s">
        <v>5244</v>
      </c>
      <c r="N405" s="1" t="s">
        <v>5245</v>
      </c>
      <c r="O405" s="2" t="s">
        <v>119</v>
      </c>
      <c r="Q405" s="2" t="s">
        <v>70</v>
      </c>
      <c r="R405" s="2" t="s">
        <v>277</v>
      </c>
      <c r="T405" s="2" t="s">
        <v>72</v>
      </c>
      <c r="U405" s="3">
        <v>2</v>
      </c>
      <c r="V405" s="3">
        <v>2</v>
      </c>
      <c r="W405" s="4" t="s">
        <v>5246</v>
      </c>
      <c r="X405" s="4" t="s">
        <v>5246</v>
      </c>
      <c r="Y405" s="4" t="s">
        <v>5022</v>
      </c>
      <c r="Z405" s="4" t="s">
        <v>5022</v>
      </c>
      <c r="AA405" s="3">
        <v>98</v>
      </c>
      <c r="AB405" s="3">
        <v>73</v>
      </c>
      <c r="AC405" s="3">
        <v>75</v>
      </c>
      <c r="AD405" s="3">
        <v>1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2" t="s">
        <v>63</v>
      </c>
      <c r="AS405" s="2" t="s">
        <v>92</v>
      </c>
      <c r="AT405" s="5" t="str">
        <f>HYPERLINK("http://catalog.hathitrust.org/Record/000319459","HathiTrust Record")</f>
        <v>HathiTrust Record</v>
      </c>
      <c r="AU405" s="5" t="str">
        <f>HYPERLINK("https://creighton-primo.hosted.exlibrisgroup.com/primo-explore/search?tab=default_tab&amp;search_scope=EVERYTHING&amp;vid=01CRU&amp;lang=en_US&amp;offset=0&amp;query=any,contains,991000960339702656","Catalog Record")</f>
        <v>Catalog Record</v>
      </c>
      <c r="AV405" s="5" t="str">
        <f>HYPERLINK("http://www.worldcat.org/oclc/8533462","WorldCat Record")</f>
        <v>WorldCat Record</v>
      </c>
      <c r="AW405" s="2" t="s">
        <v>5247</v>
      </c>
      <c r="AX405" s="2" t="s">
        <v>5248</v>
      </c>
      <c r="AY405" s="2" t="s">
        <v>5249</v>
      </c>
      <c r="AZ405" s="2" t="s">
        <v>5249</v>
      </c>
      <c r="BA405" s="2" t="s">
        <v>5250</v>
      </c>
      <c r="BB405" s="2" t="s">
        <v>79</v>
      </c>
      <c r="BD405" s="2" t="s">
        <v>5251</v>
      </c>
      <c r="BE405" s="2" t="s">
        <v>5252</v>
      </c>
      <c r="BF405" s="2" t="s">
        <v>5253</v>
      </c>
    </row>
    <row r="406" spans="1:58" ht="46.5" customHeight="1">
      <c r="A406" s="1"/>
      <c r="B406" s="1" t="s">
        <v>58</v>
      </c>
      <c r="C406" s="1" t="s">
        <v>59</v>
      </c>
      <c r="D406" s="1" t="s">
        <v>5254</v>
      </c>
      <c r="E406" s="1" t="s">
        <v>5255</v>
      </c>
      <c r="F406" s="1" t="s">
        <v>5256</v>
      </c>
      <c r="H406" s="2" t="s">
        <v>63</v>
      </c>
      <c r="I406" s="2" t="s">
        <v>64</v>
      </c>
      <c r="J406" s="2" t="s">
        <v>63</v>
      </c>
      <c r="K406" s="2" t="s">
        <v>63</v>
      </c>
      <c r="L406" s="2" t="s">
        <v>65</v>
      </c>
      <c r="N406" s="1" t="s">
        <v>5257</v>
      </c>
      <c r="O406" s="2" t="s">
        <v>132</v>
      </c>
      <c r="Q406" s="2" t="s">
        <v>70</v>
      </c>
      <c r="R406" s="2" t="s">
        <v>786</v>
      </c>
      <c r="S406" s="1" t="s">
        <v>5258</v>
      </c>
      <c r="T406" s="2" t="s">
        <v>72</v>
      </c>
      <c r="U406" s="3">
        <v>3</v>
      </c>
      <c r="V406" s="3">
        <v>3</v>
      </c>
      <c r="W406" s="4" t="s">
        <v>5259</v>
      </c>
      <c r="X406" s="4" t="s">
        <v>5259</v>
      </c>
      <c r="Y406" s="4" t="s">
        <v>979</v>
      </c>
      <c r="Z406" s="4" t="s">
        <v>979</v>
      </c>
      <c r="AA406" s="3">
        <v>55</v>
      </c>
      <c r="AB406" s="3">
        <v>42</v>
      </c>
      <c r="AC406" s="3">
        <v>82</v>
      </c>
      <c r="AD406" s="3">
        <v>1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2" t="s">
        <v>63</v>
      </c>
      <c r="AS406" s="2" t="s">
        <v>63</v>
      </c>
      <c r="AU406" s="5" t="str">
        <f>HYPERLINK("https://creighton-primo.hosted.exlibrisgroup.com/primo-explore/search?tab=default_tab&amp;search_scope=EVERYTHING&amp;vid=01CRU&amp;lang=en_US&amp;offset=0&amp;query=any,contains,991001512589702656","Catalog Record")</f>
        <v>Catalog Record</v>
      </c>
      <c r="AV406" s="5" t="str">
        <f>HYPERLINK("http://www.worldcat.org/oclc/26674950","WorldCat Record")</f>
        <v>WorldCat Record</v>
      </c>
      <c r="AW406" s="2" t="s">
        <v>5260</v>
      </c>
      <c r="AX406" s="2" t="s">
        <v>5261</v>
      </c>
      <c r="AY406" s="2" t="s">
        <v>5262</v>
      </c>
      <c r="AZ406" s="2" t="s">
        <v>5262</v>
      </c>
      <c r="BA406" s="2" t="s">
        <v>5263</v>
      </c>
      <c r="BB406" s="2" t="s">
        <v>79</v>
      </c>
      <c r="BD406" s="2" t="s">
        <v>5264</v>
      </c>
      <c r="BE406" s="2" t="s">
        <v>5265</v>
      </c>
      <c r="BF406" s="2" t="s">
        <v>5266</v>
      </c>
    </row>
    <row r="407" spans="1:58" ht="46.5" customHeight="1">
      <c r="A407" s="1"/>
      <c r="B407" s="1" t="s">
        <v>58</v>
      </c>
      <c r="C407" s="1" t="s">
        <v>59</v>
      </c>
      <c r="D407" s="1" t="s">
        <v>5267</v>
      </c>
      <c r="E407" s="1" t="s">
        <v>5268</v>
      </c>
      <c r="F407" s="1" t="s">
        <v>5269</v>
      </c>
      <c r="H407" s="2" t="s">
        <v>63</v>
      </c>
      <c r="I407" s="2" t="s">
        <v>64</v>
      </c>
      <c r="J407" s="2" t="s">
        <v>63</v>
      </c>
      <c r="K407" s="2" t="s">
        <v>63</v>
      </c>
      <c r="L407" s="2" t="s">
        <v>65</v>
      </c>
      <c r="N407" s="1" t="s">
        <v>5270</v>
      </c>
      <c r="O407" s="2" t="s">
        <v>198</v>
      </c>
      <c r="Q407" s="2" t="s">
        <v>70</v>
      </c>
      <c r="R407" s="2" t="s">
        <v>555</v>
      </c>
      <c r="S407" s="1" t="s">
        <v>5271</v>
      </c>
      <c r="T407" s="2" t="s">
        <v>72</v>
      </c>
      <c r="U407" s="3">
        <v>2</v>
      </c>
      <c r="V407" s="3">
        <v>2</v>
      </c>
      <c r="W407" s="4" t="s">
        <v>1560</v>
      </c>
      <c r="X407" s="4" t="s">
        <v>1560</v>
      </c>
      <c r="Y407" s="4" t="s">
        <v>1560</v>
      </c>
      <c r="Z407" s="4" t="s">
        <v>1560</v>
      </c>
      <c r="AA407" s="3">
        <v>76</v>
      </c>
      <c r="AB407" s="3">
        <v>60</v>
      </c>
      <c r="AC407" s="3">
        <v>86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1</v>
      </c>
      <c r="AK407" s="3">
        <v>1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2" t="s">
        <v>63</v>
      </c>
      <c r="AS407" s="2" t="s">
        <v>63</v>
      </c>
      <c r="AU407" s="5" t="str">
        <f>HYPERLINK("https://creighton-primo.hosted.exlibrisgroup.com/primo-explore/search?tab=default_tab&amp;search_scope=EVERYTHING&amp;vid=01CRU&amp;lang=en_US&amp;offset=0&amp;query=any,contains,991001301319702656","Catalog Record")</f>
        <v>Catalog Record</v>
      </c>
      <c r="AV407" s="5" t="str">
        <f>HYPERLINK("http://www.worldcat.org/oclc/23691473","WorldCat Record")</f>
        <v>WorldCat Record</v>
      </c>
      <c r="AW407" s="2" t="s">
        <v>5272</v>
      </c>
      <c r="AX407" s="2" t="s">
        <v>5273</v>
      </c>
      <c r="AY407" s="2" t="s">
        <v>5274</v>
      </c>
      <c r="AZ407" s="2" t="s">
        <v>5274</v>
      </c>
      <c r="BA407" s="2" t="s">
        <v>5275</v>
      </c>
      <c r="BB407" s="2" t="s">
        <v>79</v>
      </c>
      <c r="BD407" s="2" t="s">
        <v>5276</v>
      </c>
      <c r="BE407" s="2" t="s">
        <v>5277</v>
      </c>
      <c r="BF407" s="2" t="s">
        <v>5278</v>
      </c>
    </row>
    <row r="408" spans="1:58" ht="46.5" customHeight="1">
      <c r="A408" s="1"/>
      <c r="B408" s="1" t="s">
        <v>58</v>
      </c>
      <c r="C408" s="1" t="s">
        <v>59</v>
      </c>
      <c r="D408" s="1" t="s">
        <v>5279</v>
      </c>
      <c r="E408" s="1" t="s">
        <v>5280</v>
      </c>
      <c r="F408" s="1" t="s">
        <v>5281</v>
      </c>
      <c r="H408" s="2" t="s">
        <v>63</v>
      </c>
      <c r="I408" s="2" t="s">
        <v>64</v>
      </c>
      <c r="J408" s="2" t="s">
        <v>63</v>
      </c>
      <c r="K408" s="2" t="s">
        <v>63</v>
      </c>
      <c r="L408" s="2" t="s">
        <v>65</v>
      </c>
      <c r="N408" s="1" t="s">
        <v>5282</v>
      </c>
      <c r="O408" s="2" t="s">
        <v>198</v>
      </c>
      <c r="Q408" s="2" t="s">
        <v>70</v>
      </c>
      <c r="R408" s="2" t="s">
        <v>89</v>
      </c>
      <c r="T408" s="2" t="s">
        <v>72</v>
      </c>
      <c r="U408" s="3">
        <v>6</v>
      </c>
      <c r="V408" s="3">
        <v>6</v>
      </c>
      <c r="W408" s="4" t="s">
        <v>5283</v>
      </c>
      <c r="X408" s="4" t="s">
        <v>5283</v>
      </c>
      <c r="Y408" s="4" t="s">
        <v>5284</v>
      </c>
      <c r="Z408" s="4" t="s">
        <v>5284</v>
      </c>
      <c r="AA408" s="3">
        <v>154</v>
      </c>
      <c r="AB408" s="3">
        <v>111</v>
      </c>
      <c r="AC408" s="3">
        <v>117</v>
      </c>
      <c r="AD408" s="3">
        <v>1</v>
      </c>
      <c r="AE408" s="3">
        <v>1</v>
      </c>
      <c r="AF408" s="3">
        <v>1</v>
      </c>
      <c r="AG408" s="3">
        <v>1</v>
      </c>
      <c r="AH408" s="3">
        <v>1</v>
      </c>
      <c r="AI408" s="3">
        <v>1</v>
      </c>
      <c r="AJ408" s="3">
        <v>1</v>
      </c>
      <c r="AK408" s="3">
        <v>1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2" t="s">
        <v>63</v>
      </c>
      <c r="AS408" s="2" t="s">
        <v>63</v>
      </c>
      <c r="AU408" s="5" t="str">
        <f>HYPERLINK("https://creighton-primo.hosted.exlibrisgroup.com/primo-explore/search?tab=default_tab&amp;search_scope=EVERYTHING&amp;vid=01CRU&amp;lang=en_US&amp;offset=0&amp;query=any,contains,991001017379702656","Catalog Record")</f>
        <v>Catalog Record</v>
      </c>
      <c r="AV408" s="5" t="str">
        <f>HYPERLINK("http://www.worldcat.org/oclc/21444204","WorldCat Record")</f>
        <v>WorldCat Record</v>
      </c>
      <c r="AW408" s="2" t="s">
        <v>5285</v>
      </c>
      <c r="AX408" s="2" t="s">
        <v>5286</v>
      </c>
      <c r="AY408" s="2" t="s">
        <v>5287</v>
      </c>
      <c r="AZ408" s="2" t="s">
        <v>5287</v>
      </c>
      <c r="BA408" s="2" t="s">
        <v>5288</v>
      </c>
      <c r="BB408" s="2" t="s">
        <v>79</v>
      </c>
      <c r="BD408" s="2" t="s">
        <v>5289</v>
      </c>
      <c r="BE408" s="2" t="s">
        <v>5290</v>
      </c>
      <c r="BF408" s="2" t="s">
        <v>5291</v>
      </c>
    </row>
    <row r="409" spans="1:58" ht="46.5" customHeight="1">
      <c r="A409" s="1"/>
      <c r="B409" s="1" t="s">
        <v>58</v>
      </c>
      <c r="C409" s="1" t="s">
        <v>59</v>
      </c>
      <c r="D409" s="1" t="s">
        <v>5292</v>
      </c>
      <c r="E409" s="1" t="s">
        <v>5293</v>
      </c>
      <c r="F409" s="1" t="s">
        <v>5294</v>
      </c>
      <c r="H409" s="2" t="s">
        <v>63</v>
      </c>
      <c r="I409" s="2" t="s">
        <v>64</v>
      </c>
      <c r="J409" s="2" t="s">
        <v>63</v>
      </c>
      <c r="K409" s="2" t="s">
        <v>63</v>
      </c>
      <c r="L409" s="2" t="s">
        <v>65</v>
      </c>
      <c r="N409" s="1" t="s">
        <v>5295</v>
      </c>
      <c r="O409" s="2" t="s">
        <v>198</v>
      </c>
      <c r="Q409" s="2" t="s">
        <v>70</v>
      </c>
      <c r="R409" s="2" t="s">
        <v>470</v>
      </c>
      <c r="T409" s="2" t="s">
        <v>72</v>
      </c>
      <c r="U409" s="3">
        <v>4</v>
      </c>
      <c r="V409" s="3">
        <v>4</v>
      </c>
      <c r="W409" s="4" t="s">
        <v>5116</v>
      </c>
      <c r="X409" s="4" t="s">
        <v>5116</v>
      </c>
      <c r="Y409" s="4" t="s">
        <v>5296</v>
      </c>
      <c r="Z409" s="4" t="s">
        <v>5296</v>
      </c>
      <c r="AA409" s="3">
        <v>147</v>
      </c>
      <c r="AB409" s="3">
        <v>114</v>
      </c>
      <c r="AC409" s="3">
        <v>114</v>
      </c>
      <c r="AD409" s="3">
        <v>1</v>
      </c>
      <c r="AE409" s="3">
        <v>1</v>
      </c>
      <c r="AF409" s="3">
        <v>2</v>
      </c>
      <c r="AG409" s="3">
        <v>2</v>
      </c>
      <c r="AH409" s="3">
        <v>0</v>
      </c>
      <c r="AI409" s="3">
        <v>0</v>
      </c>
      <c r="AJ409" s="3">
        <v>1</v>
      </c>
      <c r="AK409" s="3">
        <v>1</v>
      </c>
      <c r="AL409" s="3">
        <v>1</v>
      </c>
      <c r="AM409" s="3">
        <v>1</v>
      </c>
      <c r="AN409" s="3">
        <v>0</v>
      </c>
      <c r="AO409" s="3">
        <v>0</v>
      </c>
      <c r="AP409" s="3">
        <v>0</v>
      </c>
      <c r="AQ409" s="3">
        <v>0</v>
      </c>
      <c r="AR409" s="2" t="s">
        <v>63</v>
      </c>
      <c r="AS409" s="2" t="s">
        <v>63</v>
      </c>
      <c r="AU409" s="5" t="str">
        <f>HYPERLINK("https://creighton-primo.hosted.exlibrisgroup.com/primo-explore/search?tab=default_tab&amp;search_scope=EVERYTHING&amp;vid=01CRU&amp;lang=en_US&amp;offset=0&amp;query=any,contains,991000813869702656","Catalog Record")</f>
        <v>Catalog Record</v>
      </c>
      <c r="AV409" s="5" t="str">
        <f>HYPERLINK("http://www.worldcat.org/oclc/22422590","WorldCat Record")</f>
        <v>WorldCat Record</v>
      </c>
      <c r="AW409" s="2" t="s">
        <v>5297</v>
      </c>
      <c r="AX409" s="2" t="s">
        <v>5298</v>
      </c>
      <c r="AY409" s="2" t="s">
        <v>5299</v>
      </c>
      <c r="AZ409" s="2" t="s">
        <v>5299</v>
      </c>
      <c r="BA409" s="2" t="s">
        <v>5300</v>
      </c>
      <c r="BB409" s="2" t="s">
        <v>79</v>
      </c>
      <c r="BD409" s="2" t="s">
        <v>5301</v>
      </c>
      <c r="BE409" s="2" t="s">
        <v>5302</v>
      </c>
      <c r="BF409" s="2" t="s">
        <v>5303</v>
      </c>
    </row>
    <row r="410" spans="1:58" ht="46.5" customHeight="1">
      <c r="A410" s="1"/>
      <c r="B410" s="1" t="s">
        <v>58</v>
      </c>
      <c r="C410" s="1" t="s">
        <v>59</v>
      </c>
      <c r="D410" s="1" t="s">
        <v>5304</v>
      </c>
      <c r="E410" s="1" t="s">
        <v>5305</v>
      </c>
      <c r="F410" s="1" t="s">
        <v>5306</v>
      </c>
      <c r="H410" s="2" t="s">
        <v>63</v>
      </c>
      <c r="I410" s="2" t="s">
        <v>64</v>
      </c>
      <c r="J410" s="2" t="s">
        <v>63</v>
      </c>
      <c r="K410" s="2" t="s">
        <v>63</v>
      </c>
      <c r="L410" s="2" t="s">
        <v>65</v>
      </c>
      <c r="N410" s="1" t="s">
        <v>5307</v>
      </c>
      <c r="O410" s="2" t="s">
        <v>104</v>
      </c>
      <c r="Q410" s="2" t="s">
        <v>70</v>
      </c>
      <c r="R410" s="2" t="s">
        <v>89</v>
      </c>
      <c r="T410" s="2" t="s">
        <v>72</v>
      </c>
      <c r="U410" s="3">
        <v>10</v>
      </c>
      <c r="V410" s="3">
        <v>10</v>
      </c>
      <c r="W410" s="4" t="s">
        <v>5308</v>
      </c>
      <c r="X410" s="4" t="s">
        <v>5308</v>
      </c>
      <c r="Y410" s="4" t="s">
        <v>5022</v>
      </c>
      <c r="Z410" s="4" t="s">
        <v>5022</v>
      </c>
      <c r="AA410" s="3">
        <v>301</v>
      </c>
      <c r="AB410" s="3">
        <v>221</v>
      </c>
      <c r="AC410" s="3">
        <v>245</v>
      </c>
      <c r="AD410" s="3">
        <v>2</v>
      </c>
      <c r="AE410" s="3">
        <v>2</v>
      </c>
      <c r="AF410" s="3">
        <v>6</v>
      </c>
      <c r="AG410" s="3">
        <v>7</v>
      </c>
      <c r="AH410" s="3">
        <v>0</v>
      </c>
      <c r="AI410" s="3">
        <v>1</v>
      </c>
      <c r="AJ410" s="3">
        <v>2</v>
      </c>
      <c r="AK410" s="3">
        <v>2</v>
      </c>
      <c r="AL410" s="3">
        <v>4</v>
      </c>
      <c r="AM410" s="3">
        <v>5</v>
      </c>
      <c r="AN410" s="3">
        <v>1</v>
      </c>
      <c r="AO410" s="3">
        <v>1</v>
      </c>
      <c r="AP410" s="3">
        <v>0</v>
      </c>
      <c r="AQ410" s="3">
        <v>0</v>
      </c>
      <c r="AR410" s="2" t="s">
        <v>63</v>
      </c>
      <c r="AS410" s="2" t="s">
        <v>92</v>
      </c>
      <c r="AT410" s="5" t="str">
        <f>HYPERLINK("http://catalog.hathitrust.org/Record/000651060","HathiTrust Record")</f>
        <v>HathiTrust Record</v>
      </c>
      <c r="AU410" s="5" t="str">
        <f>HYPERLINK("https://creighton-primo.hosted.exlibrisgroup.com/primo-explore/search?tab=default_tab&amp;search_scope=EVERYTHING&amp;vid=01CRU&amp;lang=en_US&amp;offset=0&amp;query=any,contains,991000961079702656","Catalog Record")</f>
        <v>Catalog Record</v>
      </c>
      <c r="AV410" s="5" t="str">
        <f>HYPERLINK("http://www.worldcat.org/oclc/11234543","WorldCat Record")</f>
        <v>WorldCat Record</v>
      </c>
      <c r="AW410" s="2" t="s">
        <v>5309</v>
      </c>
      <c r="AX410" s="2" t="s">
        <v>5310</v>
      </c>
      <c r="AY410" s="2" t="s">
        <v>5311</v>
      </c>
      <c r="AZ410" s="2" t="s">
        <v>5311</v>
      </c>
      <c r="BA410" s="2" t="s">
        <v>5312</v>
      </c>
      <c r="BB410" s="2" t="s">
        <v>79</v>
      </c>
      <c r="BD410" s="2" t="s">
        <v>5313</v>
      </c>
      <c r="BE410" s="2" t="s">
        <v>5314</v>
      </c>
      <c r="BF410" s="2" t="s">
        <v>5315</v>
      </c>
    </row>
    <row r="411" spans="1:58" ht="46.5" customHeight="1">
      <c r="A411" s="1"/>
      <c r="B411" s="1" t="s">
        <v>58</v>
      </c>
      <c r="C411" s="1" t="s">
        <v>59</v>
      </c>
      <c r="D411" s="1" t="s">
        <v>5316</v>
      </c>
      <c r="E411" s="1" t="s">
        <v>5317</v>
      </c>
      <c r="F411" s="1" t="s">
        <v>5318</v>
      </c>
      <c r="H411" s="2" t="s">
        <v>63</v>
      </c>
      <c r="I411" s="2" t="s">
        <v>64</v>
      </c>
      <c r="J411" s="2" t="s">
        <v>63</v>
      </c>
      <c r="K411" s="2" t="s">
        <v>63</v>
      </c>
      <c r="L411" s="2" t="s">
        <v>65</v>
      </c>
      <c r="N411" s="1" t="s">
        <v>5319</v>
      </c>
      <c r="O411" s="2" t="s">
        <v>172</v>
      </c>
      <c r="Q411" s="2" t="s">
        <v>70</v>
      </c>
      <c r="R411" s="2" t="s">
        <v>89</v>
      </c>
      <c r="S411" s="1" t="s">
        <v>5320</v>
      </c>
      <c r="T411" s="2" t="s">
        <v>72</v>
      </c>
      <c r="U411" s="3">
        <v>2</v>
      </c>
      <c r="V411" s="3">
        <v>2</v>
      </c>
      <c r="W411" s="4" t="s">
        <v>5321</v>
      </c>
      <c r="X411" s="4" t="s">
        <v>5321</v>
      </c>
      <c r="Y411" s="4" t="s">
        <v>5022</v>
      </c>
      <c r="Z411" s="4" t="s">
        <v>5022</v>
      </c>
      <c r="AA411" s="3">
        <v>347</v>
      </c>
      <c r="AB411" s="3">
        <v>286</v>
      </c>
      <c r="AC411" s="3">
        <v>293</v>
      </c>
      <c r="AD411" s="3">
        <v>2</v>
      </c>
      <c r="AE411" s="3">
        <v>2</v>
      </c>
      <c r="AF411" s="3">
        <v>13</v>
      </c>
      <c r="AG411" s="3">
        <v>13</v>
      </c>
      <c r="AH411" s="3">
        <v>4</v>
      </c>
      <c r="AI411" s="3">
        <v>4</v>
      </c>
      <c r="AJ411" s="3">
        <v>4</v>
      </c>
      <c r="AK411" s="3">
        <v>4</v>
      </c>
      <c r="AL411" s="3">
        <v>9</v>
      </c>
      <c r="AM411" s="3">
        <v>9</v>
      </c>
      <c r="AN411" s="3">
        <v>1</v>
      </c>
      <c r="AO411" s="3">
        <v>1</v>
      </c>
      <c r="AP411" s="3">
        <v>0</v>
      </c>
      <c r="AQ411" s="3">
        <v>0</v>
      </c>
      <c r="AR411" s="2" t="s">
        <v>63</v>
      </c>
      <c r="AS411" s="2" t="s">
        <v>92</v>
      </c>
      <c r="AT411" s="5" t="str">
        <f>HYPERLINK("http://catalog.hathitrust.org/Record/000286616","HathiTrust Record")</f>
        <v>HathiTrust Record</v>
      </c>
      <c r="AU411" s="5" t="str">
        <f>HYPERLINK("https://creighton-primo.hosted.exlibrisgroup.com/primo-explore/search?tab=default_tab&amp;search_scope=EVERYTHING&amp;vid=01CRU&amp;lang=en_US&amp;offset=0&amp;query=any,contains,991000961259702656","Catalog Record")</f>
        <v>Catalog Record</v>
      </c>
      <c r="AV411" s="5" t="str">
        <f>HYPERLINK("http://www.worldcat.org/oclc/9685424","WorldCat Record")</f>
        <v>WorldCat Record</v>
      </c>
      <c r="AW411" s="2" t="s">
        <v>5322</v>
      </c>
      <c r="AX411" s="2" t="s">
        <v>5323</v>
      </c>
      <c r="AY411" s="2" t="s">
        <v>5324</v>
      </c>
      <c r="AZ411" s="2" t="s">
        <v>5324</v>
      </c>
      <c r="BA411" s="2" t="s">
        <v>5325</v>
      </c>
      <c r="BB411" s="2" t="s">
        <v>79</v>
      </c>
      <c r="BD411" s="2" t="s">
        <v>5326</v>
      </c>
      <c r="BE411" s="2" t="s">
        <v>5327</v>
      </c>
      <c r="BF411" s="2" t="s">
        <v>5328</v>
      </c>
    </row>
    <row r="412" spans="1:58" ht="46.5" customHeight="1">
      <c r="A412" s="1"/>
      <c r="B412" s="1" t="s">
        <v>58</v>
      </c>
      <c r="C412" s="1" t="s">
        <v>59</v>
      </c>
      <c r="D412" s="1" t="s">
        <v>5329</v>
      </c>
      <c r="E412" s="1" t="s">
        <v>5330</v>
      </c>
      <c r="F412" s="1" t="s">
        <v>5331</v>
      </c>
      <c r="H412" s="2" t="s">
        <v>63</v>
      </c>
      <c r="I412" s="2" t="s">
        <v>64</v>
      </c>
      <c r="J412" s="2" t="s">
        <v>63</v>
      </c>
      <c r="K412" s="2" t="s">
        <v>63</v>
      </c>
      <c r="L412" s="2" t="s">
        <v>65</v>
      </c>
      <c r="N412" s="1" t="s">
        <v>5332</v>
      </c>
      <c r="O412" s="2" t="s">
        <v>292</v>
      </c>
      <c r="Q412" s="2" t="s">
        <v>70</v>
      </c>
      <c r="R412" s="2" t="s">
        <v>377</v>
      </c>
      <c r="S412" s="1" t="s">
        <v>5333</v>
      </c>
      <c r="T412" s="2" t="s">
        <v>72</v>
      </c>
      <c r="U412" s="3">
        <v>8</v>
      </c>
      <c r="V412" s="3">
        <v>8</v>
      </c>
      <c r="W412" s="4" t="s">
        <v>5334</v>
      </c>
      <c r="X412" s="4" t="s">
        <v>5334</v>
      </c>
      <c r="Y412" s="4" t="s">
        <v>5335</v>
      </c>
      <c r="Z412" s="4" t="s">
        <v>5335</v>
      </c>
      <c r="AA412" s="3">
        <v>223</v>
      </c>
      <c r="AB412" s="3">
        <v>151</v>
      </c>
      <c r="AC412" s="3">
        <v>171</v>
      </c>
      <c r="AD412" s="3">
        <v>1</v>
      </c>
      <c r="AE412" s="3">
        <v>1</v>
      </c>
      <c r="AF412" s="3">
        <v>5</v>
      </c>
      <c r="AG412" s="3">
        <v>6</v>
      </c>
      <c r="AH412" s="3">
        <v>0</v>
      </c>
      <c r="AI412" s="3">
        <v>1</v>
      </c>
      <c r="AJ412" s="3">
        <v>3</v>
      </c>
      <c r="AK412" s="3">
        <v>3</v>
      </c>
      <c r="AL412" s="3">
        <v>3</v>
      </c>
      <c r="AM412" s="3">
        <v>4</v>
      </c>
      <c r="AN412" s="3">
        <v>0</v>
      </c>
      <c r="AO412" s="3">
        <v>0</v>
      </c>
      <c r="AP412" s="3">
        <v>0</v>
      </c>
      <c r="AQ412" s="3">
        <v>0</v>
      </c>
      <c r="AR412" s="2" t="s">
        <v>63</v>
      </c>
      <c r="AS412" s="2" t="s">
        <v>92</v>
      </c>
      <c r="AT412" s="5" t="str">
        <f>HYPERLINK("http://catalog.hathitrust.org/Record/000945735","HathiTrust Record")</f>
        <v>HathiTrust Record</v>
      </c>
      <c r="AU412" s="5" t="str">
        <f>HYPERLINK("https://creighton-primo.hosted.exlibrisgroup.com/primo-explore/search?tab=default_tab&amp;search_scope=EVERYTHING&amp;vid=01CRU&amp;lang=en_US&amp;offset=0&amp;query=any,contains,991001120979702656","Catalog Record")</f>
        <v>Catalog Record</v>
      </c>
      <c r="AV412" s="5" t="str">
        <f>HYPERLINK("http://www.worldcat.org/oclc/17354645","WorldCat Record")</f>
        <v>WorldCat Record</v>
      </c>
      <c r="AW412" s="2" t="s">
        <v>5336</v>
      </c>
      <c r="AX412" s="2" t="s">
        <v>5337</v>
      </c>
      <c r="AY412" s="2" t="s">
        <v>5338</v>
      </c>
      <c r="AZ412" s="2" t="s">
        <v>5338</v>
      </c>
      <c r="BA412" s="2" t="s">
        <v>5339</v>
      </c>
      <c r="BB412" s="2" t="s">
        <v>79</v>
      </c>
      <c r="BD412" s="2" t="s">
        <v>5340</v>
      </c>
      <c r="BE412" s="2" t="s">
        <v>5341</v>
      </c>
      <c r="BF412" s="2" t="s">
        <v>5342</v>
      </c>
    </row>
    <row r="413" spans="1:58" ht="46.5" customHeight="1">
      <c r="A413" s="1"/>
      <c r="B413" s="1" t="s">
        <v>58</v>
      </c>
      <c r="C413" s="1" t="s">
        <v>59</v>
      </c>
      <c r="D413" s="1" t="s">
        <v>5343</v>
      </c>
      <c r="E413" s="1" t="s">
        <v>5344</v>
      </c>
      <c r="F413" s="1" t="s">
        <v>5345</v>
      </c>
      <c r="H413" s="2" t="s">
        <v>63</v>
      </c>
      <c r="I413" s="2" t="s">
        <v>64</v>
      </c>
      <c r="J413" s="2" t="s">
        <v>63</v>
      </c>
      <c r="K413" s="2" t="s">
        <v>63</v>
      </c>
      <c r="L413" s="2" t="s">
        <v>65</v>
      </c>
      <c r="N413" s="1" t="s">
        <v>5346</v>
      </c>
      <c r="O413" s="2" t="s">
        <v>104</v>
      </c>
      <c r="Q413" s="2" t="s">
        <v>70</v>
      </c>
      <c r="R413" s="2" t="s">
        <v>1541</v>
      </c>
      <c r="T413" s="2" t="s">
        <v>72</v>
      </c>
      <c r="U413" s="3">
        <v>2</v>
      </c>
      <c r="V413" s="3">
        <v>2</v>
      </c>
      <c r="W413" s="4" t="s">
        <v>5308</v>
      </c>
      <c r="X413" s="4" t="s">
        <v>5308</v>
      </c>
      <c r="Y413" s="4" t="s">
        <v>5022</v>
      </c>
      <c r="Z413" s="4" t="s">
        <v>5022</v>
      </c>
      <c r="AA413" s="3">
        <v>210</v>
      </c>
      <c r="AB413" s="3">
        <v>160</v>
      </c>
      <c r="AC413" s="3">
        <v>209</v>
      </c>
      <c r="AD413" s="3">
        <v>1</v>
      </c>
      <c r="AE413" s="3">
        <v>1</v>
      </c>
      <c r="AF413" s="3">
        <v>6</v>
      </c>
      <c r="AG413" s="3">
        <v>8</v>
      </c>
      <c r="AH413" s="3">
        <v>1</v>
      </c>
      <c r="AI413" s="3">
        <v>3</v>
      </c>
      <c r="AJ413" s="3">
        <v>3</v>
      </c>
      <c r="AK413" s="3">
        <v>4</v>
      </c>
      <c r="AL413" s="3">
        <v>4</v>
      </c>
      <c r="AM413" s="3">
        <v>4</v>
      </c>
      <c r="AN413" s="3">
        <v>0</v>
      </c>
      <c r="AO413" s="3">
        <v>0</v>
      </c>
      <c r="AP413" s="3">
        <v>0</v>
      </c>
      <c r="AQ413" s="3">
        <v>0</v>
      </c>
      <c r="AR413" s="2" t="s">
        <v>63</v>
      </c>
      <c r="AS413" s="2" t="s">
        <v>92</v>
      </c>
      <c r="AT413" s="5" t="str">
        <f>HYPERLINK("http://catalog.hathitrust.org/Record/000579132","HathiTrust Record")</f>
        <v>HathiTrust Record</v>
      </c>
      <c r="AU413" s="5" t="str">
        <f>HYPERLINK("https://creighton-primo.hosted.exlibrisgroup.com/primo-explore/search?tab=default_tab&amp;search_scope=EVERYTHING&amp;vid=01CRU&amp;lang=en_US&amp;offset=0&amp;query=any,contains,991000961119702656","Catalog Record")</f>
        <v>Catalog Record</v>
      </c>
      <c r="AV413" s="5" t="str">
        <f>HYPERLINK("http://www.worldcat.org/oclc/11113581","WorldCat Record")</f>
        <v>WorldCat Record</v>
      </c>
      <c r="AW413" s="2" t="s">
        <v>5347</v>
      </c>
      <c r="AX413" s="2" t="s">
        <v>5348</v>
      </c>
      <c r="AY413" s="2" t="s">
        <v>5349</v>
      </c>
      <c r="AZ413" s="2" t="s">
        <v>5349</v>
      </c>
      <c r="BA413" s="2" t="s">
        <v>5350</v>
      </c>
      <c r="BB413" s="2" t="s">
        <v>79</v>
      </c>
      <c r="BD413" s="2" t="s">
        <v>5351</v>
      </c>
      <c r="BE413" s="2" t="s">
        <v>5352</v>
      </c>
      <c r="BF413" s="2" t="s">
        <v>5353</v>
      </c>
    </row>
    <row r="414" spans="1:58" ht="46.5" customHeight="1">
      <c r="A414" s="1"/>
      <c r="B414" s="1" t="s">
        <v>58</v>
      </c>
      <c r="C414" s="1" t="s">
        <v>59</v>
      </c>
      <c r="D414" s="1" t="s">
        <v>5354</v>
      </c>
      <c r="E414" s="1" t="s">
        <v>5355</v>
      </c>
      <c r="F414" s="1" t="s">
        <v>5356</v>
      </c>
      <c r="H414" s="2" t="s">
        <v>63</v>
      </c>
      <c r="I414" s="2" t="s">
        <v>64</v>
      </c>
      <c r="J414" s="2" t="s">
        <v>92</v>
      </c>
      <c r="K414" s="2" t="s">
        <v>63</v>
      </c>
      <c r="L414" s="2" t="s">
        <v>65</v>
      </c>
      <c r="M414" s="1" t="s">
        <v>5357</v>
      </c>
      <c r="N414" s="1" t="s">
        <v>5358</v>
      </c>
      <c r="O414" s="2" t="s">
        <v>172</v>
      </c>
      <c r="Q414" s="2" t="s">
        <v>70</v>
      </c>
      <c r="R414" s="2" t="s">
        <v>377</v>
      </c>
      <c r="S414" s="1" t="s">
        <v>5359</v>
      </c>
      <c r="T414" s="2" t="s">
        <v>72</v>
      </c>
      <c r="U414" s="3">
        <v>3</v>
      </c>
      <c r="V414" s="3">
        <v>3</v>
      </c>
      <c r="W414" s="4" t="s">
        <v>5360</v>
      </c>
      <c r="X414" s="4" t="s">
        <v>5360</v>
      </c>
      <c r="Y414" s="4" t="s">
        <v>5022</v>
      </c>
      <c r="Z414" s="4" t="s">
        <v>5022</v>
      </c>
      <c r="AA414" s="3">
        <v>448</v>
      </c>
      <c r="AB414" s="3">
        <v>323</v>
      </c>
      <c r="AC414" s="3">
        <v>325</v>
      </c>
      <c r="AD414" s="3">
        <v>3</v>
      </c>
      <c r="AE414" s="3">
        <v>3</v>
      </c>
      <c r="AF414" s="3">
        <v>15</v>
      </c>
      <c r="AG414" s="3">
        <v>15</v>
      </c>
      <c r="AH414" s="3">
        <v>6</v>
      </c>
      <c r="AI414" s="3">
        <v>6</v>
      </c>
      <c r="AJ414" s="3">
        <v>5</v>
      </c>
      <c r="AK414" s="3">
        <v>5</v>
      </c>
      <c r="AL414" s="3">
        <v>8</v>
      </c>
      <c r="AM414" s="3">
        <v>8</v>
      </c>
      <c r="AN414" s="3">
        <v>1</v>
      </c>
      <c r="AO414" s="3">
        <v>1</v>
      </c>
      <c r="AP414" s="3">
        <v>0</v>
      </c>
      <c r="AQ414" s="3">
        <v>0</v>
      </c>
      <c r="AR414" s="2" t="s">
        <v>63</v>
      </c>
      <c r="AS414" s="2" t="s">
        <v>92</v>
      </c>
      <c r="AT414" s="5" t="str">
        <f>HYPERLINK("http://catalog.hathitrust.org/Record/000203548","HathiTrust Record")</f>
        <v>HathiTrust Record</v>
      </c>
      <c r="AU414" s="5" t="str">
        <f>HYPERLINK("https://creighton-primo.hosted.exlibrisgroup.com/primo-explore/search?tab=default_tab&amp;search_scope=EVERYTHING&amp;vid=01CRU&amp;lang=en_US&amp;offset=0&amp;query=any,contains,991000961159702656","Catalog Record")</f>
        <v>Catalog Record</v>
      </c>
      <c r="AV414" s="5" t="str">
        <f>HYPERLINK("http://www.worldcat.org/oclc/8476156","WorldCat Record")</f>
        <v>WorldCat Record</v>
      </c>
      <c r="AW414" s="2" t="s">
        <v>5361</v>
      </c>
      <c r="AX414" s="2" t="s">
        <v>5362</v>
      </c>
      <c r="AY414" s="2" t="s">
        <v>5363</v>
      </c>
      <c r="AZ414" s="2" t="s">
        <v>5363</v>
      </c>
      <c r="BA414" s="2" t="s">
        <v>5364</v>
      </c>
      <c r="BB414" s="2" t="s">
        <v>79</v>
      </c>
      <c r="BD414" s="2" t="s">
        <v>5365</v>
      </c>
      <c r="BE414" s="2" t="s">
        <v>5366</v>
      </c>
      <c r="BF414" s="2" t="s">
        <v>5367</v>
      </c>
    </row>
    <row r="415" spans="1:58" ht="46.5" customHeight="1">
      <c r="A415" s="1"/>
      <c r="B415" s="1" t="s">
        <v>58</v>
      </c>
      <c r="C415" s="1" t="s">
        <v>59</v>
      </c>
      <c r="D415" s="1" t="s">
        <v>5368</v>
      </c>
      <c r="E415" s="1" t="s">
        <v>5369</v>
      </c>
      <c r="F415" s="1" t="s">
        <v>5370</v>
      </c>
      <c r="H415" s="2" t="s">
        <v>63</v>
      </c>
      <c r="I415" s="2" t="s">
        <v>64</v>
      </c>
      <c r="J415" s="2" t="s">
        <v>63</v>
      </c>
      <c r="K415" s="2" t="s">
        <v>63</v>
      </c>
      <c r="L415" s="2" t="s">
        <v>65</v>
      </c>
      <c r="N415" s="1" t="s">
        <v>5371</v>
      </c>
      <c r="O415" s="2" t="s">
        <v>423</v>
      </c>
      <c r="Q415" s="2" t="s">
        <v>70</v>
      </c>
      <c r="R415" s="2" t="s">
        <v>89</v>
      </c>
      <c r="S415" s="1" t="s">
        <v>5372</v>
      </c>
      <c r="T415" s="2" t="s">
        <v>72</v>
      </c>
      <c r="U415" s="3">
        <v>8</v>
      </c>
      <c r="V415" s="3">
        <v>8</v>
      </c>
      <c r="W415" s="4" t="s">
        <v>5373</v>
      </c>
      <c r="X415" s="4" t="s">
        <v>5373</v>
      </c>
      <c r="Y415" s="4" t="s">
        <v>5374</v>
      </c>
      <c r="Z415" s="4" t="s">
        <v>5374</v>
      </c>
      <c r="AA415" s="3">
        <v>153</v>
      </c>
      <c r="AB415" s="3">
        <v>110</v>
      </c>
      <c r="AC415" s="3">
        <v>130</v>
      </c>
      <c r="AD415" s="3">
        <v>2</v>
      </c>
      <c r="AE415" s="3">
        <v>2</v>
      </c>
      <c r="AF415" s="3">
        <v>6</v>
      </c>
      <c r="AG415" s="3">
        <v>7</v>
      </c>
      <c r="AH415" s="3">
        <v>1</v>
      </c>
      <c r="AI415" s="3">
        <v>2</v>
      </c>
      <c r="AJ415" s="3">
        <v>3</v>
      </c>
      <c r="AK415" s="3">
        <v>3</v>
      </c>
      <c r="AL415" s="3">
        <v>2</v>
      </c>
      <c r="AM415" s="3">
        <v>3</v>
      </c>
      <c r="AN415" s="3">
        <v>1</v>
      </c>
      <c r="AO415" s="3">
        <v>1</v>
      </c>
      <c r="AP415" s="3">
        <v>0</v>
      </c>
      <c r="AQ415" s="3">
        <v>0</v>
      </c>
      <c r="AR415" s="2" t="s">
        <v>63</v>
      </c>
      <c r="AS415" s="2" t="s">
        <v>63</v>
      </c>
      <c r="AU415" s="5" t="str">
        <f>HYPERLINK("https://creighton-primo.hosted.exlibrisgroup.com/primo-explore/search?tab=default_tab&amp;search_scope=EVERYTHING&amp;vid=01CRU&amp;lang=en_US&amp;offset=0&amp;query=any,contains,991001105009702656","Catalog Record")</f>
        <v>Catalog Record</v>
      </c>
      <c r="AV415" s="5" t="str">
        <f>HYPERLINK("http://www.worldcat.org/oclc/19392835","WorldCat Record")</f>
        <v>WorldCat Record</v>
      </c>
      <c r="AW415" s="2" t="s">
        <v>5375</v>
      </c>
      <c r="AX415" s="2" t="s">
        <v>5376</v>
      </c>
      <c r="AY415" s="2" t="s">
        <v>5377</v>
      </c>
      <c r="AZ415" s="2" t="s">
        <v>5377</v>
      </c>
      <c r="BA415" s="2" t="s">
        <v>5378</v>
      </c>
      <c r="BB415" s="2" t="s">
        <v>79</v>
      </c>
      <c r="BD415" s="2" t="s">
        <v>5379</v>
      </c>
      <c r="BE415" s="2" t="s">
        <v>5380</v>
      </c>
      <c r="BF415" s="2" t="s">
        <v>5381</v>
      </c>
    </row>
    <row r="416" spans="1:58" ht="46.5" customHeight="1">
      <c r="A416" s="1"/>
      <c r="B416" s="1" t="s">
        <v>58</v>
      </c>
      <c r="C416" s="1" t="s">
        <v>59</v>
      </c>
      <c r="D416" s="1" t="s">
        <v>5382</v>
      </c>
      <c r="E416" s="1" t="s">
        <v>5383</v>
      </c>
      <c r="F416" s="1" t="s">
        <v>5384</v>
      </c>
      <c r="H416" s="2" t="s">
        <v>63</v>
      </c>
      <c r="I416" s="2" t="s">
        <v>64</v>
      </c>
      <c r="J416" s="2" t="s">
        <v>63</v>
      </c>
      <c r="K416" s="2" t="s">
        <v>63</v>
      </c>
      <c r="L416" s="2" t="s">
        <v>65</v>
      </c>
      <c r="M416" s="1" t="s">
        <v>5385</v>
      </c>
      <c r="N416" s="1" t="s">
        <v>5386</v>
      </c>
      <c r="O416" s="2" t="s">
        <v>1175</v>
      </c>
      <c r="Q416" s="2" t="s">
        <v>70</v>
      </c>
      <c r="R416" s="2" t="s">
        <v>89</v>
      </c>
      <c r="T416" s="2" t="s">
        <v>72</v>
      </c>
      <c r="U416" s="3">
        <v>3</v>
      </c>
      <c r="V416" s="3">
        <v>3</v>
      </c>
      <c r="W416" s="4" t="s">
        <v>5387</v>
      </c>
      <c r="X416" s="4" t="s">
        <v>5387</v>
      </c>
      <c r="Y416" s="4" t="s">
        <v>5022</v>
      </c>
      <c r="Z416" s="4" t="s">
        <v>5022</v>
      </c>
      <c r="AA416" s="3">
        <v>157</v>
      </c>
      <c r="AB416" s="3">
        <v>118</v>
      </c>
      <c r="AC416" s="3">
        <v>142</v>
      </c>
      <c r="AD416" s="3">
        <v>1</v>
      </c>
      <c r="AE416" s="3">
        <v>1</v>
      </c>
      <c r="AF416" s="3">
        <v>1</v>
      </c>
      <c r="AG416" s="3">
        <v>1</v>
      </c>
      <c r="AH416" s="3">
        <v>0</v>
      </c>
      <c r="AI416" s="3">
        <v>0</v>
      </c>
      <c r="AJ416" s="3">
        <v>1</v>
      </c>
      <c r="AK416" s="3">
        <v>1</v>
      </c>
      <c r="AL416" s="3">
        <v>1</v>
      </c>
      <c r="AM416" s="3">
        <v>1</v>
      </c>
      <c r="AN416" s="3">
        <v>0</v>
      </c>
      <c r="AO416" s="3">
        <v>0</v>
      </c>
      <c r="AP416" s="3">
        <v>0</v>
      </c>
      <c r="AQ416" s="3">
        <v>0</v>
      </c>
      <c r="AR416" s="2" t="s">
        <v>63</v>
      </c>
      <c r="AS416" s="2" t="s">
        <v>92</v>
      </c>
      <c r="AT416" s="5" t="str">
        <f>HYPERLINK("http://catalog.hathitrust.org/Record/000207203","HathiTrust Record")</f>
        <v>HathiTrust Record</v>
      </c>
      <c r="AU416" s="5" t="str">
        <f>HYPERLINK("https://creighton-primo.hosted.exlibrisgroup.com/primo-explore/search?tab=default_tab&amp;search_scope=EVERYTHING&amp;vid=01CRU&amp;lang=en_US&amp;offset=0&amp;query=any,contains,991000961039702656","Catalog Record")</f>
        <v>Catalog Record</v>
      </c>
      <c r="AV416" s="5" t="str">
        <f>HYPERLINK("http://www.worldcat.org/oclc/7171067","WorldCat Record")</f>
        <v>WorldCat Record</v>
      </c>
      <c r="AW416" s="2" t="s">
        <v>5388</v>
      </c>
      <c r="AX416" s="2" t="s">
        <v>5389</v>
      </c>
      <c r="AY416" s="2" t="s">
        <v>5390</v>
      </c>
      <c r="AZ416" s="2" t="s">
        <v>5390</v>
      </c>
      <c r="BA416" s="2" t="s">
        <v>5391</v>
      </c>
      <c r="BB416" s="2" t="s">
        <v>79</v>
      </c>
      <c r="BD416" s="2" t="s">
        <v>5392</v>
      </c>
      <c r="BE416" s="2" t="s">
        <v>5393</v>
      </c>
      <c r="BF416" s="2" t="s">
        <v>5394</v>
      </c>
    </row>
    <row r="417" spans="1:58" ht="46.5" customHeight="1">
      <c r="A417" s="1"/>
      <c r="B417" s="1" t="s">
        <v>58</v>
      </c>
      <c r="C417" s="1" t="s">
        <v>59</v>
      </c>
      <c r="D417" s="1" t="s">
        <v>5395</v>
      </c>
      <c r="E417" s="1" t="s">
        <v>5396</v>
      </c>
      <c r="F417" s="1" t="s">
        <v>5397</v>
      </c>
      <c r="H417" s="2" t="s">
        <v>63</v>
      </c>
      <c r="I417" s="2" t="s">
        <v>64</v>
      </c>
      <c r="J417" s="2" t="s">
        <v>63</v>
      </c>
      <c r="K417" s="2" t="s">
        <v>63</v>
      </c>
      <c r="L417" s="2" t="s">
        <v>65</v>
      </c>
      <c r="N417" s="1" t="s">
        <v>5398</v>
      </c>
      <c r="O417" s="2" t="s">
        <v>119</v>
      </c>
      <c r="Q417" s="2" t="s">
        <v>70</v>
      </c>
      <c r="R417" s="2" t="s">
        <v>377</v>
      </c>
      <c r="T417" s="2" t="s">
        <v>72</v>
      </c>
      <c r="U417" s="3">
        <v>5</v>
      </c>
      <c r="V417" s="3">
        <v>5</v>
      </c>
      <c r="W417" s="4" t="s">
        <v>5399</v>
      </c>
      <c r="X417" s="4" t="s">
        <v>5399</v>
      </c>
      <c r="Y417" s="4" t="s">
        <v>5022</v>
      </c>
      <c r="Z417" s="4" t="s">
        <v>5022</v>
      </c>
      <c r="AA417" s="3">
        <v>262</v>
      </c>
      <c r="AB417" s="3">
        <v>169</v>
      </c>
      <c r="AC417" s="3">
        <v>177</v>
      </c>
      <c r="AD417" s="3">
        <v>2</v>
      </c>
      <c r="AE417" s="3">
        <v>2</v>
      </c>
      <c r="AF417" s="3">
        <v>6</v>
      </c>
      <c r="AG417" s="3">
        <v>6</v>
      </c>
      <c r="AH417" s="3">
        <v>1</v>
      </c>
      <c r="AI417" s="3">
        <v>1</v>
      </c>
      <c r="AJ417" s="3">
        <v>2</v>
      </c>
      <c r="AK417" s="3">
        <v>2</v>
      </c>
      <c r="AL417" s="3">
        <v>3</v>
      </c>
      <c r="AM417" s="3">
        <v>3</v>
      </c>
      <c r="AN417" s="3">
        <v>1</v>
      </c>
      <c r="AO417" s="3">
        <v>1</v>
      </c>
      <c r="AP417" s="3">
        <v>0</v>
      </c>
      <c r="AQ417" s="3">
        <v>0</v>
      </c>
      <c r="AR417" s="2" t="s">
        <v>63</v>
      </c>
      <c r="AS417" s="2" t="s">
        <v>92</v>
      </c>
      <c r="AT417" s="5" t="str">
        <f>HYPERLINK("http://catalog.hathitrust.org/Record/000329670","HathiTrust Record")</f>
        <v>HathiTrust Record</v>
      </c>
      <c r="AU417" s="5" t="str">
        <f>HYPERLINK("https://creighton-primo.hosted.exlibrisgroup.com/primo-explore/search?tab=default_tab&amp;search_scope=EVERYTHING&amp;vid=01CRU&amp;lang=en_US&amp;offset=0&amp;query=any,contains,991000960959702656","Catalog Record")</f>
        <v>Catalog Record</v>
      </c>
      <c r="AV417" s="5" t="str">
        <f>HYPERLINK("http://www.worldcat.org/oclc/8502879","WorldCat Record")</f>
        <v>WorldCat Record</v>
      </c>
      <c r="AW417" s="2" t="s">
        <v>5400</v>
      </c>
      <c r="AX417" s="2" t="s">
        <v>5401</v>
      </c>
      <c r="AY417" s="2" t="s">
        <v>5402</v>
      </c>
      <c r="AZ417" s="2" t="s">
        <v>5402</v>
      </c>
      <c r="BA417" s="2" t="s">
        <v>5403</v>
      </c>
      <c r="BB417" s="2" t="s">
        <v>79</v>
      </c>
      <c r="BD417" s="2" t="s">
        <v>5404</v>
      </c>
      <c r="BE417" s="2" t="s">
        <v>5405</v>
      </c>
      <c r="BF417" s="2" t="s">
        <v>5406</v>
      </c>
    </row>
    <row r="418" spans="1:58" ht="46.5" customHeight="1">
      <c r="A418" s="1"/>
      <c r="B418" s="1" t="s">
        <v>58</v>
      </c>
      <c r="C418" s="1" t="s">
        <v>59</v>
      </c>
      <c r="D418" s="1" t="s">
        <v>5407</v>
      </c>
      <c r="E418" s="1" t="s">
        <v>5408</v>
      </c>
      <c r="F418" s="1" t="s">
        <v>5409</v>
      </c>
      <c r="H418" s="2" t="s">
        <v>63</v>
      </c>
      <c r="I418" s="2" t="s">
        <v>64</v>
      </c>
      <c r="J418" s="2" t="s">
        <v>63</v>
      </c>
      <c r="K418" s="2" t="s">
        <v>63</v>
      </c>
      <c r="L418" s="2" t="s">
        <v>65</v>
      </c>
      <c r="M418" s="1" t="s">
        <v>5410</v>
      </c>
      <c r="N418" s="1" t="s">
        <v>5411</v>
      </c>
      <c r="O418" s="2" t="s">
        <v>292</v>
      </c>
      <c r="Q418" s="2" t="s">
        <v>70</v>
      </c>
      <c r="R418" s="2" t="s">
        <v>377</v>
      </c>
      <c r="T418" s="2" t="s">
        <v>72</v>
      </c>
      <c r="U418" s="3">
        <v>4</v>
      </c>
      <c r="V418" s="3">
        <v>4</v>
      </c>
      <c r="W418" s="4" t="s">
        <v>5412</v>
      </c>
      <c r="X418" s="4" t="s">
        <v>5412</v>
      </c>
      <c r="Y418" s="4" t="s">
        <v>678</v>
      </c>
      <c r="Z418" s="4" t="s">
        <v>678</v>
      </c>
      <c r="AA418" s="3">
        <v>145</v>
      </c>
      <c r="AB418" s="3">
        <v>91</v>
      </c>
      <c r="AC418" s="3">
        <v>93</v>
      </c>
      <c r="AD418" s="3">
        <v>1</v>
      </c>
      <c r="AE418" s="3">
        <v>1</v>
      </c>
      <c r="AF418" s="3">
        <v>2</v>
      </c>
      <c r="AG418" s="3">
        <v>2</v>
      </c>
      <c r="AH418" s="3">
        <v>1</v>
      </c>
      <c r="AI418" s="3">
        <v>1</v>
      </c>
      <c r="AJ418" s="3">
        <v>0</v>
      </c>
      <c r="AK418" s="3">
        <v>0</v>
      </c>
      <c r="AL418" s="3">
        <v>1</v>
      </c>
      <c r="AM418" s="3">
        <v>1</v>
      </c>
      <c r="AN418" s="3">
        <v>0</v>
      </c>
      <c r="AO418" s="3">
        <v>0</v>
      </c>
      <c r="AP418" s="3">
        <v>0</v>
      </c>
      <c r="AQ418" s="3">
        <v>0</v>
      </c>
      <c r="AR418" s="2" t="s">
        <v>63</v>
      </c>
      <c r="AS418" s="2" t="s">
        <v>92</v>
      </c>
      <c r="AT418" s="5" t="str">
        <f>HYPERLINK("http://catalog.hathitrust.org/Record/000949606","HathiTrust Record")</f>
        <v>HathiTrust Record</v>
      </c>
      <c r="AU418" s="5" t="str">
        <f>HYPERLINK("https://creighton-primo.hosted.exlibrisgroup.com/primo-explore/search?tab=default_tab&amp;search_scope=EVERYTHING&amp;vid=01CRU&amp;lang=en_US&amp;offset=0&amp;query=any,contains,991001124199702656","Catalog Record")</f>
        <v>Catalog Record</v>
      </c>
      <c r="AV418" s="5" t="str">
        <f>HYPERLINK("http://www.worldcat.org/oclc/20398391","WorldCat Record")</f>
        <v>WorldCat Record</v>
      </c>
      <c r="AW418" s="2" t="s">
        <v>5413</v>
      </c>
      <c r="AX418" s="2" t="s">
        <v>5414</v>
      </c>
      <c r="AY418" s="2" t="s">
        <v>5415</v>
      </c>
      <c r="AZ418" s="2" t="s">
        <v>5415</v>
      </c>
      <c r="BA418" s="2" t="s">
        <v>5416</v>
      </c>
      <c r="BB418" s="2" t="s">
        <v>79</v>
      </c>
      <c r="BD418" s="2" t="s">
        <v>5417</v>
      </c>
      <c r="BE418" s="2" t="s">
        <v>5418</v>
      </c>
      <c r="BF418" s="2" t="s">
        <v>5419</v>
      </c>
    </row>
    <row r="419" spans="1:58" ht="46.5" customHeight="1">
      <c r="A419" s="1"/>
      <c r="B419" s="1" t="s">
        <v>58</v>
      </c>
      <c r="C419" s="1" t="s">
        <v>59</v>
      </c>
      <c r="D419" s="1" t="s">
        <v>5420</v>
      </c>
      <c r="E419" s="1" t="s">
        <v>5421</v>
      </c>
      <c r="F419" s="1" t="s">
        <v>5422</v>
      </c>
      <c r="H419" s="2" t="s">
        <v>63</v>
      </c>
      <c r="I419" s="2" t="s">
        <v>64</v>
      </c>
      <c r="J419" s="2" t="s">
        <v>63</v>
      </c>
      <c r="K419" s="2" t="s">
        <v>63</v>
      </c>
      <c r="L419" s="2" t="s">
        <v>65</v>
      </c>
      <c r="N419" s="1" t="s">
        <v>5423</v>
      </c>
      <c r="O419" s="2" t="s">
        <v>554</v>
      </c>
      <c r="Q419" s="2" t="s">
        <v>70</v>
      </c>
      <c r="R419" s="2" t="s">
        <v>89</v>
      </c>
      <c r="S419" s="1" t="s">
        <v>5424</v>
      </c>
      <c r="T419" s="2" t="s">
        <v>72</v>
      </c>
      <c r="U419" s="3">
        <v>7</v>
      </c>
      <c r="V419" s="3">
        <v>7</v>
      </c>
      <c r="W419" s="4" t="s">
        <v>5425</v>
      </c>
      <c r="X419" s="4" t="s">
        <v>5425</v>
      </c>
      <c r="Y419" s="4" t="s">
        <v>5048</v>
      </c>
      <c r="Z419" s="4" t="s">
        <v>5048</v>
      </c>
      <c r="AA419" s="3">
        <v>251</v>
      </c>
      <c r="AB419" s="3">
        <v>160</v>
      </c>
      <c r="AC419" s="3">
        <v>188</v>
      </c>
      <c r="AD419" s="3">
        <v>1</v>
      </c>
      <c r="AE419" s="3">
        <v>2</v>
      </c>
      <c r="AF419" s="3">
        <v>5</v>
      </c>
      <c r="AG419" s="3">
        <v>7</v>
      </c>
      <c r="AH419" s="3">
        <v>2</v>
      </c>
      <c r="AI419" s="3">
        <v>3</v>
      </c>
      <c r="AJ419" s="3">
        <v>2</v>
      </c>
      <c r="AK419" s="3">
        <v>3</v>
      </c>
      <c r="AL419" s="3">
        <v>4</v>
      </c>
      <c r="AM419" s="3">
        <v>4</v>
      </c>
      <c r="AN419" s="3">
        <v>0</v>
      </c>
      <c r="AO419" s="3">
        <v>1</v>
      </c>
      <c r="AP419" s="3">
        <v>0</v>
      </c>
      <c r="AQ419" s="3">
        <v>0</v>
      </c>
      <c r="AR419" s="2" t="s">
        <v>63</v>
      </c>
      <c r="AS419" s="2" t="s">
        <v>63</v>
      </c>
      <c r="AU419" s="5" t="str">
        <f>HYPERLINK("https://creighton-primo.hosted.exlibrisgroup.com/primo-explore/search?tab=default_tab&amp;search_scope=EVERYTHING&amp;vid=01CRU&amp;lang=en_US&amp;offset=0&amp;query=any,contains,991000680009702656","Catalog Record")</f>
        <v>Catalog Record</v>
      </c>
      <c r="AV419" s="5" t="str">
        <f>HYPERLINK("http://www.worldcat.org/oclc/30010969","WorldCat Record")</f>
        <v>WorldCat Record</v>
      </c>
      <c r="AW419" s="2" t="s">
        <v>5426</v>
      </c>
      <c r="AX419" s="2" t="s">
        <v>5427</v>
      </c>
      <c r="AY419" s="2" t="s">
        <v>5428</v>
      </c>
      <c r="AZ419" s="2" t="s">
        <v>5428</v>
      </c>
      <c r="BA419" s="2" t="s">
        <v>5429</v>
      </c>
      <c r="BB419" s="2" t="s">
        <v>79</v>
      </c>
      <c r="BD419" s="2" t="s">
        <v>5430</v>
      </c>
      <c r="BE419" s="2" t="s">
        <v>5431</v>
      </c>
      <c r="BF419" s="2" t="s">
        <v>5432</v>
      </c>
    </row>
    <row r="420" spans="1:58" ht="46.5" customHeight="1">
      <c r="A420" s="1"/>
      <c r="B420" s="1" t="s">
        <v>58</v>
      </c>
      <c r="C420" s="1" t="s">
        <v>59</v>
      </c>
      <c r="D420" s="1" t="s">
        <v>5433</v>
      </c>
      <c r="E420" s="1" t="s">
        <v>5434</v>
      </c>
      <c r="F420" s="1" t="s">
        <v>5435</v>
      </c>
      <c r="H420" s="2" t="s">
        <v>63</v>
      </c>
      <c r="I420" s="2" t="s">
        <v>64</v>
      </c>
      <c r="J420" s="2" t="s">
        <v>92</v>
      </c>
      <c r="K420" s="2" t="s">
        <v>63</v>
      </c>
      <c r="L420" s="2" t="s">
        <v>65</v>
      </c>
      <c r="M420" s="1" t="s">
        <v>5436</v>
      </c>
      <c r="N420" s="1" t="s">
        <v>5437</v>
      </c>
      <c r="O420" s="2" t="s">
        <v>1175</v>
      </c>
      <c r="Q420" s="2" t="s">
        <v>70</v>
      </c>
      <c r="R420" s="2" t="s">
        <v>89</v>
      </c>
      <c r="S420" s="1" t="s">
        <v>1215</v>
      </c>
      <c r="T420" s="2" t="s">
        <v>72</v>
      </c>
      <c r="U420" s="3">
        <v>2</v>
      </c>
      <c r="V420" s="3">
        <v>2</v>
      </c>
      <c r="W420" s="4" t="s">
        <v>5438</v>
      </c>
      <c r="X420" s="4" t="s">
        <v>5438</v>
      </c>
      <c r="Y420" s="4" t="s">
        <v>5022</v>
      </c>
      <c r="Z420" s="4" t="s">
        <v>5022</v>
      </c>
      <c r="AA420" s="3">
        <v>302</v>
      </c>
      <c r="AB420" s="3">
        <v>248</v>
      </c>
      <c r="AC420" s="3">
        <v>250</v>
      </c>
      <c r="AD420" s="3">
        <v>4</v>
      </c>
      <c r="AE420" s="3">
        <v>4</v>
      </c>
      <c r="AF420" s="3">
        <v>11</v>
      </c>
      <c r="AG420" s="3">
        <v>11</v>
      </c>
      <c r="AH420" s="3">
        <v>4</v>
      </c>
      <c r="AI420" s="3">
        <v>4</v>
      </c>
      <c r="AJ420" s="3">
        <v>3</v>
      </c>
      <c r="AK420" s="3">
        <v>3</v>
      </c>
      <c r="AL420" s="3">
        <v>6</v>
      </c>
      <c r="AM420" s="3">
        <v>6</v>
      </c>
      <c r="AN420" s="3">
        <v>2</v>
      </c>
      <c r="AO420" s="3">
        <v>2</v>
      </c>
      <c r="AP420" s="3">
        <v>0</v>
      </c>
      <c r="AQ420" s="3">
        <v>0</v>
      </c>
      <c r="AR420" s="2" t="s">
        <v>63</v>
      </c>
      <c r="AS420" s="2" t="s">
        <v>92</v>
      </c>
      <c r="AT420" s="5" t="str">
        <f>HYPERLINK("http://catalog.hathitrust.org/Record/000231316","HathiTrust Record")</f>
        <v>HathiTrust Record</v>
      </c>
      <c r="AU420" s="5" t="str">
        <f>HYPERLINK("https://creighton-primo.hosted.exlibrisgroup.com/primo-explore/search?tab=default_tab&amp;search_scope=EVERYTHING&amp;vid=01CRU&amp;lang=en_US&amp;offset=0&amp;query=any,contains,991000960879702656","Catalog Record")</f>
        <v>Catalog Record</v>
      </c>
      <c r="AV420" s="5" t="str">
        <f>HYPERLINK("http://www.worldcat.org/oclc/7573077","WorldCat Record")</f>
        <v>WorldCat Record</v>
      </c>
      <c r="AW420" s="2" t="s">
        <v>5439</v>
      </c>
      <c r="AX420" s="2" t="s">
        <v>5440</v>
      </c>
      <c r="AY420" s="2" t="s">
        <v>5441</v>
      </c>
      <c r="AZ420" s="2" t="s">
        <v>5441</v>
      </c>
      <c r="BA420" s="2" t="s">
        <v>5442</v>
      </c>
      <c r="BB420" s="2" t="s">
        <v>79</v>
      </c>
      <c r="BD420" s="2" t="s">
        <v>5443</v>
      </c>
      <c r="BE420" s="2" t="s">
        <v>5444</v>
      </c>
      <c r="BF420" s="2" t="s">
        <v>5445</v>
      </c>
    </row>
    <row r="421" spans="1:58" ht="46.5" customHeight="1">
      <c r="A421" s="1"/>
      <c r="B421" s="1" t="s">
        <v>58</v>
      </c>
      <c r="C421" s="1" t="s">
        <v>59</v>
      </c>
      <c r="D421" s="1" t="s">
        <v>5446</v>
      </c>
      <c r="E421" s="1" t="s">
        <v>5447</v>
      </c>
      <c r="F421" s="1" t="s">
        <v>5448</v>
      </c>
      <c r="H421" s="2" t="s">
        <v>63</v>
      </c>
      <c r="I421" s="2" t="s">
        <v>64</v>
      </c>
      <c r="J421" s="2" t="s">
        <v>63</v>
      </c>
      <c r="K421" s="2" t="s">
        <v>63</v>
      </c>
      <c r="L421" s="2" t="s">
        <v>65</v>
      </c>
      <c r="M421" s="1" t="s">
        <v>5449</v>
      </c>
      <c r="N421" s="1" t="s">
        <v>5450</v>
      </c>
      <c r="O421" s="2" t="s">
        <v>307</v>
      </c>
      <c r="Q421" s="2" t="s">
        <v>70</v>
      </c>
      <c r="R421" s="2" t="s">
        <v>89</v>
      </c>
      <c r="T421" s="2" t="s">
        <v>72</v>
      </c>
      <c r="U421" s="3">
        <v>6</v>
      </c>
      <c r="V421" s="3">
        <v>6</v>
      </c>
      <c r="W421" s="4" t="s">
        <v>5438</v>
      </c>
      <c r="X421" s="4" t="s">
        <v>5438</v>
      </c>
      <c r="Y421" s="4" t="s">
        <v>5022</v>
      </c>
      <c r="Z421" s="4" t="s">
        <v>5022</v>
      </c>
      <c r="AA421" s="3">
        <v>274</v>
      </c>
      <c r="AB421" s="3">
        <v>193</v>
      </c>
      <c r="AC421" s="3">
        <v>236</v>
      </c>
      <c r="AD421" s="3">
        <v>2</v>
      </c>
      <c r="AE421" s="3">
        <v>2</v>
      </c>
      <c r="AF421" s="3">
        <v>7</v>
      </c>
      <c r="AG421" s="3">
        <v>7</v>
      </c>
      <c r="AH421" s="3">
        <v>2</v>
      </c>
      <c r="AI421" s="3">
        <v>2</v>
      </c>
      <c r="AJ421" s="3">
        <v>2</v>
      </c>
      <c r="AK421" s="3">
        <v>2</v>
      </c>
      <c r="AL421" s="3">
        <v>4</v>
      </c>
      <c r="AM421" s="3">
        <v>4</v>
      </c>
      <c r="AN421" s="3">
        <v>1</v>
      </c>
      <c r="AO421" s="3">
        <v>1</v>
      </c>
      <c r="AP421" s="3">
        <v>0</v>
      </c>
      <c r="AQ421" s="3">
        <v>0</v>
      </c>
      <c r="AR421" s="2" t="s">
        <v>63</v>
      </c>
      <c r="AS421" s="2" t="s">
        <v>92</v>
      </c>
      <c r="AT421" s="5" t="str">
        <f>HYPERLINK("http://catalog.hathitrust.org/Record/000822158","HathiTrust Record")</f>
        <v>HathiTrust Record</v>
      </c>
      <c r="AU421" s="5" t="str">
        <f>HYPERLINK("https://creighton-primo.hosted.exlibrisgroup.com/primo-explore/search?tab=default_tab&amp;search_scope=EVERYTHING&amp;vid=01CRU&amp;lang=en_US&amp;offset=0&amp;query=any,contains,991000960909702656","Catalog Record")</f>
        <v>Catalog Record</v>
      </c>
      <c r="AV421" s="5" t="str">
        <f>HYPERLINK("http://www.worldcat.org/oclc/12107423","WorldCat Record")</f>
        <v>WorldCat Record</v>
      </c>
      <c r="AW421" s="2" t="s">
        <v>5451</v>
      </c>
      <c r="AX421" s="2" t="s">
        <v>5452</v>
      </c>
      <c r="AY421" s="2" t="s">
        <v>5453</v>
      </c>
      <c r="AZ421" s="2" t="s">
        <v>5453</v>
      </c>
      <c r="BA421" s="2" t="s">
        <v>5454</v>
      </c>
      <c r="BB421" s="2" t="s">
        <v>79</v>
      </c>
      <c r="BD421" s="2" t="s">
        <v>5455</v>
      </c>
      <c r="BE421" s="2" t="s">
        <v>5456</v>
      </c>
      <c r="BF421" s="2" t="s">
        <v>5457</v>
      </c>
    </row>
    <row r="422" spans="1:58" ht="46.5" customHeight="1">
      <c r="A422" s="1"/>
      <c r="B422" s="1" t="s">
        <v>58</v>
      </c>
      <c r="C422" s="1" t="s">
        <v>59</v>
      </c>
      <c r="D422" s="1" t="s">
        <v>5458</v>
      </c>
      <c r="E422" s="1" t="s">
        <v>5459</v>
      </c>
      <c r="F422" s="1" t="s">
        <v>5460</v>
      </c>
      <c r="H422" s="2" t="s">
        <v>63</v>
      </c>
      <c r="I422" s="2" t="s">
        <v>64</v>
      </c>
      <c r="J422" s="2" t="s">
        <v>63</v>
      </c>
      <c r="K422" s="2" t="s">
        <v>63</v>
      </c>
      <c r="L422" s="2" t="s">
        <v>65</v>
      </c>
      <c r="N422" s="1" t="s">
        <v>5461</v>
      </c>
      <c r="O422" s="2" t="s">
        <v>307</v>
      </c>
      <c r="P422" s="1" t="s">
        <v>376</v>
      </c>
      <c r="Q422" s="2" t="s">
        <v>70</v>
      </c>
      <c r="R422" s="2" t="s">
        <v>377</v>
      </c>
      <c r="S422" s="1" t="s">
        <v>5462</v>
      </c>
      <c r="T422" s="2" t="s">
        <v>72</v>
      </c>
      <c r="U422" s="3">
        <v>6</v>
      </c>
      <c r="V422" s="3">
        <v>6</v>
      </c>
      <c r="W422" s="4" t="s">
        <v>5463</v>
      </c>
      <c r="X422" s="4" t="s">
        <v>5463</v>
      </c>
      <c r="Y422" s="4" t="s">
        <v>5022</v>
      </c>
      <c r="Z422" s="4" t="s">
        <v>5022</v>
      </c>
      <c r="AA422" s="3">
        <v>112</v>
      </c>
      <c r="AB422" s="3">
        <v>75</v>
      </c>
      <c r="AC422" s="3">
        <v>77</v>
      </c>
      <c r="AD422" s="3">
        <v>1</v>
      </c>
      <c r="AE422" s="3">
        <v>1</v>
      </c>
      <c r="AF422" s="3">
        <v>1</v>
      </c>
      <c r="AG422" s="3">
        <v>1</v>
      </c>
      <c r="AH422" s="3">
        <v>0</v>
      </c>
      <c r="AI422" s="3">
        <v>0</v>
      </c>
      <c r="AJ422" s="3">
        <v>1</v>
      </c>
      <c r="AK422" s="3">
        <v>1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2" t="s">
        <v>63</v>
      </c>
      <c r="AS422" s="2" t="s">
        <v>92</v>
      </c>
      <c r="AT422" s="5" t="str">
        <f>HYPERLINK("http://catalog.hathitrust.org/Record/000829699","HathiTrust Record")</f>
        <v>HathiTrust Record</v>
      </c>
      <c r="AU422" s="5" t="str">
        <f>HYPERLINK("https://creighton-primo.hosted.exlibrisgroup.com/primo-explore/search?tab=default_tab&amp;search_scope=EVERYTHING&amp;vid=01CRU&amp;lang=en_US&amp;offset=0&amp;query=any,contains,991001265389702656","Catalog Record")</f>
        <v>Catalog Record</v>
      </c>
      <c r="AV422" s="5" t="str">
        <f>HYPERLINK("http://www.worldcat.org/oclc/13903046","WorldCat Record")</f>
        <v>WorldCat Record</v>
      </c>
      <c r="AW422" s="2" t="s">
        <v>5464</v>
      </c>
      <c r="AX422" s="2" t="s">
        <v>5465</v>
      </c>
      <c r="AY422" s="2" t="s">
        <v>5466</v>
      </c>
      <c r="AZ422" s="2" t="s">
        <v>5466</v>
      </c>
      <c r="BA422" s="2" t="s">
        <v>5467</v>
      </c>
      <c r="BB422" s="2" t="s">
        <v>79</v>
      </c>
      <c r="BD422" s="2" t="s">
        <v>5468</v>
      </c>
      <c r="BE422" s="2" t="s">
        <v>5469</v>
      </c>
      <c r="BF422" s="2" t="s">
        <v>5470</v>
      </c>
    </row>
    <row r="423" spans="1:58" ht="46.5" customHeight="1">
      <c r="A423" s="1"/>
      <c r="B423" s="1" t="s">
        <v>58</v>
      </c>
      <c r="C423" s="1" t="s">
        <v>59</v>
      </c>
      <c r="D423" s="1" t="s">
        <v>5471</v>
      </c>
      <c r="E423" s="1" t="s">
        <v>5472</v>
      </c>
      <c r="F423" s="1" t="s">
        <v>5473</v>
      </c>
      <c r="H423" s="2" t="s">
        <v>63</v>
      </c>
      <c r="I423" s="2" t="s">
        <v>64</v>
      </c>
      <c r="J423" s="2" t="s">
        <v>63</v>
      </c>
      <c r="K423" s="2" t="s">
        <v>63</v>
      </c>
      <c r="L423" s="2" t="s">
        <v>65</v>
      </c>
      <c r="N423" s="1" t="s">
        <v>5474</v>
      </c>
      <c r="O423" s="2" t="s">
        <v>4359</v>
      </c>
      <c r="Q423" s="2" t="s">
        <v>70</v>
      </c>
      <c r="R423" s="2" t="s">
        <v>4001</v>
      </c>
      <c r="T423" s="2" t="s">
        <v>72</v>
      </c>
      <c r="U423" s="3">
        <v>5</v>
      </c>
      <c r="V423" s="3">
        <v>5</v>
      </c>
      <c r="W423" s="4" t="s">
        <v>5475</v>
      </c>
      <c r="X423" s="4" t="s">
        <v>5475</v>
      </c>
      <c r="Y423" s="4" t="s">
        <v>3914</v>
      </c>
      <c r="Z423" s="4" t="s">
        <v>3914</v>
      </c>
      <c r="AA423" s="3">
        <v>71</v>
      </c>
      <c r="AB423" s="3">
        <v>54</v>
      </c>
      <c r="AC423" s="3">
        <v>56</v>
      </c>
      <c r="AD423" s="3">
        <v>1</v>
      </c>
      <c r="AE423" s="3">
        <v>1</v>
      </c>
      <c r="AF423" s="3">
        <v>1</v>
      </c>
      <c r="AG423" s="3">
        <v>1</v>
      </c>
      <c r="AH423" s="3">
        <v>0</v>
      </c>
      <c r="AI423" s="3">
        <v>0</v>
      </c>
      <c r="AJ423" s="3">
        <v>0</v>
      </c>
      <c r="AK423" s="3">
        <v>0</v>
      </c>
      <c r="AL423" s="3">
        <v>1</v>
      </c>
      <c r="AM423" s="3">
        <v>1</v>
      </c>
      <c r="AN423" s="3">
        <v>0</v>
      </c>
      <c r="AO423" s="3">
        <v>0</v>
      </c>
      <c r="AP423" s="3">
        <v>0</v>
      </c>
      <c r="AQ423" s="3">
        <v>0</v>
      </c>
      <c r="AR423" s="2" t="s">
        <v>63</v>
      </c>
      <c r="AS423" s="2" t="s">
        <v>92</v>
      </c>
      <c r="AT423" s="5" t="str">
        <f>HYPERLINK("http://catalog.hathitrust.org/Record/001571734","HathiTrust Record")</f>
        <v>HathiTrust Record</v>
      </c>
      <c r="AU423" s="5" t="str">
        <f>HYPERLINK("https://creighton-primo.hosted.exlibrisgroup.com/primo-explore/search?tab=default_tab&amp;search_scope=EVERYTHING&amp;vid=01CRU&amp;lang=en_US&amp;offset=0&amp;query=any,contains,991000960839702656","Catalog Record")</f>
        <v>Catalog Record</v>
      </c>
      <c r="AV423" s="5" t="str">
        <f>HYPERLINK("http://www.worldcat.org/oclc/135699","WorldCat Record")</f>
        <v>WorldCat Record</v>
      </c>
      <c r="AW423" s="2" t="s">
        <v>5476</v>
      </c>
      <c r="AX423" s="2" t="s">
        <v>5477</v>
      </c>
      <c r="AY423" s="2" t="s">
        <v>5478</v>
      </c>
      <c r="AZ423" s="2" t="s">
        <v>5478</v>
      </c>
      <c r="BA423" s="2" t="s">
        <v>5479</v>
      </c>
      <c r="BB423" s="2" t="s">
        <v>79</v>
      </c>
      <c r="BE423" s="2" t="s">
        <v>5480</v>
      </c>
      <c r="BF423" s="2" t="s">
        <v>5481</v>
      </c>
    </row>
    <row r="424" spans="1:58" ht="46.5" customHeight="1">
      <c r="A424" s="1"/>
      <c r="B424" s="1" t="s">
        <v>58</v>
      </c>
      <c r="C424" s="1" t="s">
        <v>59</v>
      </c>
      <c r="D424" s="1" t="s">
        <v>5482</v>
      </c>
      <c r="E424" s="1" t="s">
        <v>5483</v>
      </c>
      <c r="F424" s="1" t="s">
        <v>5484</v>
      </c>
      <c r="H424" s="2" t="s">
        <v>63</v>
      </c>
      <c r="I424" s="2" t="s">
        <v>64</v>
      </c>
      <c r="J424" s="2" t="s">
        <v>63</v>
      </c>
      <c r="K424" s="2" t="s">
        <v>63</v>
      </c>
      <c r="L424" s="2" t="s">
        <v>65</v>
      </c>
      <c r="M424" s="1" t="s">
        <v>5485</v>
      </c>
      <c r="N424" s="1" t="s">
        <v>5486</v>
      </c>
      <c r="O424" s="2" t="s">
        <v>468</v>
      </c>
      <c r="Q424" s="2" t="s">
        <v>70</v>
      </c>
      <c r="R424" s="2" t="s">
        <v>424</v>
      </c>
      <c r="T424" s="2" t="s">
        <v>72</v>
      </c>
      <c r="U424" s="3">
        <v>4</v>
      </c>
      <c r="V424" s="3">
        <v>4</v>
      </c>
      <c r="W424" s="4" t="s">
        <v>5487</v>
      </c>
      <c r="X424" s="4" t="s">
        <v>5487</v>
      </c>
      <c r="Y424" s="4" t="s">
        <v>3914</v>
      </c>
      <c r="Z424" s="4" t="s">
        <v>3914</v>
      </c>
      <c r="AA424" s="3">
        <v>283</v>
      </c>
      <c r="AB424" s="3">
        <v>241</v>
      </c>
      <c r="AC424" s="3">
        <v>601</v>
      </c>
      <c r="AD424" s="3">
        <v>3</v>
      </c>
      <c r="AE424" s="3">
        <v>6</v>
      </c>
      <c r="AF424" s="3">
        <v>9</v>
      </c>
      <c r="AG424" s="3">
        <v>26</v>
      </c>
      <c r="AH424" s="3">
        <v>1</v>
      </c>
      <c r="AI424" s="3">
        <v>7</v>
      </c>
      <c r="AJ424" s="3">
        <v>1</v>
      </c>
      <c r="AK424" s="3">
        <v>6</v>
      </c>
      <c r="AL424" s="3">
        <v>5</v>
      </c>
      <c r="AM424" s="3">
        <v>9</v>
      </c>
      <c r="AN424" s="3">
        <v>2</v>
      </c>
      <c r="AO424" s="3">
        <v>5</v>
      </c>
      <c r="AP424" s="3">
        <v>0</v>
      </c>
      <c r="AQ424" s="3">
        <v>1</v>
      </c>
      <c r="AR424" s="2" t="s">
        <v>63</v>
      </c>
      <c r="AS424" s="2" t="s">
        <v>92</v>
      </c>
      <c r="AT424" s="5" t="str">
        <f>HYPERLINK("http://catalog.hathitrust.org/Record/000039831","HathiTrust Record")</f>
        <v>HathiTrust Record</v>
      </c>
      <c r="AU424" s="5" t="str">
        <f>HYPERLINK("https://creighton-primo.hosted.exlibrisgroup.com/primo-explore/search?tab=default_tab&amp;search_scope=EVERYTHING&amp;vid=01CRU&amp;lang=en_US&amp;offset=0&amp;query=any,contains,991000960809702656","Catalog Record")</f>
        <v>Catalog Record</v>
      </c>
      <c r="AV424" s="5" t="str">
        <f>HYPERLINK("http://www.worldcat.org/oclc/1164703","WorldCat Record")</f>
        <v>WorldCat Record</v>
      </c>
      <c r="AW424" s="2" t="s">
        <v>5488</v>
      </c>
      <c r="AX424" s="2" t="s">
        <v>5489</v>
      </c>
      <c r="AY424" s="2" t="s">
        <v>5490</v>
      </c>
      <c r="AZ424" s="2" t="s">
        <v>5490</v>
      </c>
      <c r="BA424" s="2" t="s">
        <v>5491</v>
      </c>
      <c r="BB424" s="2" t="s">
        <v>79</v>
      </c>
      <c r="BD424" s="2" t="s">
        <v>5492</v>
      </c>
      <c r="BE424" s="2" t="s">
        <v>5493</v>
      </c>
      <c r="BF424" s="2" t="s">
        <v>5494</v>
      </c>
    </row>
    <row r="425" spans="1:58" ht="46.5" customHeight="1">
      <c r="A425" s="1"/>
      <c r="B425" s="1" t="s">
        <v>58</v>
      </c>
      <c r="C425" s="1" t="s">
        <v>59</v>
      </c>
      <c r="D425" s="1" t="s">
        <v>5495</v>
      </c>
      <c r="E425" s="1" t="s">
        <v>5496</v>
      </c>
      <c r="F425" s="1" t="s">
        <v>5497</v>
      </c>
      <c r="H425" s="2" t="s">
        <v>63</v>
      </c>
      <c r="I425" s="2" t="s">
        <v>64</v>
      </c>
      <c r="J425" s="2" t="s">
        <v>63</v>
      </c>
      <c r="K425" s="2" t="s">
        <v>63</v>
      </c>
      <c r="L425" s="2" t="s">
        <v>65</v>
      </c>
      <c r="M425" s="1" t="s">
        <v>5498</v>
      </c>
      <c r="N425" s="1" t="s">
        <v>5499</v>
      </c>
      <c r="O425" s="2" t="s">
        <v>275</v>
      </c>
      <c r="P425" s="1" t="s">
        <v>5500</v>
      </c>
      <c r="Q425" s="2" t="s">
        <v>70</v>
      </c>
      <c r="R425" s="2" t="s">
        <v>4001</v>
      </c>
      <c r="S425" s="1" t="s">
        <v>5501</v>
      </c>
      <c r="T425" s="2" t="s">
        <v>72</v>
      </c>
      <c r="U425" s="3">
        <v>1</v>
      </c>
      <c r="V425" s="3">
        <v>1</v>
      </c>
      <c r="W425" s="4" t="s">
        <v>5502</v>
      </c>
      <c r="X425" s="4" t="s">
        <v>5502</v>
      </c>
      <c r="Y425" s="4" t="s">
        <v>5502</v>
      </c>
      <c r="Z425" s="4" t="s">
        <v>5502</v>
      </c>
      <c r="AA425" s="3">
        <v>125</v>
      </c>
      <c r="AB425" s="3">
        <v>75</v>
      </c>
      <c r="AC425" s="3">
        <v>126</v>
      </c>
      <c r="AD425" s="3">
        <v>1</v>
      </c>
      <c r="AE425" s="3">
        <v>1</v>
      </c>
      <c r="AF425" s="3">
        <v>3</v>
      </c>
      <c r="AG425" s="3">
        <v>3</v>
      </c>
      <c r="AH425" s="3">
        <v>0</v>
      </c>
      <c r="AI425" s="3">
        <v>0</v>
      </c>
      <c r="AJ425" s="3">
        <v>2</v>
      </c>
      <c r="AK425" s="3">
        <v>2</v>
      </c>
      <c r="AL425" s="3">
        <v>2</v>
      </c>
      <c r="AM425" s="3">
        <v>2</v>
      </c>
      <c r="AN425" s="3">
        <v>0</v>
      </c>
      <c r="AO425" s="3">
        <v>0</v>
      </c>
      <c r="AP425" s="3">
        <v>0</v>
      </c>
      <c r="AQ425" s="3">
        <v>0</v>
      </c>
      <c r="AR425" s="2" t="s">
        <v>63</v>
      </c>
      <c r="AS425" s="2" t="s">
        <v>92</v>
      </c>
      <c r="AT425" s="5" t="str">
        <f>HYPERLINK("http://catalog.hathitrust.org/Record/003081210","HathiTrust Record")</f>
        <v>HathiTrust Record</v>
      </c>
      <c r="AU425" s="5" t="str">
        <f>HYPERLINK("https://creighton-primo.hosted.exlibrisgroup.com/primo-explore/search?tab=default_tab&amp;search_scope=EVERYTHING&amp;vid=01CRU&amp;lang=en_US&amp;offset=0&amp;query=any,contains,991001254549702656","Catalog Record")</f>
        <v>Catalog Record</v>
      </c>
      <c r="AV425" s="5" t="str">
        <f>HYPERLINK("http://www.worldcat.org/oclc/34547929","WorldCat Record")</f>
        <v>WorldCat Record</v>
      </c>
      <c r="AW425" s="2" t="s">
        <v>5503</v>
      </c>
      <c r="AX425" s="2" t="s">
        <v>5504</v>
      </c>
      <c r="AY425" s="2" t="s">
        <v>5505</v>
      </c>
      <c r="AZ425" s="2" t="s">
        <v>5505</v>
      </c>
      <c r="BA425" s="2" t="s">
        <v>5506</v>
      </c>
      <c r="BB425" s="2" t="s">
        <v>79</v>
      </c>
      <c r="BD425" s="2" t="s">
        <v>5507</v>
      </c>
      <c r="BE425" s="2" t="s">
        <v>5508</v>
      </c>
      <c r="BF425" s="2" t="s">
        <v>5509</v>
      </c>
    </row>
    <row r="426" spans="1:58" ht="46.5" customHeight="1">
      <c r="A426" s="1"/>
      <c r="B426" s="1" t="s">
        <v>58</v>
      </c>
      <c r="C426" s="1" t="s">
        <v>59</v>
      </c>
      <c r="D426" s="1" t="s">
        <v>5510</v>
      </c>
      <c r="E426" s="1" t="s">
        <v>5511</v>
      </c>
      <c r="F426" s="1" t="s">
        <v>5512</v>
      </c>
      <c r="H426" s="2" t="s">
        <v>63</v>
      </c>
      <c r="I426" s="2" t="s">
        <v>64</v>
      </c>
      <c r="J426" s="2" t="s">
        <v>63</v>
      </c>
      <c r="K426" s="2" t="s">
        <v>63</v>
      </c>
      <c r="L426" s="2" t="s">
        <v>65</v>
      </c>
      <c r="M426" s="1" t="s">
        <v>5513</v>
      </c>
      <c r="N426" s="1" t="s">
        <v>5514</v>
      </c>
      <c r="O426" s="2" t="s">
        <v>1600</v>
      </c>
      <c r="Q426" s="2" t="s">
        <v>70</v>
      </c>
      <c r="R426" s="2" t="s">
        <v>2644</v>
      </c>
      <c r="T426" s="2" t="s">
        <v>72</v>
      </c>
      <c r="U426" s="3">
        <v>3</v>
      </c>
      <c r="V426" s="3">
        <v>3</v>
      </c>
      <c r="W426" s="4" t="s">
        <v>3977</v>
      </c>
      <c r="X426" s="4" t="s">
        <v>3977</v>
      </c>
      <c r="Y426" s="4" t="s">
        <v>5022</v>
      </c>
      <c r="Z426" s="4" t="s">
        <v>5022</v>
      </c>
      <c r="AA426" s="3">
        <v>332</v>
      </c>
      <c r="AB426" s="3">
        <v>298</v>
      </c>
      <c r="AC426" s="3">
        <v>481</v>
      </c>
      <c r="AD426" s="3">
        <v>3</v>
      </c>
      <c r="AE426" s="3">
        <v>3</v>
      </c>
      <c r="AF426" s="3">
        <v>9</v>
      </c>
      <c r="AG426" s="3">
        <v>10</v>
      </c>
      <c r="AH426" s="3">
        <v>1</v>
      </c>
      <c r="AI426" s="3">
        <v>2</v>
      </c>
      <c r="AJ426" s="3">
        <v>3</v>
      </c>
      <c r="AK426" s="3">
        <v>4</v>
      </c>
      <c r="AL426" s="3">
        <v>5</v>
      </c>
      <c r="AM426" s="3">
        <v>5</v>
      </c>
      <c r="AN426" s="3">
        <v>2</v>
      </c>
      <c r="AO426" s="3">
        <v>2</v>
      </c>
      <c r="AP426" s="3">
        <v>0</v>
      </c>
      <c r="AQ426" s="3">
        <v>0</v>
      </c>
      <c r="AR426" s="2" t="s">
        <v>63</v>
      </c>
      <c r="AS426" s="2" t="s">
        <v>92</v>
      </c>
      <c r="AT426" s="5" t="str">
        <f>HYPERLINK("http://catalog.hathitrust.org/Record/001560593","HathiTrust Record")</f>
        <v>HathiTrust Record</v>
      </c>
      <c r="AU426" s="5" t="str">
        <f>HYPERLINK("https://creighton-primo.hosted.exlibrisgroup.com/primo-explore/search?tab=default_tab&amp;search_scope=EVERYTHING&amp;vid=01CRU&amp;lang=en_US&amp;offset=0&amp;query=any,contains,991000960729702656","Catalog Record")</f>
        <v>Catalog Record</v>
      </c>
      <c r="AV426" s="5" t="str">
        <f>HYPERLINK("http://www.worldcat.org/oclc/251675","WorldCat Record")</f>
        <v>WorldCat Record</v>
      </c>
      <c r="AW426" s="2" t="s">
        <v>5515</v>
      </c>
      <c r="AX426" s="2" t="s">
        <v>5516</v>
      </c>
      <c r="AY426" s="2" t="s">
        <v>5517</v>
      </c>
      <c r="AZ426" s="2" t="s">
        <v>5517</v>
      </c>
      <c r="BA426" s="2" t="s">
        <v>5518</v>
      </c>
      <c r="BB426" s="2" t="s">
        <v>79</v>
      </c>
      <c r="BE426" s="2" t="s">
        <v>5519</v>
      </c>
      <c r="BF426" s="2" t="s">
        <v>5520</v>
      </c>
    </row>
    <row r="427" spans="1:58" ht="46.5" customHeight="1">
      <c r="A427" s="1"/>
      <c r="B427" s="1" t="s">
        <v>58</v>
      </c>
      <c r="C427" s="1" t="s">
        <v>59</v>
      </c>
      <c r="D427" s="1" t="s">
        <v>5521</v>
      </c>
      <c r="E427" s="1" t="s">
        <v>5522</v>
      </c>
      <c r="F427" s="1" t="s">
        <v>5523</v>
      </c>
      <c r="H427" s="2" t="s">
        <v>63</v>
      </c>
      <c r="I427" s="2" t="s">
        <v>64</v>
      </c>
      <c r="J427" s="2" t="s">
        <v>63</v>
      </c>
      <c r="K427" s="2" t="s">
        <v>92</v>
      </c>
      <c r="L427" s="2" t="s">
        <v>65</v>
      </c>
      <c r="M427" s="1" t="s">
        <v>5513</v>
      </c>
      <c r="N427" s="1" t="s">
        <v>5524</v>
      </c>
      <c r="O427" s="2" t="s">
        <v>468</v>
      </c>
      <c r="Q427" s="2" t="s">
        <v>70</v>
      </c>
      <c r="R427" s="2" t="s">
        <v>2644</v>
      </c>
      <c r="T427" s="2" t="s">
        <v>72</v>
      </c>
      <c r="U427" s="3">
        <v>2</v>
      </c>
      <c r="V427" s="3">
        <v>2</v>
      </c>
      <c r="W427" s="4" t="s">
        <v>5525</v>
      </c>
      <c r="X427" s="4" t="s">
        <v>5525</v>
      </c>
      <c r="Y427" s="4" t="s">
        <v>4850</v>
      </c>
      <c r="Z427" s="4" t="s">
        <v>4850</v>
      </c>
      <c r="AA427" s="3">
        <v>41</v>
      </c>
      <c r="AB427" s="3">
        <v>34</v>
      </c>
      <c r="AC427" s="3">
        <v>492</v>
      </c>
      <c r="AD427" s="3">
        <v>1</v>
      </c>
      <c r="AE427" s="3">
        <v>3</v>
      </c>
      <c r="AF427" s="3">
        <v>0</v>
      </c>
      <c r="AG427" s="3">
        <v>21</v>
      </c>
      <c r="AH427" s="3">
        <v>0</v>
      </c>
      <c r="AI427" s="3">
        <v>12</v>
      </c>
      <c r="AJ427" s="3">
        <v>0</v>
      </c>
      <c r="AK427" s="3">
        <v>4</v>
      </c>
      <c r="AL427" s="3">
        <v>0</v>
      </c>
      <c r="AM427" s="3">
        <v>10</v>
      </c>
      <c r="AN427" s="3">
        <v>0</v>
      </c>
      <c r="AO427" s="3">
        <v>1</v>
      </c>
      <c r="AP427" s="3">
        <v>0</v>
      </c>
      <c r="AQ427" s="3">
        <v>0</v>
      </c>
      <c r="AR427" s="2" t="s">
        <v>63</v>
      </c>
      <c r="AS427" s="2" t="s">
        <v>63</v>
      </c>
      <c r="AU427" s="5" t="str">
        <f>HYPERLINK("https://creighton-primo.hosted.exlibrisgroup.com/primo-explore/search?tab=default_tab&amp;search_scope=EVERYTHING&amp;vid=01CRU&amp;lang=en_US&amp;offset=0&amp;query=any,contains,991000960769702656","Catalog Record")</f>
        <v>Catalog Record</v>
      </c>
      <c r="AV427" s="5" t="str">
        <f>HYPERLINK("http://www.worldcat.org/oclc/4318765","WorldCat Record")</f>
        <v>WorldCat Record</v>
      </c>
      <c r="AW427" s="2" t="s">
        <v>5526</v>
      </c>
      <c r="AX427" s="2" t="s">
        <v>5527</v>
      </c>
      <c r="AY427" s="2" t="s">
        <v>5528</v>
      </c>
      <c r="AZ427" s="2" t="s">
        <v>5528</v>
      </c>
      <c r="BA427" s="2" t="s">
        <v>5529</v>
      </c>
      <c r="BB427" s="2" t="s">
        <v>79</v>
      </c>
      <c r="BD427" s="2" t="s">
        <v>5530</v>
      </c>
      <c r="BE427" s="2" t="s">
        <v>5531</v>
      </c>
      <c r="BF427" s="2" t="s">
        <v>5532</v>
      </c>
    </row>
    <row r="428" spans="1:58" ht="46.5" customHeight="1">
      <c r="A428" s="1"/>
      <c r="B428" s="1" t="s">
        <v>58</v>
      </c>
      <c r="C428" s="1" t="s">
        <v>59</v>
      </c>
      <c r="D428" s="1" t="s">
        <v>5533</v>
      </c>
      <c r="E428" s="1" t="s">
        <v>5534</v>
      </c>
      <c r="F428" s="1" t="s">
        <v>5535</v>
      </c>
      <c r="G428" s="2" t="s">
        <v>1538</v>
      </c>
      <c r="H428" s="2" t="s">
        <v>92</v>
      </c>
      <c r="I428" s="2" t="s">
        <v>64</v>
      </c>
      <c r="J428" s="2" t="s">
        <v>63</v>
      </c>
      <c r="K428" s="2" t="s">
        <v>63</v>
      </c>
      <c r="L428" s="2" t="s">
        <v>65</v>
      </c>
      <c r="M428" s="1" t="s">
        <v>5536</v>
      </c>
      <c r="N428" s="1" t="s">
        <v>5537</v>
      </c>
      <c r="O428" s="2" t="s">
        <v>1031</v>
      </c>
      <c r="Q428" s="2" t="s">
        <v>70</v>
      </c>
      <c r="R428" s="2" t="s">
        <v>277</v>
      </c>
      <c r="T428" s="2" t="s">
        <v>72</v>
      </c>
      <c r="U428" s="3">
        <v>3</v>
      </c>
      <c r="V428" s="3">
        <v>6</v>
      </c>
      <c r="X428" s="4" t="s">
        <v>5538</v>
      </c>
      <c r="Y428" s="4" t="s">
        <v>5022</v>
      </c>
      <c r="Z428" s="4" t="s">
        <v>5022</v>
      </c>
      <c r="AA428" s="3">
        <v>383</v>
      </c>
      <c r="AB428" s="3">
        <v>295</v>
      </c>
      <c r="AC428" s="3">
        <v>299</v>
      </c>
      <c r="AD428" s="3">
        <v>2</v>
      </c>
      <c r="AE428" s="3">
        <v>2</v>
      </c>
      <c r="AF428" s="3">
        <v>7</v>
      </c>
      <c r="AG428" s="3">
        <v>7</v>
      </c>
      <c r="AH428" s="3">
        <v>1</v>
      </c>
      <c r="AI428" s="3">
        <v>1</v>
      </c>
      <c r="AJ428" s="3">
        <v>4</v>
      </c>
      <c r="AK428" s="3">
        <v>4</v>
      </c>
      <c r="AL428" s="3">
        <v>3</v>
      </c>
      <c r="AM428" s="3">
        <v>3</v>
      </c>
      <c r="AN428" s="3">
        <v>1</v>
      </c>
      <c r="AO428" s="3">
        <v>1</v>
      </c>
      <c r="AP428" s="3">
        <v>0</v>
      </c>
      <c r="AQ428" s="3">
        <v>0</v>
      </c>
      <c r="AR428" s="2" t="s">
        <v>63</v>
      </c>
      <c r="AS428" s="2" t="s">
        <v>92</v>
      </c>
      <c r="AT428" s="5" t="str">
        <f>HYPERLINK("http://catalog.hathitrust.org/Record/000232255","HathiTrust Record")</f>
        <v>HathiTrust Record</v>
      </c>
      <c r="AU428" s="5" t="str">
        <f>HYPERLINK("https://creighton-primo.hosted.exlibrisgroup.com/primo-explore/search?tab=default_tab&amp;search_scope=EVERYTHING&amp;vid=01CRU&amp;lang=en_US&amp;offset=0&amp;query=any,contains,991000960689702656","Catalog Record")</f>
        <v>Catalog Record</v>
      </c>
      <c r="AV428" s="5" t="str">
        <f>HYPERLINK("http://www.worldcat.org/oclc/2493549","WorldCat Record")</f>
        <v>WorldCat Record</v>
      </c>
      <c r="AW428" s="2" t="s">
        <v>5539</v>
      </c>
      <c r="AX428" s="2" t="s">
        <v>5540</v>
      </c>
      <c r="AY428" s="2" t="s">
        <v>5541</v>
      </c>
      <c r="AZ428" s="2" t="s">
        <v>5541</v>
      </c>
      <c r="BA428" s="2" t="s">
        <v>5542</v>
      </c>
      <c r="BB428" s="2" t="s">
        <v>79</v>
      </c>
      <c r="BD428" s="2" t="s">
        <v>5543</v>
      </c>
      <c r="BE428" s="2" t="s">
        <v>5544</v>
      </c>
      <c r="BF428" s="2" t="s">
        <v>5545</v>
      </c>
    </row>
    <row r="429" spans="1:58" ht="46.5" customHeight="1">
      <c r="A429" s="1"/>
      <c r="B429" s="1" t="s">
        <v>58</v>
      </c>
      <c r="C429" s="1" t="s">
        <v>59</v>
      </c>
      <c r="D429" s="1" t="s">
        <v>5533</v>
      </c>
      <c r="E429" s="1" t="s">
        <v>5534</v>
      </c>
      <c r="F429" s="1" t="s">
        <v>5535</v>
      </c>
      <c r="G429" s="2" t="s">
        <v>1552</v>
      </c>
      <c r="H429" s="2" t="s">
        <v>92</v>
      </c>
      <c r="I429" s="2" t="s">
        <v>64</v>
      </c>
      <c r="J429" s="2" t="s">
        <v>63</v>
      </c>
      <c r="K429" s="2" t="s">
        <v>63</v>
      </c>
      <c r="L429" s="2" t="s">
        <v>65</v>
      </c>
      <c r="M429" s="1" t="s">
        <v>5536</v>
      </c>
      <c r="N429" s="1" t="s">
        <v>5537</v>
      </c>
      <c r="O429" s="2" t="s">
        <v>1031</v>
      </c>
      <c r="Q429" s="2" t="s">
        <v>70</v>
      </c>
      <c r="R429" s="2" t="s">
        <v>277</v>
      </c>
      <c r="T429" s="2" t="s">
        <v>72</v>
      </c>
      <c r="U429" s="3">
        <v>3</v>
      </c>
      <c r="V429" s="3">
        <v>6</v>
      </c>
      <c r="W429" s="4" t="s">
        <v>5538</v>
      </c>
      <c r="X429" s="4" t="s">
        <v>5538</v>
      </c>
      <c r="Y429" s="4" t="s">
        <v>5022</v>
      </c>
      <c r="Z429" s="4" t="s">
        <v>5022</v>
      </c>
      <c r="AA429" s="3">
        <v>383</v>
      </c>
      <c r="AB429" s="3">
        <v>295</v>
      </c>
      <c r="AC429" s="3">
        <v>299</v>
      </c>
      <c r="AD429" s="3">
        <v>2</v>
      </c>
      <c r="AE429" s="3">
        <v>2</v>
      </c>
      <c r="AF429" s="3">
        <v>7</v>
      </c>
      <c r="AG429" s="3">
        <v>7</v>
      </c>
      <c r="AH429" s="3">
        <v>1</v>
      </c>
      <c r="AI429" s="3">
        <v>1</v>
      </c>
      <c r="AJ429" s="3">
        <v>4</v>
      </c>
      <c r="AK429" s="3">
        <v>4</v>
      </c>
      <c r="AL429" s="3">
        <v>3</v>
      </c>
      <c r="AM429" s="3">
        <v>3</v>
      </c>
      <c r="AN429" s="3">
        <v>1</v>
      </c>
      <c r="AO429" s="3">
        <v>1</v>
      </c>
      <c r="AP429" s="3">
        <v>0</v>
      </c>
      <c r="AQ429" s="3">
        <v>0</v>
      </c>
      <c r="AR429" s="2" t="s">
        <v>63</v>
      </c>
      <c r="AS429" s="2" t="s">
        <v>92</v>
      </c>
      <c r="AT429" s="5" t="str">
        <f>HYPERLINK("http://catalog.hathitrust.org/Record/000232255","HathiTrust Record")</f>
        <v>HathiTrust Record</v>
      </c>
      <c r="AU429" s="5" t="str">
        <f>HYPERLINK("https://creighton-primo.hosted.exlibrisgroup.com/primo-explore/search?tab=default_tab&amp;search_scope=EVERYTHING&amp;vid=01CRU&amp;lang=en_US&amp;offset=0&amp;query=any,contains,991000960689702656","Catalog Record")</f>
        <v>Catalog Record</v>
      </c>
      <c r="AV429" s="5" t="str">
        <f>HYPERLINK("http://www.worldcat.org/oclc/2493549","WorldCat Record")</f>
        <v>WorldCat Record</v>
      </c>
      <c r="AW429" s="2" t="s">
        <v>5539</v>
      </c>
      <c r="AX429" s="2" t="s">
        <v>5540</v>
      </c>
      <c r="AY429" s="2" t="s">
        <v>5541</v>
      </c>
      <c r="AZ429" s="2" t="s">
        <v>5541</v>
      </c>
      <c r="BA429" s="2" t="s">
        <v>5542</v>
      </c>
      <c r="BB429" s="2" t="s">
        <v>79</v>
      </c>
      <c r="BD429" s="2" t="s">
        <v>5543</v>
      </c>
      <c r="BE429" s="2" t="s">
        <v>5546</v>
      </c>
      <c r="BF429" s="2" t="s">
        <v>5547</v>
      </c>
    </row>
    <row r="430" spans="1:58" ht="46.5" customHeight="1">
      <c r="A430" s="1"/>
      <c r="B430" s="1" t="s">
        <v>58</v>
      </c>
      <c r="C430" s="1" t="s">
        <v>59</v>
      </c>
      <c r="D430" s="1" t="s">
        <v>5548</v>
      </c>
      <c r="E430" s="1" t="s">
        <v>5549</v>
      </c>
      <c r="F430" s="1" t="s">
        <v>5550</v>
      </c>
      <c r="H430" s="2" t="s">
        <v>63</v>
      </c>
      <c r="I430" s="2" t="s">
        <v>64</v>
      </c>
      <c r="J430" s="2" t="s">
        <v>63</v>
      </c>
      <c r="K430" s="2" t="s">
        <v>63</v>
      </c>
      <c r="L430" s="2" t="s">
        <v>65</v>
      </c>
      <c r="N430" s="1" t="s">
        <v>5551</v>
      </c>
      <c r="O430" s="2" t="s">
        <v>1254</v>
      </c>
      <c r="Q430" s="2" t="s">
        <v>70</v>
      </c>
      <c r="R430" s="2" t="s">
        <v>424</v>
      </c>
      <c r="S430" s="1" t="s">
        <v>5552</v>
      </c>
      <c r="T430" s="2" t="s">
        <v>72</v>
      </c>
      <c r="U430" s="3">
        <v>0</v>
      </c>
      <c r="V430" s="3">
        <v>0</v>
      </c>
      <c r="W430" s="4" t="s">
        <v>5553</v>
      </c>
      <c r="X430" s="4" t="s">
        <v>5553</v>
      </c>
      <c r="Y430" s="4" t="s">
        <v>5554</v>
      </c>
      <c r="Z430" s="4" t="s">
        <v>5554</v>
      </c>
      <c r="AA430" s="3">
        <v>29</v>
      </c>
      <c r="AB430" s="3">
        <v>20</v>
      </c>
      <c r="AC430" s="3">
        <v>52</v>
      </c>
      <c r="AD430" s="3">
        <v>1</v>
      </c>
      <c r="AE430" s="3">
        <v>1</v>
      </c>
      <c r="AF430" s="3">
        <v>0</v>
      </c>
      <c r="AG430" s="3">
        <v>3</v>
      </c>
      <c r="AH430" s="3">
        <v>0</v>
      </c>
      <c r="AI430" s="3">
        <v>2</v>
      </c>
      <c r="AJ430" s="3">
        <v>0</v>
      </c>
      <c r="AK430" s="3">
        <v>1</v>
      </c>
      <c r="AL430" s="3">
        <v>0</v>
      </c>
      <c r="AM430" s="3">
        <v>2</v>
      </c>
      <c r="AN430" s="3">
        <v>0</v>
      </c>
      <c r="AO430" s="3">
        <v>0</v>
      </c>
      <c r="AP430" s="3">
        <v>0</v>
      </c>
      <c r="AQ430" s="3">
        <v>0</v>
      </c>
      <c r="AR430" s="2" t="s">
        <v>63</v>
      </c>
      <c r="AS430" s="2" t="s">
        <v>63</v>
      </c>
      <c r="AU430" s="5" t="str">
        <f>HYPERLINK("https://creighton-primo.hosted.exlibrisgroup.com/primo-explore/search?tab=default_tab&amp;search_scope=EVERYTHING&amp;vid=01CRU&amp;lang=en_US&amp;offset=0&amp;query=any,contains,991000333639702656","Catalog Record")</f>
        <v>Catalog Record</v>
      </c>
      <c r="AV430" s="5" t="str">
        <f>HYPERLINK("http://www.worldcat.org/oclc/47625407","WorldCat Record")</f>
        <v>WorldCat Record</v>
      </c>
      <c r="AW430" s="2" t="s">
        <v>5555</v>
      </c>
      <c r="AX430" s="2" t="s">
        <v>5556</v>
      </c>
      <c r="AY430" s="2" t="s">
        <v>5557</v>
      </c>
      <c r="AZ430" s="2" t="s">
        <v>5557</v>
      </c>
      <c r="BA430" s="2" t="s">
        <v>5558</v>
      </c>
      <c r="BB430" s="2" t="s">
        <v>79</v>
      </c>
      <c r="BD430" s="2" t="s">
        <v>5559</v>
      </c>
      <c r="BE430" s="2" t="s">
        <v>5560</v>
      </c>
      <c r="BF430" s="2" t="s">
        <v>5561</v>
      </c>
    </row>
    <row r="431" spans="1:58" ht="46.5" customHeight="1">
      <c r="A431" s="1"/>
      <c r="B431" s="1" t="s">
        <v>58</v>
      </c>
      <c r="C431" s="1" t="s">
        <v>59</v>
      </c>
      <c r="D431" s="1" t="s">
        <v>5562</v>
      </c>
      <c r="E431" s="1" t="s">
        <v>5563</v>
      </c>
      <c r="F431" s="1" t="s">
        <v>5564</v>
      </c>
      <c r="G431" s="2" t="s">
        <v>5565</v>
      </c>
      <c r="H431" s="2" t="s">
        <v>63</v>
      </c>
      <c r="I431" s="2" t="s">
        <v>64</v>
      </c>
      <c r="J431" s="2" t="s">
        <v>63</v>
      </c>
      <c r="K431" s="2" t="s">
        <v>63</v>
      </c>
      <c r="L431" s="2" t="s">
        <v>65</v>
      </c>
      <c r="N431" s="1" t="s">
        <v>3346</v>
      </c>
      <c r="O431" s="2" t="s">
        <v>1201</v>
      </c>
      <c r="Q431" s="2" t="s">
        <v>70</v>
      </c>
      <c r="R431" s="2" t="s">
        <v>277</v>
      </c>
      <c r="S431" s="1" t="s">
        <v>5566</v>
      </c>
      <c r="T431" s="2" t="s">
        <v>72</v>
      </c>
      <c r="U431" s="3">
        <v>6</v>
      </c>
      <c r="V431" s="3">
        <v>6</v>
      </c>
      <c r="W431" s="4" t="s">
        <v>5567</v>
      </c>
      <c r="X431" s="4" t="s">
        <v>5567</v>
      </c>
      <c r="Y431" s="4" t="s">
        <v>5022</v>
      </c>
      <c r="Z431" s="4" t="s">
        <v>5022</v>
      </c>
      <c r="AA431" s="3">
        <v>317</v>
      </c>
      <c r="AB431" s="3">
        <v>232</v>
      </c>
      <c r="AC431" s="3">
        <v>240</v>
      </c>
      <c r="AD431" s="3">
        <v>2</v>
      </c>
      <c r="AE431" s="3">
        <v>2</v>
      </c>
      <c r="AF431" s="3">
        <v>4</v>
      </c>
      <c r="AG431" s="3">
        <v>4</v>
      </c>
      <c r="AH431" s="3">
        <v>1</v>
      </c>
      <c r="AI431" s="3">
        <v>1</v>
      </c>
      <c r="AJ431" s="3">
        <v>2</v>
      </c>
      <c r="AK431" s="3">
        <v>2</v>
      </c>
      <c r="AL431" s="3">
        <v>1</v>
      </c>
      <c r="AM431" s="3">
        <v>1</v>
      </c>
      <c r="AN431" s="3">
        <v>1</v>
      </c>
      <c r="AO431" s="3">
        <v>1</v>
      </c>
      <c r="AP431" s="3">
        <v>0</v>
      </c>
      <c r="AQ431" s="3">
        <v>0</v>
      </c>
      <c r="AR431" s="2" t="s">
        <v>63</v>
      </c>
      <c r="AS431" s="2" t="s">
        <v>92</v>
      </c>
      <c r="AT431" s="5" t="str">
        <f>HYPERLINK("http://catalog.hathitrust.org/Record/000039656","HathiTrust Record")</f>
        <v>HathiTrust Record</v>
      </c>
      <c r="AU431" s="5" t="str">
        <f>HYPERLINK("https://creighton-primo.hosted.exlibrisgroup.com/primo-explore/search?tab=default_tab&amp;search_scope=EVERYTHING&amp;vid=01CRU&amp;lang=en_US&amp;offset=0&amp;query=any,contains,991000960659702656","Catalog Record")</f>
        <v>Catalog Record</v>
      </c>
      <c r="AV431" s="5" t="str">
        <f>HYPERLINK("http://www.worldcat.org/oclc/4135489","WorldCat Record")</f>
        <v>WorldCat Record</v>
      </c>
      <c r="AW431" s="2" t="s">
        <v>5568</v>
      </c>
      <c r="AX431" s="2" t="s">
        <v>5569</v>
      </c>
      <c r="AY431" s="2" t="s">
        <v>5570</v>
      </c>
      <c r="AZ431" s="2" t="s">
        <v>5570</v>
      </c>
      <c r="BA431" s="2" t="s">
        <v>5571</v>
      </c>
      <c r="BB431" s="2" t="s">
        <v>79</v>
      </c>
      <c r="BE431" s="2" t="s">
        <v>5572</v>
      </c>
      <c r="BF431" s="2" t="s">
        <v>5573</v>
      </c>
    </row>
    <row r="432" spans="1:58" ht="46.5" customHeight="1">
      <c r="A432" s="1"/>
      <c r="B432" s="1" t="s">
        <v>58</v>
      </c>
      <c r="C432" s="1" t="s">
        <v>59</v>
      </c>
      <c r="D432" s="1" t="s">
        <v>5574</v>
      </c>
      <c r="E432" s="1" t="s">
        <v>5575</v>
      </c>
      <c r="F432" s="1" t="s">
        <v>5576</v>
      </c>
      <c r="H432" s="2" t="s">
        <v>63</v>
      </c>
      <c r="I432" s="2" t="s">
        <v>64</v>
      </c>
      <c r="J432" s="2" t="s">
        <v>63</v>
      </c>
      <c r="K432" s="2" t="s">
        <v>63</v>
      </c>
      <c r="L432" s="2" t="s">
        <v>65</v>
      </c>
      <c r="N432" s="1" t="s">
        <v>5577</v>
      </c>
      <c r="O432" s="2" t="s">
        <v>307</v>
      </c>
      <c r="Q432" s="2" t="s">
        <v>70</v>
      </c>
      <c r="R432" s="2" t="s">
        <v>470</v>
      </c>
      <c r="S432" s="1" t="s">
        <v>5578</v>
      </c>
      <c r="T432" s="2" t="s">
        <v>72</v>
      </c>
      <c r="U432" s="3">
        <v>21</v>
      </c>
      <c r="V432" s="3">
        <v>21</v>
      </c>
      <c r="W432" s="4" t="s">
        <v>5579</v>
      </c>
      <c r="X432" s="4" t="s">
        <v>5579</v>
      </c>
      <c r="Y432" s="4" t="s">
        <v>5022</v>
      </c>
      <c r="Z432" s="4" t="s">
        <v>5022</v>
      </c>
      <c r="AA432" s="3">
        <v>292</v>
      </c>
      <c r="AB432" s="3">
        <v>256</v>
      </c>
      <c r="AC432" s="3">
        <v>257</v>
      </c>
      <c r="AD432" s="3">
        <v>3</v>
      </c>
      <c r="AE432" s="3">
        <v>3</v>
      </c>
      <c r="AF432" s="3">
        <v>10</v>
      </c>
      <c r="AG432" s="3">
        <v>10</v>
      </c>
      <c r="AH432" s="3">
        <v>3</v>
      </c>
      <c r="AI432" s="3">
        <v>3</v>
      </c>
      <c r="AJ432" s="3">
        <v>2</v>
      </c>
      <c r="AK432" s="3">
        <v>2</v>
      </c>
      <c r="AL432" s="3">
        <v>5</v>
      </c>
      <c r="AM432" s="3">
        <v>5</v>
      </c>
      <c r="AN432" s="3">
        <v>2</v>
      </c>
      <c r="AO432" s="3">
        <v>2</v>
      </c>
      <c r="AP432" s="3">
        <v>0</v>
      </c>
      <c r="AQ432" s="3">
        <v>0</v>
      </c>
      <c r="AR432" s="2" t="s">
        <v>63</v>
      </c>
      <c r="AS432" s="2" t="s">
        <v>63</v>
      </c>
      <c r="AU432" s="5" t="str">
        <f>HYPERLINK("https://creighton-primo.hosted.exlibrisgroup.com/primo-explore/search?tab=default_tab&amp;search_scope=EVERYTHING&amp;vid=01CRU&amp;lang=en_US&amp;offset=0&amp;query=any,contains,991001267659702656","Catalog Record")</f>
        <v>Catalog Record</v>
      </c>
      <c r="AV432" s="5" t="str">
        <f>HYPERLINK("http://www.worldcat.org/oclc/13270835","WorldCat Record")</f>
        <v>WorldCat Record</v>
      </c>
      <c r="AW432" s="2" t="s">
        <v>5580</v>
      </c>
      <c r="AX432" s="2" t="s">
        <v>5581</v>
      </c>
      <c r="AY432" s="2" t="s">
        <v>5582</v>
      </c>
      <c r="AZ432" s="2" t="s">
        <v>5582</v>
      </c>
      <c r="BA432" s="2" t="s">
        <v>5583</v>
      </c>
      <c r="BB432" s="2" t="s">
        <v>79</v>
      </c>
      <c r="BD432" s="2" t="s">
        <v>5584</v>
      </c>
      <c r="BE432" s="2" t="s">
        <v>5585</v>
      </c>
      <c r="BF432" s="2" t="s">
        <v>5586</v>
      </c>
    </row>
    <row r="433" spans="1:58" ht="46.5" customHeight="1">
      <c r="A433" s="1"/>
      <c r="B433" s="1" t="s">
        <v>58</v>
      </c>
      <c r="C433" s="1" t="s">
        <v>59</v>
      </c>
      <c r="D433" s="1" t="s">
        <v>5587</v>
      </c>
      <c r="E433" s="1" t="s">
        <v>5588</v>
      </c>
      <c r="F433" s="1" t="s">
        <v>5589</v>
      </c>
      <c r="H433" s="2" t="s">
        <v>63</v>
      </c>
      <c r="I433" s="2" t="s">
        <v>64</v>
      </c>
      <c r="J433" s="2" t="s">
        <v>63</v>
      </c>
      <c r="K433" s="2" t="s">
        <v>63</v>
      </c>
      <c r="L433" s="2" t="s">
        <v>65</v>
      </c>
      <c r="M433" s="1" t="s">
        <v>5590</v>
      </c>
      <c r="N433" s="1" t="s">
        <v>5591</v>
      </c>
      <c r="O433" s="2" t="s">
        <v>4932</v>
      </c>
      <c r="Q433" s="2" t="s">
        <v>70</v>
      </c>
      <c r="R433" s="2" t="s">
        <v>277</v>
      </c>
      <c r="T433" s="2" t="s">
        <v>72</v>
      </c>
      <c r="U433" s="3">
        <v>5</v>
      </c>
      <c r="V433" s="3">
        <v>5</v>
      </c>
      <c r="W433" s="4" t="s">
        <v>5592</v>
      </c>
      <c r="X433" s="4" t="s">
        <v>5592</v>
      </c>
      <c r="Y433" s="4" t="s">
        <v>3914</v>
      </c>
      <c r="Z433" s="4" t="s">
        <v>3914</v>
      </c>
      <c r="AA433" s="3">
        <v>147</v>
      </c>
      <c r="AB433" s="3">
        <v>107</v>
      </c>
      <c r="AC433" s="3">
        <v>168</v>
      </c>
      <c r="AD433" s="3">
        <v>1</v>
      </c>
      <c r="AE433" s="3">
        <v>2</v>
      </c>
      <c r="AF433" s="3">
        <v>2</v>
      </c>
      <c r="AG433" s="3">
        <v>8</v>
      </c>
      <c r="AH433" s="3">
        <v>1</v>
      </c>
      <c r="AI433" s="3">
        <v>3</v>
      </c>
      <c r="AJ433" s="3">
        <v>0</v>
      </c>
      <c r="AK433" s="3">
        <v>3</v>
      </c>
      <c r="AL433" s="3">
        <v>1</v>
      </c>
      <c r="AM433" s="3">
        <v>2</v>
      </c>
      <c r="AN433" s="3">
        <v>0</v>
      </c>
      <c r="AO433" s="3">
        <v>1</v>
      </c>
      <c r="AP433" s="3">
        <v>0</v>
      </c>
      <c r="AQ433" s="3">
        <v>0</v>
      </c>
      <c r="AR433" s="2" t="s">
        <v>63</v>
      </c>
      <c r="AS433" s="2" t="s">
        <v>92</v>
      </c>
      <c r="AT433" s="5" t="str">
        <f>HYPERLINK("http://catalog.hathitrust.org/Record/001588093","HathiTrust Record")</f>
        <v>HathiTrust Record</v>
      </c>
      <c r="AU433" s="5" t="str">
        <f>HYPERLINK("https://creighton-primo.hosted.exlibrisgroup.com/primo-explore/search?tab=default_tab&amp;search_scope=EVERYTHING&amp;vid=01CRU&amp;lang=en_US&amp;offset=0&amp;query=any,contains,991000961629702656","Catalog Record")</f>
        <v>Catalog Record</v>
      </c>
      <c r="AV433" s="5" t="str">
        <f>HYPERLINK("http://www.worldcat.org/oclc/14603983","WorldCat Record")</f>
        <v>WorldCat Record</v>
      </c>
      <c r="AW433" s="2" t="s">
        <v>5593</v>
      </c>
      <c r="AX433" s="2" t="s">
        <v>5594</v>
      </c>
      <c r="AY433" s="2" t="s">
        <v>5595</v>
      </c>
      <c r="AZ433" s="2" t="s">
        <v>5595</v>
      </c>
      <c r="BA433" s="2" t="s">
        <v>5596</v>
      </c>
      <c r="BB433" s="2" t="s">
        <v>79</v>
      </c>
      <c r="BE433" s="2" t="s">
        <v>5597</v>
      </c>
      <c r="BF433" s="2" t="s">
        <v>5598</v>
      </c>
    </row>
    <row r="434" spans="1:58" ht="46.5" customHeight="1">
      <c r="A434" s="1"/>
      <c r="B434" s="1" t="s">
        <v>58</v>
      </c>
      <c r="C434" s="1" t="s">
        <v>59</v>
      </c>
      <c r="D434" s="1" t="s">
        <v>5599</v>
      </c>
      <c r="E434" s="1" t="s">
        <v>5600</v>
      </c>
      <c r="F434" s="1" t="s">
        <v>5601</v>
      </c>
      <c r="H434" s="2" t="s">
        <v>63</v>
      </c>
      <c r="I434" s="2" t="s">
        <v>64</v>
      </c>
      <c r="J434" s="2" t="s">
        <v>63</v>
      </c>
      <c r="K434" s="2" t="s">
        <v>63</v>
      </c>
      <c r="L434" s="2" t="s">
        <v>65</v>
      </c>
      <c r="N434" s="1" t="s">
        <v>5602</v>
      </c>
      <c r="O434" s="2" t="s">
        <v>132</v>
      </c>
      <c r="Q434" s="2" t="s">
        <v>70</v>
      </c>
      <c r="R434" s="2" t="s">
        <v>277</v>
      </c>
      <c r="S434" s="1" t="s">
        <v>5603</v>
      </c>
      <c r="T434" s="2" t="s">
        <v>72</v>
      </c>
      <c r="U434" s="3">
        <v>6</v>
      </c>
      <c r="V434" s="3">
        <v>6</v>
      </c>
      <c r="W434" s="4" t="s">
        <v>5604</v>
      </c>
      <c r="X434" s="4" t="s">
        <v>5604</v>
      </c>
      <c r="Y434" s="4" t="s">
        <v>5605</v>
      </c>
      <c r="Z434" s="4" t="s">
        <v>5605</v>
      </c>
      <c r="AA434" s="3">
        <v>117</v>
      </c>
      <c r="AB434" s="3">
        <v>78</v>
      </c>
      <c r="AC434" s="3">
        <v>85</v>
      </c>
      <c r="AD434" s="3">
        <v>1</v>
      </c>
      <c r="AE434" s="3">
        <v>1</v>
      </c>
      <c r="AF434" s="3">
        <v>3</v>
      </c>
      <c r="AG434" s="3">
        <v>3</v>
      </c>
      <c r="AH434" s="3">
        <v>1</v>
      </c>
      <c r="AI434" s="3">
        <v>1</v>
      </c>
      <c r="AJ434" s="3">
        <v>0</v>
      </c>
      <c r="AK434" s="3">
        <v>0</v>
      </c>
      <c r="AL434" s="3">
        <v>3</v>
      </c>
      <c r="AM434" s="3">
        <v>3</v>
      </c>
      <c r="AN434" s="3">
        <v>0</v>
      </c>
      <c r="AO434" s="3">
        <v>0</v>
      </c>
      <c r="AP434" s="3">
        <v>0</v>
      </c>
      <c r="AQ434" s="3">
        <v>0</v>
      </c>
      <c r="AR434" s="2" t="s">
        <v>63</v>
      </c>
      <c r="AS434" s="2" t="s">
        <v>92</v>
      </c>
      <c r="AT434" s="5" t="str">
        <f>HYPERLINK("http://catalog.hathitrust.org/Record/002559323","HathiTrust Record")</f>
        <v>HathiTrust Record</v>
      </c>
      <c r="AU434" s="5" t="str">
        <f>HYPERLINK("https://creighton-primo.hosted.exlibrisgroup.com/primo-explore/search?tab=default_tab&amp;search_scope=EVERYTHING&amp;vid=01CRU&amp;lang=en_US&amp;offset=0&amp;query=any,contains,991001510459702656","Catalog Record")</f>
        <v>Catalog Record</v>
      </c>
      <c r="AV434" s="5" t="str">
        <f>HYPERLINK("http://www.worldcat.org/oclc/24378648","WorldCat Record")</f>
        <v>WorldCat Record</v>
      </c>
      <c r="AW434" s="2" t="s">
        <v>5606</v>
      </c>
      <c r="AX434" s="2" t="s">
        <v>5607</v>
      </c>
      <c r="AY434" s="2" t="s">
        <v>5608</v>
      </c>
      <c r="AZ434" s="2" t="s">
        <v>5608</v>
      </c>
      <c r="BA434" s="2" t="s">
        <v>5609</v>
      </c>
      <c r="BB434" s="2" t="s">
        <v>79</v>
      </c>
      <c r="BD434" s="2" t="s">
        <v>5610</v>
      </c>
      <c r="BE434" s="2" t="s">
        <v>5611</v>
      </c>
      <c r="BF434" s="2" t="s">
        <v>5612</v>
      </c>
    </row>
    <row r="435" spans="1:58" ht="46.5" customHeight="1">
      <c r="A435" s="1"/>
      <c r="B435" s="1" t="s">
        <v>58</v>
      </c>
      <c r="C435" s="1" t="s">
        <v>59</v>
      </c>
      <c r="D435" s="1" t="s">
        <v>5613</v>
      </c>
      <c r="E435" s="1" t="s">
        <v>5614</v>
      </c>
      <c r="F435" s="1" t="s">
        <v>5615</v>
      </c>
      <c r="H435" s="2" t="s">
        <v>63</v>
      </c>
      <c r="I435" s="2" t="s">
        <v>64</v>
      </c>
      <c r="J435" s="2" t="s">
        <v>92</v>
      </c>
      <c r="K435" s="2" t="s">
        <v>63</v>
      </c>
      <c r="L435" s="2" t="s">
        <v>65</v>
      </c>
      <c r="N435" s="1" t="s">
        <v>5616</v>
      </c>
      <c r="O435" s="2" t="s">
        <v>132</v>
      </c>
      <c r="Q435" s="2" t="s">
        <v>70</v>
      </c>
      <c r="R435" s="2" t="s">
        <v>89</v>
      </c>
      <c r="S435" s="1" t="s">
        <v>5617</v>
      </c>
      <c r="T435" s="2" t="s">
        <v>72</v>
      </c>
      <c r="U435" s="3">
        <v>6</v>
      </c>
      <c r="V435" s="3">
        <v>6</v>
      </c>
      <c r="W435" s="4" t="s">
        <v>3166</v>
      </c>
      <c r="X435" s="4" t="s">
        <v>3166</v>
      </c>
      <c r="Y435" s="4" t="s">
        <v>5605</v>
      </c>
      <c r="Z435" s="4" t="s">
        <v>5605</v>
      </c>
      <c r="AA435" s="3">
        <v>98</v>
      </c>
      <c r="AB435" s="3">
        <v>68</v>
      </c>
      <c r="AC435" s="3">
        <v>111</v>
      </c>
      <c r="AD435" s="3">
        <v>2</v>
      </c>
      <c r="AE435" s="3">
        <v>2</v>
      </c>
      <c r="AF435" s="3">
        <v>1</v>
      </c>
      <c r="AG435" s="3">
        <v>4</v>
      </c>
      <c r="AH435" s="3">
        <v>0</v>
      </c>
      <c r="AI435" s="3">
        <v>2</v>
      </c>
      <c r="AJ435" s="3">
        <v>0</v>
      </c>
      <c r="AK435" s="3">
        <v>2</v>
      </c>
      <c r="AL435" s="3">
        <v>1</v>
      </c>
      <c r="AM435" s="3">
        <v>1</v>
      </c>
      <c r="AN435" s="3">
        <v>0</v>
      </c>
      <c r="AO435" s="3">
        <v>0</v>
      </c>
      <c r="AP435" s="3">
        <v>0</v>
      </c>
      <c r="AQ435" s="3">
        <v>0</v>
      </c>
      <c r="AR435" s="2" t="s">
        <v>63</v>
      </c>
      <c r="AS435" s="2" t="s">
        <v>63</v>
      </c>
      <c r="AU435" s="5" t="str">
        <f>HYPERLINK("https://creighton-primo.hosted.exlibrisgroup.com/primo-explore/search?tab=default_tab&amp;search_scope=EVERYTHING&amp;vid=01CRU&amp;lang=en_US&amp;offset=0&amp;query=any,contains,991001510399702656","Catalog Record")</f>
        <v>Catalog Record</v>
      </c>
      <c r="AV435" s="5" t="str">
        <f>HYPERLINK("http://www.worldcat.org/oclc/27196220","WorldCat Record")</f>
        <v>WorldCat Record</v>
      </c>
      <c r="AW435" s="2" t="s">
        <v>5618</v>
      </c>
      <c r="AX435" s="2" t="s">
        <v>5619</v>
      </c>
      <c r="AY435" s="2" t="s">
        <v>5620</v>
      </c>
      <c r="AZ435" s="2" t="s">
        <v>5620</v>
      </c>
      <c r="BA435" s="2" t="s">
        <v>5621</v>
      </c>
      <c r="BB435" s="2" t="s">
        <v>79</v>
      </c>
      <c r="BD435" s="2" t="s">
        <v>5622</v>
      </c>
      <c r="BE435" s="2" t="s">
        <v>5623</v>
      </c>
      <c r="BF435" s="2" t="s">
        <v>5624</v>
      </c>
    </row>
    <row r="436" spans="1:58" ht="46.5" customHeight="1">
      <c r="A436" s="1"/>
      <c r="B436" s="1" t="s">
        <v>58</v>
      </c>
      <c r="C436" s="1" t="s">
        <v>59</v>
      </c>
      <c r="D436" s="1" t="s">
        <v>5625</v>
      </c>
      <c r="E436" s="1" t="s">
        <v>5626</v>
      </c>
      <c r="F436" s="1" t="s">
        <v>5627</v>
      </c>
      <c r="H436" s="2" t="s">
        <v>63</v>
      </c>
      <c r="I436" s="2" t="s">
        <v>64</v>
      </c>
      <c r="J436" s="2" t="s">
        <v>63</v>
      </c>
      <c r="K436" s="2" t="s">
        <v>63</v>
      </c>
      <c r="L436" s="2" t="s">
        <v>65</v>
      </c>
      <c r="M436" s="1" t="s">
        <v>5628</v>
      </c>
      <c r="N436" s="1" t="s">
        <v>5629</v>
      </c>
      <c r="O436" s="2" t="s">
        <v>5630</v>
      </c>
      <c r="Q436" s="2" t="s">
        <v>70</v>
      </c>
      <c r="R436" s="2" t="s">
        <v>691</v>
      </c>
      <c r="S436" s="1" t="s">
        <v>5631</v>
      </c>
      <c r="T436" s="2" t="s">
        <v>72</v>
      </c>
      <c r="U436" s="3">
        <v>1</v>
      </c>
      <c r="V436" s="3">
        <v>1</v>
      </c>
      <c r="W436" s="4" t="s">
        <v>5604</v>
      </c>
      <c r="X436" s="4" t="s">
        <v>5604</v>
      </c>
      <c r="Y436" s="4" t="s">
        <v>3914</v>
      </c>
      <c r="Z436" s="4" t="s">
        <v>3914</v>
      </c>
      <c r="AA436" s="3">
        <v>94</v>
      </c>
      <c r="AB436" s="3">
        <v>71</v>
      </c>
      <c r="AC436" s="3">
        <v>75</v>
      </c>
      <c r="AD436" s="3">
        <v>1</v>
      </c>
      <c r="AE436" s="3">
        <v>1</v>
      </c>
      <c r="AF436" s="3">
        <v>2</v>
      </c>
      <c r="AG436" s="3">
        <v>2</v>
      </c>
      <c r="AH436" s="3">
        <v>1</v>
      </c>
      <c r="AI436" s="3">
        <v>1</v>
      </c>
      <c r="AJ436" s="3">
        <v>0</v>
      </c>
      <c r="AK436" s="3">
        <v>0</v>
      </c>
      <c r="AL436" s="3">
        <v>1</v>
      </c>
      <c r="AM436" s="3">
        <v>1</v>
      </c>
      <c r="AN436" s="3">
        <v>0</v>
      </c>
      <c r="AO436" s="3">
        <v>0</v>
      </c>
      <c r="AP436" s="3">
        <v>0</v>
      </c>
      <c r="AQ436" s="3">
        <v>0</v>
      </c>
      <c r="AR436" s="2" t="s">
        <v>63</v>
      </c>
      <c r="AS436" s="2" t="s">
        <v>63</v>
      </c>
      <c r="AT436" s="5" t="str">
        <f>HYPERLINK("http://catalog.hathitrust.org/Record/000852967","HathiTrust Record")</f>
        <v>HathiTrust Record</v>
      </c>
      <c r="AU436" s="5" t="str">
        <f>HYPERLINK("https://creighton-primo.hosted.exlibrisgroup.com/primo-explore/search?tab=default_tab&amp;search_scope=EVERYTHING&amp;vid=01CRU&amp;lang=en_US&amp;offset=0&amp;query=any,contains,991000961549702656","Catalog Record")</f>
        <v>Catalog Record</v>
      </c>
      <c r="AV436" s="5" t="str">
        <f>HYPERLINK("http://www.worldcat.org/oclc/2688911","WorldCat Record")</f>
        <v>WorldCat Record</v>
      </c>
      <c r="AW436" s="2" t="s">
        <v>5632</v>
      </c>
      <c r="AX436" s="2" t="s">
        <v>5633</v>
      </c>
      <c r="AY436" s="2" t="s">
        <v>5634</v>
      </c>
      <c r="AZ436" s="2" t="s">
        <v>5634</v>
      </c>
      <c r="BA436" s="2" t="s">
        <v>5635</v>
      </c>
      <c r="BB436" s="2" t="s">
        <v>79</v>
      </c>
      <c r="BE436" s="2" t="s">
        <v>5636</v>
      </c>
      <c r="BF436" s="2" t="s">
        <v>5637</v>
      </c>
    </row>
    <row r="437" spans="1:58" ht="46.5" customHeight="1">
      <c r="A437" s="1"/>
      <c r="B437" s="1" t="s">
        <v>58</v>
      </c>
      <c r="C437" s="1" t="s">
        <v>59</v>
      </c>
      <c r="D437" s="1" t="s">
        <v>5638</v>
      </c>
      <c r="E437" s="1" t="s">
        <v>5639</v>
      </c>
      <c r="F437" s="1" t="s">
        <v>5640</v>
      </c>
      <c r="H437" s="2" t="s">
        <v>63</v>
      </c>
      <c r="I437" s="2" t="s">
        <v>64</v>
      </c>
      <c r="J437" s="2" t="s">
        <v>63</v>
      </c>
      <c r="K437" s="2" t="s">
        <v>63</v>
      </c>
      <c r="L437" s="2" t="s">
        <v>65</v>
      </c>
      <c r="N437" s="1" t="s">
        <v>5641</v>
      </c>
      <c r="O437" s="2" t="s">
        <v>132</v>
      </c>
      <c r="Q437" s="2" t="s">
        <v>70</v>
      </c>
      <c r="R437" s="2" t="s">
        <v>3592</v>
      </c>
      <c r="T437" s="2" t="s">
        <v>72</v>
      </c>
      <c r="U437" s="3">
        <v>11</v>
      </c>
      <c r="V437" s="3">
        <v>11</v>
      </c>
      <c r="W437" s="4" t="s">
        <v>5604</v>
      </c>
      <c r="X437" s="4" t="s">
        <v>5604</v>
      </c>
      <c r="Y437" s="4" t="s">
        <v>5642</v>
      </c>
      <c r="Z437" s="4" t="s">
        <v>5642</v>
      </c>
      <c r="AA437" s="3">
        <v>138</v>
      </c>
      <c r="AB437" s="3">
        <v>108</v>
      </c>
      <c r="AC437" s="3">
        <v>108</v>
      </c>
      <c r="AD437" s="3">
        <v>2</v>
      </c>
      <c r="AE437" s="3">
        <v>2</v>
      </c>
      <c r="AF437" s="3">
        <v>4</v>
      </c>
      <c r="AG437" s="3">
        <v>4</v>
      </c>
      <c r="AH437" s="3">
        <v>1</v>
      </c>
      <c r="AI437" s="3">
        <v>1</v>
      </c>
      <c r="AJ437" s="3">
        <v>1</v>
      </c>
      <c r="AK437" s="3">
        <v>1</v>
      </c>
      <c r="AL437" s="3">
        <v>1</v>
      </c>
      <c r="AM437" s="3">
        <v>1</v>
      </c>
      <c r="AN437" s="3">
        <v>1</v>
      </c>
      <c r="AO437" s="3">
        <v>1</v>
      </c>
      <c r="AP437" s="3">
        <v>0</v>
      </c>
      <c r="AQ437" s="3">
        <v>0</v>
      </c>
      <c r="AR437" s="2" t="s">
        <v>63</v>
      </c>
      <c r="AS437" s="2" t="s">
        <v>63</v>
      </c>
      <c r="AU437" s="5" t="str">
        <f>HYPERLINK("https://creighton-primo.hosted.exlibrisgroup.com/primo-explore/search?tab=default_tab&amp;search_scope=EVERYTHING&amp;vid=01CRU&amp;lang=en_US&amp;offset=0&amp;query=any,contains,991001301709702656","Catalog Record")</f>
        <v>Catalog Record</v>
      </c>
      <c r="AV437" s="5" t="str">
        <f>HYPERLINK("http://www.worldcat.org/oclc/24318415","WorldCat Record")</f>
        <v>WorldCat Record</v>
      </c>
      <c r="AW437" s="2" t="s">
        <v>5643</v>
      </c>
      <c r="AX437" s="2" t="s">
        <v>5644</v>
      </c>
      <c r="AY437" s="2" t="s">
        <v>5645</v>
      </c>
      <c r="AZ437" s="2" t="s">
        <v>5645</v>
      </c>
      <c r="BA437" s="2" t="s">
        <v>5646</v>
      </c>
      <c r="BB437" s="2" t="s">
        <v>79</v>
      </c>
      <c r="BD437" s="2" t="s">
        <v>5647</v>
      </c>
      <c r="BE437" s="2" t="s">
        <v>5648</v>
      </c>
      <c r="BF437" s="2" t="s">
        <v>5649</v>
      </c>
    </row>
    <row r="438" spans="1:58" ht="46.5" customHeight="1">
      <c r="A438" s="1"/>
      <c r="B438" s="1" t="s">
        <v>58</v>
      </c>
      <c r="C438" s="1" t="s">
        <v>59</v>
      </c>
      <c r="D438" s="1" t="s">
        <v>5650</v>
      </c>
      <c r="E438" s="1" t="s">
        <v>5651</v>
      </c>
      <c r="F438" s="1" t="s">
        <v>5652</v>
      </c>
      <c r="H438" s="2" t="s">
        <v>63</v>
      </c>
      <c r="I438" s="2" t="s">
        <v>64</v>
      </c>
      <c r="J438" s="2" t="s">
        <v>63</v>
      </c>
      <c r="K438" s="2" t="s">
        <v>63</v>
      </c>
      <c r="L438" s="2" t="s">
        <v>65</v>
      </c>
      <c r="N438" s="1" t="s">
        <v>5653</v>
      </c>
      <c r="O438" s="2" t="s">
        <v>229</v>
      </c>
      <c r="Q438" s="2" t="s">
        <v>70</v>
      </c>
      <c r="R438" s="2" t="s">
        <v>277</v>
      </c>
      <c r="S438" s="1" t="s">
        <v>5654</v>
      </c>
      <c r="T438" s="2" t="s">
        <v>72</v>
      </c>
      <c r="U438" s="3">
        <v>19</v>
      </c>
      <c r="V438" s="3">
        <v>19</v>
      </c>
      <c r="W438" s="4" t="s">
        <v>5655</v>
      </c>
      <c r="X438" s="4" t="s">
        <v>5655</v>
      </c>
      <c r="Y438" s="4" t="s">
        <v>5656</v>
      </c>
      <c r="Z438" s="4" t="s">
        <v>5656</v>
      </c>
      <c r="AA438" s="3">
        <v>229</v>
      </c>
      <c r="AB438" s="3">
        <v>163</v>
      </c>
      <c r="AC438" s="3">
        <v>173</v>
      </c>
      <c r="AD438" s="3">
        <v>2</v>
      </c>
      <c r="AE438" s="3">
        <v>2</v>
      </c>
      <c r="AF438" s="3">
        <v>6</v>
      </c>
      <c r="AG438" s="3">
        <v>7</v>
      </c>
      <c r="AH438" s="3">
        <v>1</v>
      </c>
      <c r="AI438" s="3">
        <v>1</v>
      </c>
      <c r="AJ438" s="3">
        <v>2</v>
      </c>
      <c r="AK438" s="3">
        <v>3</v>
      </c>
      <c r="AL438" s="3">
        <v>3</v>
      </c>
      <c r="AM438" s="3">
        <v>4</v>
      </c>
      <c r="AN438" s="3">
        <v>1</v>
      </c>
      <c r="AO438" s="3">
        <v>1</v>
      </c>
      <c r="AP438" s="3">
        <v>0</v>
      </c>
      <c r="AQ438" s="3">
        <v>0</v>
      </c>
      <c r="AR438" s="2" t="s">
        <v>63</v>
      </c>
      <c r="AS438" s="2" t="s">
        <v>63</v>
      </c>
      <c r="AU438" s="5" t="str">
        <f>HYPERLINK("https://creighton-primo.hosted.exlibrisgroup.com/primo-explore/search?tab=default_tab&amp;search_scope=EVERYTHING&amp;vid=01CRU&amp;lang=en_US&amp;offset=0&amp;query=any,contains,991001564139702656","Catalog Record")</f>
        <v>Catalog Record</v>
      </c>
      <c r="AV438" s="5" t="str">
        <f>HYPERLINK("http://www.worldcat.org/oclc/36459080","WorldCat Record")</f>
        <v>WorldCat Record</v>
      </c>
      <c r="AW438" s="2" t="s">
        <v>5657</v>
      </c>
      <c r="AX438" s="2" t="s">
        <v>5658</v>
      </c>
      <c r="AY438" s="2" t="s">
        <v>5659</v>
      </c>
      <c r="AZ438" s="2" t="s">
        <v>5659</v>
      </c>
      <c r="BA438" s="2" t="s">
        <v>5660</v>
      </c>
      <c r="BB438" s="2" t="s">
        <v>79</v>
      </c>
      <c r="BD438" s="2" t="s">
        <v>5661</v>
      </c>
      <c r="BE438" s="2" t="s">
        <v>5662</v>
      </c>
      <c r="BF438" s="2" t="s">
        <v>5663</v>
      </c>
    </row>
    <row r="439" spans="1:58" ht="46.5" customHeight="1">
      <c r="A439" s="1"/>
      <c r="B439" s="1" t="s">
        <v>58</v>
      </c>
      <c r="C439" s="1" t="s">
        <v>59</v>
      </c>
      <c r="D439" s="1" t="s">
        <v>5664</v>
      </c>
      <c r="E439" s="1" t="s">
        <v>5665</v>
      </c>
      <c r="F439" s="1" t="s">
        <v>5666</v>
      </c>
      <c r="H439" s="2" t="s">
        <v>63</v>
      </c>
      <c r="I439" s="2" t="s">
        <v>64</v>
      </c>
      <c r="J439" s="2" t="s">
        <v>63</v>
      </c>
      <c r="K439" s="2" t="s">
        <v>63</v>
      </c>
      <c r="L439" s="2" t="s">
        <v>65</v>
      </c>
      <c r="N439" s="1" t="s">
        <v>5667</v>
      </c>
      <c r="O439" s="2" t="s">
        <v>608</v>
      </c>
      <c r="Q439" s="2" t="s">
        <v>70</v>
      </c>
      <c r="R439" s="2" t="s">
        <v>555</v>
      </c>
      <c r="T439" s="2" t="s">
        <v>72</v>
      </c>
      <c r="U439" s="3">
        <v>9</v>
      </c>
      <c r="V439" s="3">
        <v>9</v>
      </c>
      <c r="W439" s="4" t="s">
        <v>5668</v>
      </c>
      <c r="X439" s="4" t="s">
        <v>5668</v>
      </c>
      <c r="Y439" s="4" t="s">
        <v>979</v>
      </c>
      <c r="Z439" s="4" t="s">
        <v>979</v>
      </c>
      <c r="AA439" s="3">
        <v>126</v>
      </c>
      <c r="AB439" s="3">
        <v>77</v>
      </c>
      <c r="AC439" s="3">
        <v>104</v>
      </c>
      <c r="AD439" s="3">
        <v>2</v>
      </c>
      <c r="AE439" s="3">
        <v>2</v>
      </c>
      <c r="AF439" s="3">
        <v>4</v>
      </c>
      <c r="AG439" s="3">
        <v>4</v>
      </c>
      <c r="AH439" s="3">
        <v>1</v>
      </c>
      <c r="AI439" s="3">
        <v>1</v>
      </c>
      <c r="AJ439" s="3">
        <v>1</v>
      </c>
      <c r="AK439" s="3">
        <v>1</v>
      </c>
      <c r="AL439" s="3">
        <v>2</v>
      </c>
      <c r="AM439" s="3">
        <v>2</v>
      </c>
      <c r="AN439" s="3">
        <v>1</v>
      </c>
      <c r="AO439" s="3">
        <v>1</v>
      </c>
      <c r="AP439" s="3">
        <v>0</v>
      </c>
      <c r="AQ439" s="3">
        <v>0</v>
      </c>
      <c r="AR439" s="2" t="s">
        <v>63</v>
      </c>
      <c r="AS439" s="2" t="s">
        <v>92</v>
      </c>
      <c r="AT439" s="5" t="str">
        <f>HYPERLINK("http://catalog.hathitrust.org/Record/002606197","HathiTrust Record")</f>
        <v>HathiTrust Record</v>
      </c>
      <c r="AU439" s="5" t="str">
        <f>HYPERLINK("https://creighton-primo.hosted.exlibrisgroup.com/primo-explore/search?tab=default_tab&amp;search_scope=EVERYTHING&amp;vid=01CRU&amp;lang=en_US&amp;offset=0&amp;query=any,contains,991001512209702656","Catalog Record")</f>
        <v>Catalog Record</v>
      </c>
      <c r="AV439" s="5" t="str">
        <f>HYPERLINK("http://www.worldcat.org/oclc/26220030","WorldCat Record")</f>
        <v>WorldCat Record</v>
      </c>
      <c r="AW439" s="2" t="s">
        <v>5669</v>
      </c>
      <c r="AX439" s="2" t="s">
        <v>5670</v>
      </c>
      <c r="AY439" s="2" t="s">
        <v>5671</v>
      </c>
      <c r="AZ439" s="2" t="s">
        <v>5671</v>
      </c>
      <c r="BA439" s="2" t="s">
        <v>5672</v>
      </c>
      <c r="BB439" s="2" t="s">
        <v>79</v>
      </c>
      <c r="BD439" s="2" t="s">
        <v>5673</v>
      </c>
      <c r="BE439" s="2" t="s">
        <v>5674</v>
      </c>
      <c r="BF439" s="2" t="s">
        <v>5675</v>
      </c>
    </row>
    <row r="440" spans="1:58" ht="46.5" customHeight="1">
      <c r="A440" s="1"/>
      <c r="B440" s="1" t="s">
        <v>58</v>
      </c>
      <c r="C440" s="1" t="s">
        <v>59</v>
      </c>
      <c r="D440" s="1" t="s">
        <v>5676</v>
      </c>
      <c r="E440" s="1" t="s">
        <v>5677</v>
      </c>
      <c r="F440" s="1" t="s">
        <v>5678</v>
      </c>
      <c r="H440" s="2" t="s">
        <v>63</v>
      </c>
      <c r="I440" s="2" t="s">
        <v>64</v>
      </c>
      <c r="J440" s="2" t="s">
        <v>63</v>
      </c>
      <c r="K440" s="2" t="s">
        <v>63</v>
      </c>
      <c r="L440" s="2" t="s">
        <v>65</v>
      </c>
      <c r="N440" s="1" t="s">
        <v>5679</v>
      </c>
      <c r="O440" s="2" t="s">
        <v>292</v>
      </c>
      <c r="Q440" s="2" t="s">
        <v>70</v>
      </c>
      <c r="R440" s="2" t="s">
        <v>89</v>
      </c>
      <c r="S440" s="1" t="s">
        <v>5680</v>
      </c>
      <c r="T440" s="2" t="s">
        <v>72</v>
      </c>
      <c r="U440" s="3">
        <v>9</v>
      </c>
      <c r="V440" s="3">
        <v>9</v>
      </c>
      <c r="W440" s="4" t="s">
        <v>5604</v>
      </c>
      <c r="X440" s="4" t="s">
        <v>5604</v>
      </c>
      <c r="Y440" s="4" t="s">
        <v>5681</v>
      </c>
      <c r="Z440" s="4" t="s">
        <v>5681</v>
      </c>
      <c r="AA440" s="3">
        <v>77</v>
      </c>
      <c r="AB440" s="3">
        <v>51</v>
      </c>
      <c r="AC440" s="3">
        <v>74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0</v>
      </c>
      <c r="AK440" s="3">
        <v>0</v>
      </c>
      <c r="AL440" s="3">
        <v>1</v>
      </c>
      <c r="AM440" s="3">
        <v>1</v>
      </c>
      <c r="AN440" s="3">
        <v>0</v>
      </c>
      <c r="AO440" s="3">
        <v>0</v>
      </c>
      <c r="AP440" s="3">
        <v>0</v>
      </c>
      <c r="AQ440" s="3">
        <v>0</v>
      </c>
      <c r="AR440" s="2" t="s">
        <v>63</v>
      </c>
      <c r="AS440" s="2" t="s">
        <v>92</v>
      </c>
      <c r="AT440" s="5" t="str">
        <f>HYPERLINK("http://catalog.hathitrust.org/Record/000905964","HathiTrust Record")</f>
        <v>HathiTrust Record</v>
      </c>
      <c r="AU440" s="5" t="str">
        <f>HYPERLINK("https://creighton-primo.hosted.exlibrisgroup.com/primo-explore/search?tab=default_tab&amp;search_scope=EVERYTHING&amp;vid=01CRU&amp;lang=en_US&amp;offset=0&amp;query=any,contains,991001418989702656","Catalog Record")</f>
        <v>Catalog Record</v>
      </c>
      <c r="AV440" s="5" t="str">
        <f>HYPERLINK("http://www.worldcat.org/oclc/17508940","WorldCat Record")</f>
        <v>WorldCat Record</v>
      </c>
      <c r="AW440" s="2" t="s">
        <v>5682</v>
      </c>
      <c r="AX440" s="2" t="s">
        <v>5683</v>
      </c>
      <c r="AY440" s="2" t="s">
        <v>5684</v>
      </c>
      <c r="AZ440" s="2" t="s">
        <v>5684</v>
      </c>
      <c r="BA440" s="2" t="s">
        <v>5685</v>
      </c>
      <c r="BB440" s="2" t="s">
        <v>79</v>
      </c>
      <c r="BD440" s="2" t="s">
        <v>5686</v>
      </c>
      <c r="BE440" s="2" t="s">
        <v>5687</v>
      </c>
      <c r="BF440" s="2" t="s">
        <v>5688</v>
      </c>
    </row>
    <row r="441" spans="1:58" ht="46.5" customHeight="1">
      <c r="A441" s="1"/>
      <c r="B441" s="1" t="s">
        <v>58</v>
      </c>
      <c r="C441" s="1" t="s">
        <v>59</v>
      </c>
      <c r="D441" s="1" t="s">
        <v>5689</v>
      </c>
      <c r="E441" s="1" t="s">
        <v>5690</v>
      </c>
      <c r="F441" s="1" t="s">
        <v>5691</v>
      </c>
      <c r="H441" s="2" t="s">
        <v>63</v>
      </c>
      <c r="I441" s="2" t="s">
        <v>64</v>
      </c>
      <c r="J441" s="2" t="s">
        <v>63</v>
      </c>
      <c r="K441" s="2" t="s">
        <v>63</v>
      </c>
      <c r="L441" s="2" t="s">
        <v>65</v>
      </c>
      <c r="N441" s="1" t="s">
        <v>5692</v>
      </c>
      <c r="O441" s="2" t="s">
        <v>348</v>
      </c>
      <c r="Q441" s="2" t="s">
        <v>70</v>
      </c>
      <c r="R441" s="2" t="s">
        <v>277</v>
      </c>
      <c r="T441" s="2" t="s">
        <v>72</v>
      </c>
      <c r="U441" s="3">
        <v>3</v>
      </c>
      <c r="V441" s="3">
        <v>3</v>
      </c>
      <c r="W441" s="4" t="s">
        <v>5693</v>
      </c>
      <c r="X441" s="4" t="s">
        <v>5693</v>
      </c>
      <c r="Y441" s="4" t="s">
        <v>5694</v>
      </c>
      <c r="Z441" s="4" t="s">
        <v>5694</v>
      </c>
      <c r="AA441" s="3">
        <v>90</v>
      </c>
      <c r="AB441" s="3">
        <v>73</v>
      </c>
      <c r="AC441" s="3">
        <v>78</v>
      </c>
      <c r="AD441" s="3">
        <v>2</v>
      </c>
      <c r="AE441" s="3">
        <v>2</v>
      </c>
      <c r="AF441" s="3">
        <v>4</v>
      </c>
      <c r="AG441" s="3">
        <v>4</v>
      </c>
      <c r="AH441" s="3">
        <v>0</v>
      </c>
      <c r="AI441" s="3">
        <v>0</v>
      </c>
      <c r="AJ441" s="3">
        <v>3</v>
      </c>
      <c r="AK441" s="3">
        <v>3</v>
      </c>
      <c r="AL441" s="3">
        <v>1</v>
      </c>
      <c r="AM441" s="3">
        <v>1</v>
      </c>
      <c r="AN441" s="3">
        <v>1</v>
      </c>
      <c r="AO441" s="3">
        <v>1</v>
      </c>
      <c r="AP441" s="3">
        <v>0</v>
      </c>
      <c r="AQ441" s="3">
        <v>0</v>
      </c>
      <c r="AR441" s="2" t="s">
        <v>63</v>
      </c>
      <c r="AS441" s="2" t="s">
        <v>63</v>
      </c>
      <c r="AU441" s="5" t="str">
        <f>HYPERLINK("https://creighton-primo.hosted.exlibrisgroup.com/primo-explore/search?tab=default_tab&amp;search_scope=EVERYTHING&amp;vid=01CRU&amp;lang=en_US&amp;offset=0&amp;query=any,contains,991000500899702656","Catalog Record")</f>
        <v>Catalog Record</v>
      </c>
      <c r="AV441" s="5" t="str">
        <f>HYPERLINK("http://www.worldcat.org/oclc/38105647","WorldCat Record")</f>
        <v>WorldCat Record</v>
      </c>
      <c r="AW441" s="2" t="s">
        <v>5695</v>
      </c>
      <c r="AX441" s="2" t="s">
        <v>5696</v>
      </c>
      <c r="AY441" s="2" t="s">
        <v>5697</v>
      </c>
      <c r="AZ441" s="2" t="s">
        <v>5697</v>
      </c>
      <c r="BA441" s="2" t="s">
        <v>5698</v>
      </c>
      <c r="BB441" s="2" t="s">
        <v>79</v>
      </c>
      <c r="BD441" s="2" t="s">
        <v>5699</v>
      </c>
      <c r="BE441" s="2" t="s">
        <v>5700</v>
      </c>
      <c r="BF441" s="2" t="s">
        <v>5701</v>
      </c>
    </row>
    <row r="442" spans="1:58" ht="46.5" customHeight="1">
      <c r="A442" s="1"/>
      <c r="B442" s="1" t="s">
        <v>58</v>
      </c>
      <c r="C442" s="1" t="s">
        <v>59</v>
      </c>
      <c r="D442" s="1" t="s">
        <v>5702</v>
      </c>
      <c r="E442" s="1" t="s">
        <v>5703</v>
      </c>
      <c r="F442" s="1" t="s">
        <v>5704</v>
      </c>
      <c r="H442" s="2" t="s">
        <v>63</v>
      </c>
      <c r="I442" s="2" t="s">
        <v>64</v>
      </c>
      <c r="J442" s="2" t="s">
        <v>63</v>
      </c>
      <c r="K442" s="2" t="s">
        <v>63</v>
      </c>
      <c r="L442" s="2" t="s">
        <v>65</v>
      </c>
      <c r="N442" s="1" t="s">
        <v>5705</v>
      </c>
      <c r="O442" s="2" t="s">
        <v>292</v>
      </c>
      <c r="Q442" s="2" t="s">
        <v>70</v>
      </c>
      <c r="R442" s="2" t="s">
        <v>786</v>
      </c>
      <c r="T442" s="2" t="s">
        <v>72</v>
      </c>
      <c r="U442" s="3">
        <v>3</v>
      </c>
      <c r="V442" s="3">
        <v>3</v>
      </c>
      <c r="W442" s="4" t="s">
        <v>5604</v>
      </c>
      <c r="X442" s="4" t="s">
        <v>5604</v>
      </c>
      <c r="Y442" s="4" t="s">
        <v>5706</v>
      </c>
      <c r="Z442" s="4" t="s">
        <v>5706</v>
      </c>
      <c r="AA442" s="3">
        <v>131</v>
      </c>
      <c r="AB442" s="3">
        <v>97</v>
      </c>
      <c r="AC442" s="3">
        <v>116</v>
      </c>
      <c r="AD442" s="3">
        <v>1</v>
      </c>
      <c r="AE442" s="3">
        <v>1</v>
      </c>
      <c r="AF442" s="3">
        <v>2</v>
      </c>
      <c r="AG442" s="3">
        <v>3</v>
      </c>
      <c r="AH442" s="3">
        <v>0</v>
      </c>
      <c r="AI442" s="3">
        <v>1</v>
      </c>
      <c r="AJ442" s="3">
        <v>2</v>
      </c>
      <c r="AK442" s="3">
        <v>2</v>
      </c>
      <c r="AL442" s="3">
        <v>1</v>
      </c>
      <c r="AM442" s="3">
        <v>2</v>
      </c>
      <c r="AN442" s="3">
        <v>0</v>
      </c>
      <c r="AO442" s="3">
        <v>0</v>
      </c>
      <c r="AP442" s="3">
        <v>0</v>
      </c>
      <c r="AQ442" s="3">
        <v>0</v>
      </c>
      <c r="AR442" s="2" t="s">
        <v>63</v>
      </c>
      <c r="AS442" s="2" t="s">
        <v>92</v>
      </c>
      <c r="AT442" s="5" t="str">
        <f>HYPERLINK("http://catalog.hathitrust.org/Record/000944536","HathiTrust Record")</f>
        <v>HathiTrust Record</v>
      </c>
      <c r="AU442" s="5" t="str">
        <f>HYPERLINK("https://creighton-primo.hosted.exlibrisgroup.com/primo-explore/search?tab=default_tab&amp;search_scope=EVERYTHING&amp;vid=01CRU&amp;lang=en_US&amp;offset=0&amp;query=any,contains,991001105509702656","Catalog Record")</f>
        <v>Catalog Record</v>
      </c>
      <c r="AV442" s="5" t="str">
        <f>HYPERLINK("http://www.worldcat.org/oclc/17841534","WorldCat Record")</f>
        <v>WorldCat Record</v>
      </c>
      <c r="AW442" s="2" t="s">
        <v>5707</v>
      </c>
      <c r="AX442" s="2" t="s">
        <v>5708</v>
      </c>
      <c r="AY442" s="2" t="s">
        <v>5709</v>
      </c>
      <c r="AZ442" s="2" t="s">
        <v>5709</v>
      </c>
      <c r="BA442" s="2" t="s">
        <v>5710</v>
      </c>
      <c r="BB442" s="2" t="s">
        <v>79</v>
      </c>
      <c r="BD442" s="2" t="s">
        <v>5711</v>
      </c>
      <c r="BE442" s="2" t="s">
        <v>5712</v>
      </c>
      <c r="BF442" s="2" t="s">
        <v>5713</v>
      </c>
    </row>
    <row r="443" spans="1:58" ht="46.5" customHeight="1">
      <c r="A443" s="1"/>
      <c r="B443" s="1" t="s">
        <v>58</v>
      </c>
      <c r="C443" s="1" t="s">
        <v>59</v>
      </c>
      <c r="D443" s="1" t="s">
        <v>5714</v>
      </c>
      <c r="E443" s="1" t="s">
        <v>5715</v>
      </c>
      <c r="F443" s="1" t="s">
        <v>5716</v>
      </c>
      <c r="H443" s="2" t="s">
        <v>63</v>
      </c>
      <c r="I443" s="2" t="s">
        <v>64</v>
      </c>
      <c r="J443" s="2" t="s">
        <v>63</v>
      </c>
      <c r="K443" s="2" t="s">
        <v>63</v>
      </c>
      <c r="L443" s="2" t="s">
        <v>65</v>
      </c>
      <c r="N443" s="1" t="s">
        <v>5717</v>
      </c>
      <c r="O443" s="2" t="s">
        <v>292</v>
      </c>
      <c r="Q443" s="2" t="s">
        <v>70</v>
      </c>
      <c r="R443" s="2" t="s">
        <v>470</v>
      </c>
      <c r="T443" s="2" t="s">
        <v>72</v>
      </c>
      <c r="U443" s="3">
        <v>7</v>
      </c>
      <c r="V443" s="3">
        <v>7</v>
      </c>
      <c r="W443" s="4" t="s">
        <v>5604</v>
      </c>
      <c r="X443" s="4" t="s">
        <v>5604</v>
      </c>
      <c r="Y443" s="4" t="s">
        <v>1857</v>
      </c>
      <c r="Z443" s="4" t="s">
        <v>1857</v>
      </c>
      <c r="AA443" s="3">
        <v>338</v>
      </c>
      <c r="AB443" s="3">
        <v>242</v>
      </c>
      <c r="AC443" s="3">
        <v>244</v>
      </c>
      <c r="AD443" s="3">
        <v>3</v>
      </c>
      <c r="AE443" s="3">
        <v>3</v>
      </c>
      <c r="AF443" s="3">
        <v>9</v>
      </c>
      <c r="AG443" s="3">
        <v>9</v>
      </c>
      <c r="AH443" s="3">
        <v>4</v>
      </c>
      <c r="AI443" s="3">
        <v>4</v>
      </c>
      <c r="AJ443" s="3">
        <v>3</v>
      </c>
      <c r="AK443" s="3">
        <v>3</v>
      </c>
      <c r="AL443" s="3">
        <v>7</v>
      </c>
      <c r="AM443" s="3">
        <v>7</v>
      </c>
      <c r="AN443" s="3">
        <v>1</v>
      </c>
      <c r="AO443" s="3">
        <v>1</v>
      </c>
      <c r="AP443" s="3">
        <v>0</v>
      </c>
      <c r="AQ443" s="3">
        <v>0</v>
      </c>
      <c r="AR443" s="2" t="s">
        <v>63</v>
      </c>
      <c r="AS443" s="2" t="s">
        <v>92</v>
      </c>
      <c r="AT443" s="5" t="str">
        <f>HYPERLINK("http://catalog.hathitrust.org/Record/005055105","HathiTrust Record")</f>
        <v>HathiTrust Record</v>
      </c>
      <c r="AU443" s="5" t="str">
        <f>HYPERLINK("https://creighton-primo.hosted.exlibrisgroup.com/primo-explore/search?tab=default_tab&amp;search_scope=EVERYTHING&amp;vid=01CRU&amp;lang=en_US&amp;offset=0&amp;query=any,contains,991001322959702656","Catalog Record")</f>
        <v>Catalog Record</v>
      </c>
      <c r="AV443" s="5" t="str">
        <f>HYPERLINK("http://www.worldcat.org/oclc/18291642","WorldCat Record")</f>
        <v>WorldCat Record</v>
      </c>
      <c r="AW443" s="2" t="s">
        <v>5718</v>
      </c>
      <c r="AX443" s="2" t="s">
        <v>5719</v>
      </c>
      <c r="AY443" s="2" t="s">
        <v>5720</v>
      </c>
      <c r="AZ443" s="2" t="s">
        <v>5720</v>
      </c>
      <c r="BA443" s="2" t="s">
        <v>5721</v>
      </c>
      <c r="BB443" s="2" t="s">
        <v>79</v>
      </c>
      <c r="BD443" s="2" t="s">
        <v>5722</v>
      </c>
      <c r="BE443" s="2" t="s">
        <v>5723</v>
      </c>
      <c r="BF443" s="2" t="s">
        <v>5724</v>
      </c>
    </row>
    <row r="444" spans="1:58" ht="46.5" customHeight="1">
      <c r="A444" s="1"/>
      <c r="B444" s="1" t="s">
        <v>58</v>
      </c>
      <c r="C444" s="1" t="s">
        <v>59</v>
      </c>
      <c r="D444" s="1" t="s">
        <v>5725</v>
      </c>
      <c r="E444" s="1" t="s">
        <v>5726</v>
      </c>
      <c r="F444" s="1" t="s">
        <v>5727</v>
      </c>
      <c r="H444" s="2" t="s">
        <v>63</v>
      </c>
      <c r="I444" s="2" t="s">
        <v>64</v>
      </c>
      <c r="J444" s="2" t="s">
        <v>63</v>
      </c>
      <c r="K444" s="2" t="s">
        <v>63</v>
      </c>
      <c r="L444" s="2" t="s">
        <v>65</v>
      </c>
      <c r="N444" s="1" t="s">
        <v>5728</v>
      </c>
      <c r="O444" s="2" t="s">
        <v>119</v>
      </c>
      <c r="Q444" s="2" t="s">
        <v>70</v>
      </c>
      <c r="R444" s="2" t="s">
        <v>89</v>
      </c>
      <c r="T444" s="2" t="s">
        <v>72</v>
      </c>
      <c r="U444" s="3">
        <v>3</v>
      </c>
      <c r="V444" s="3">
        <v>3</v>
      </c>
      <c r="W444" s="4" t="s">
        <v>5604</v>
      </c>
      <c r="X444" s="4" t="s">
        <v>5604</v>
      </c>
      <c r="Y444" s="4" t="s">
        <v>5022</v>
      </c>
      <c r="Z444" s="4" t="s">
        <v>5022</v>
      </c>
      <c r="AA444" s="3">
        <v>144</v>
      </c>
      <c r="AB444" s="3">
        <v>95</v>
      </c>
      <c r="AC444" s="3">
        <v>102</v>
      </c>
      <c r="AD444" s="3">
        <v>1</v>
      </c>
      <c r="AE444" s="3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2" t="s">
        <v>63</v>
      </c>
      <c r="AS444" s="2" t="s">
        <v>92</v>
      </c>
      <c r="AT444" s="5" t="str">
        <f>HYPERLINK("http://catalog.hathitrust.org/Record/000109025","HathiTrust Record")</f>
        <v>HathiTrust Record</v>
      </c>
      <c r="AU444" s="5" t="str">
        <f>HYPERLINK("https://creighton-primo.hosted.exlibrisgroup.com/primo-explore/search?tab=default_tab&amp;search_scope=EVERYTHING&amp;vid=01CRU&amp;lang=en_US&amp;offset=0&amp;query=any,contains,991000961489702656","Catalog Record")</f>
        <v>Catalog Record</v>
      </c>
      <c r="AV444" s="5" t="str">
        <f>HYPERLINK("http://www.worldcat.org/oclc/8865397","WorldCat Record")</f>
        <v>WorldCat Record</v>
      </c>
      <c r="AW444" s="2" t="s">
        <v>5729</v>
      </c>
      <c r="AX444" s="2" t="s">
        <v>5730</v>
      </c>
      <c r="AY444" s="2" t="s">
        <v>5731</v>
      </c>
      <c r="AZ444" s="2" t="s">
        <v>5731</v>
      </c>
      <c r="BA444" s="2" t="s">
        <v>5732</v>
      </c>
      <c r="BB444" s="2" t="s">
        <v>79</v>
      </c>
      <c r="BD444" s="2" t="s">
        <v>5733</v>
      </c>
      <c r="BE444" s="2" t="s">
        <v>5734</v>
      </c>
      <c r="BF444" s="2" t="s">
        <v>5735</v>
      </c>
    </row>
    <row r="445" spans="1:58" ht="46.5" customHeight="1">
      <c r="A445" s="1"/>
      <c r="B445" s="1" t="s">
        <v>58</v>
      </c>
      <c r="C445" s="1" t="s">
        <v>59</v>
      </c>
      <c r="D445" s="1" t="s">
        <v>5736</v>
      </c>
      <c r="E445" s="1" t="s">
        <v>5737</v>
      </c>
      <c r="F445" s="1" t="s">
        <v>5738</v>
      </c>
      <c r="H445" s="2" t="s">
        <v>63</v>
      </c>
      <c r="I445" s="2" t="s">
        <v>64</v>
      </c>
      <c r="J445" s="2" t="s">
        <v>63</v>
      </c>
      <c r="K445" s="2" t="s">
        <v>63</v>
      </c>
      <c r="L445" s="2" t="s">
        <v>65</v>
      </c>
      <c r="N445" s="1" t="s">
        <v>5739</v>
      </c>
      <c r="O445" s="2" t="s">
        <v>594</v>
      </c>
      <c r="Q445" s="2" t="s">
        <v>70</v>
      </c>
      <c r="R445" s="2" t="s">
        <v>470</v>
      </c>
      <c r="S445" s="1" t="s">
        <v>5740</v>
      </c>
      <c r="T445" s="2" t="s">
        <v>72</v>
      </c>
      <c r="U445" s="3">
        <v>8</v>
      </c>
      <c r="V445" s="3">
        <v>8</v>
      </c>
      <c r="W445" s="4" t="s">
        <v>5741</v>
      </c>
      <c r="X445" s="4" t="s">
        <v>5741</v>
      </c>
      <c r="Y445" s="4" t="s">
        <v>3914</v>
      </c>
      <c r="Z445" s="4" t="s">
        <v>3914</v>
      </c>
      <c r="AA445" s="3">
        <v>169</v>
      </c>
      <c r="AB445" s="3">
        <v>137</v>
      </c>
      <c r="AC445" s="3">
        <v>143</v>
      </c>
      <c r="AD445" s="3">
        <v>1</v>
      </c>
      <c r="AE445" s="3">
        <v>1</v>
      </c>
      <c r="AF445" s="3">
        <v>3</v>
      </c>
      <c r="AG445" s="3">
        <v>4</v>
      </c>
      <c r="AH445" s="3">
        <v>0</v>
      </c>
      <c r="AI445" s="3">
        <v>0</v>
      </c>
      <c r="AJ445" s="3">
        <v>2</v>
      </c>
      <c r="AK445" s="3">
        <v>3</v>
      </c>
      <c r="AL445" s="3">
        <v>2</v>
      </c>
      <c r="AM445" s="3">
        <v>3</v>
      </c>
      <c r="AN445" s="3">
        <v>0</v>
      </c>
      <c r="AO445" s="3">
        <v>0</v>
      </c>
      <c r="AP445" s="3">
        <v>0</v>
      </c>
      <c r="AQ445" s="3">
        <v>0</v>
      </c>
      <c r="AR445" s="2" t="s">
        <v>63</v>
      </c>
      <c r="AS445" s="2" t="s">
        <v>92</v>
      </c>
      <c r="AT445" s="5" t="str">
        <f>HYPERLINK("http://catalog.hathitrust.org/Record/001644442","HathiTrust Record")</f>
        <v>HathiTrust Record</v>
      </c>
      <c r="AU445" s="5" t="str">
        <f>HYPERLINK("https://creighton-primo.hosted.exlibrisgroup.com/primo-explore/search?tab=default_tab&amp;search_scope=EVERYTHING&amp;vid=01CRU&amp;lang=en_US&amp;offset=0&amp;query=any,contains,991000961459702656","Catalog Record")</f>
        <v>Catalog Record</v>
      </c>
      <c r="AV445" s="5" t="str">
        <f>HYPERLINK("http://www.worldcat.org/oclc/1288293","WorldCat Record")</f>
        <v>WorldCat Record</v>
      </c>
      <c r="AW445" s="2" t="s">
        <v>5742</v>
      </c>
      <c r="AX445" s="2" t="s">
        <v>5743</v>
      </c>
      <c r="AY445" s="2" t="s">
        <v>5744</v>
      </c>
      <c r="AZ445" s="2" t="s">
        <v>5744</v>
      </c>
      <c r="BA445" s="2" t="s">
        <v>5745</v>
      </c>
      <c r="BB445" s="2" t="s">
        <v>79</v>
      </c>
      <c r="BE445" s="2" t="s">
        <v>5746</v>
      </c>
      <c r="BF445" s="2" t="s">
        <v>5747</v>
      </c>
    </row>
    <row r="446" spans="1:58" ht="46.5" customHeight="1">
      <c r="A446" s="1"/>
      <c r="B446" s="1" t="s">
        <v>58</v>
      </c>
      <c r="C446" s="1" t="s">
        <v>59</v>
      </c>
      <c r="D446" s="1" t="s">
        <v>5748</v>
      </c>
      <c r="E446" s="1" t="s">
        <v>5749</v>
      </c>
      <c r="F446" s="1" t="s">
        <v>5750</v>
      </c>
      <c r="H446" s="2" t="s">
        <v>63</v>
      </c>
      <c r="I446" s="2" t="s">
        <v>64</v>
      </c>
      <c r="J446" s="2" t="s">
        <v>63</v>
      </c>
      <c r="K446" s="2" t="s">
        <v>63</v>
      </c>
      <c r="L446" s="2" t="s">
        <v>65</v>
      </c>
      <c r="N446" s="1" t="s">
        <v>5751</v>
      </c>
      <c r="O446" s="2" t="s">
        <v>362</v>
      </c>
      <c r="Q446" s="2" t="s">
        <v>70</v>
      </c>
      <c r="R446" s="2" t="s">
        <v>277</v>
      </c>
      <c r="S446" s="1" t="s">
        <v>5752</v>
      </c>
      <c r="T446" s="2" t="s">
        <v>72</v>
      </c>
      <c r="U446" s="3">
        <v>0</v>
      </c>
      <c r="V446" s="3">
        <v>0</v>
      </c>
      <c r="W446" s="4" t="s">
        <v>5753</v>
      </c>
      <c r="X446" s="4" t="s">
        <v>5753</v>
      </c>
      <c r="Y446" s="4" t="s">
        <v>5754</v>
      </c>
      <c r="Z446" s="4" t="s">
        <v>5754</v>
      </c>
      <c r="AA446" s="3">
        <v>90</v>
      </c>
      <c r="AB446" s="3">
        <v>57</v>
      </c>
      <c r="AC446" s="3">
        <v>88</v>
      </c>
      <c r="AD446" s="3">
        <v>2</v>
      </c>
      <c r="AE446" s="3">
        <v>2</v>
      </c>
      <c r="AF446" s="3">
        <v>2</v>
      </c>
      <c r="AG446" s="3">
        <v>3</v>
      </c>
      <c r="AH446" s="3">
        <v>0</v>
      </c>
      <c r="AI446" s="3">
        <v>0</v>
      </c>
      <c r="AJ446" s="3">
        <v>1</v>
      </c>
      <c r="AK446" s="3">
        <v>2</v>
      </c>
      <c r="AL446" s="3">
        <v>0</v>
      </c>
      <c r="AM446" s="3">
        <v>0</v>
      </c>
      <c r="AN446" s="3">
        <v>1</v>
      </c>
      <c r="AO446" s="3">
        <v>1</v>
      </c>
      <c r="AP446" s="3">
        <v>0</v>
      </c>
      <c r="AQ446" s="3">
        <v>0</v>
      </c>
      <c r="AR446" s="2" t="s">
        <v>63</v>
      </c>
      <c r="AS446" s="2" t="s">
        <v>63</v>
      </c>
      <c r="AU446" s="5" t="str">
        <f>HYPERLINK("https://creighton-primo.hosted.exlibrisgroup.com/primo-explore/search?tab=default_tab&amp;search_scope=EVERYTHING&amp;vid=01CRU&amp;lang=en_US&amp;offset=0&amp;query=any,contains,991000445949702656","Catalog Record")</f>
        <v>Catalog Record</v>
      </c>
      <c r="AV446" s="5" t="str">
        <f>HYPERLINK("http://www.worldcat.org/oclc/57414693","WorldCat Record")</f>
        <v>WorldCat Record</v>
      </c>
      <c r="AW446" s="2" t="s">
        <v>5755</v>
      </c>
      <c r="AX446" s="2" t="s">
        <v>5756</v>
      </c>
      <c r="AY446" s="2" t="s">
        <v>5757</v>
      </c>
      <c r="AZ446" s="2" t="s">
        <v>5757</v>
      </c>
      <c r="BA446" s="2" t="s">
        <v>5758</v>
      </c>
      <c r="BB446" s="2" t="s">
        <v>79</v>
      </c>
      <c r="BD446" s="2" t="s">
        <v>5759</v>
      </c>
      <c r="BE446" s="2" t="s">
        <v>5760</v>
      </c>
      <c r="BF446" s="2" t="s">
        <v>5761</v>
      </c>
    </row>
    <row r="447" spans="1:58" ht="46.5" customHeight="1">
      <c r="A447" s="1"/>
      <c r="B447" s="1" t="s">
        <v>58</v>
      </c>
      <c r="C447" s="1" t="s">
        <v>59</v>
      </c>
      <c r="D447" s="1" t="s">
        <v>5762</v>
      </c>
      <c r="E447" s="1" t="s">
        <v>5763</v>
      </c>
      <c r="F447" s="1" t="s">
        <v>5764</v>
      </c>
      <c r="H447" s="2" t="s">
        <v>63</v>
      </c>
      <c r="I447" s="2" t="s">
        <v>64</v>
      </c>
      <c r="J447" s="2" t="s">
        <v>63</v>
      </c>
      <c r="K447" s="2" t="s">
        <v>63</v>
      </c>
      <c r="L447" s="2" t="s">
        <v>65</v>
      </c>
      <c r="N447" s="1" t="s">
        <v>5765</v>
      </c>
      <c r="O447" s="2" t="s">
        <v>1201</v>
      </c>
      <c r="Q447" s="2" t="s">
        <v>70</v>
      </c>
      <c r="R447" s="2" t="s">
        <v>377</v>
      </c>
      <c r="T447" s="2" t="s">
        <v>72</v>
      </c>
      <c r="U447" s="3">
        <v>5</v>
      </c>
      <c r="V447" s="3">
        <v>5</v>
      </c>
      <c r="W447" s="4" t="s">
        <v>5766</v>
      </c>
      <c r="X447" s="4" t="s">
        <v>5766</v>
      </c>
      <c r="Y447" s="4" t="s">
        <v>5022</v>
      </c>
      <c r="Z447" s="4" t="s">
        <v>5022</v>
      </c>
      <c r="AA447" s="3">
        <v>174</v>
      </c>
      <c r="AB447" s="3">
        <v>96</v>
      </c>
      <c r="AC447" s="3">
        <v>98</v>
      </c>
      <c r="AD447" s="3">
        <v>1</v>
      </c>
      <c r="AE447" s="3">
        <v>1</v>
      </c>
      <c r="AF447" s="3">
        <v>2</v>
      </c>
      <c r="AG447" s="3">
        <v>2</v>
      </c>
      <c r="AH447" s="3">
        <v>1</v>
      </c>
      <c r="AI447" s="3">
        <v>1</v>
      </c>
      <c r="AJ447" s="3">
        <v>1</v>
      </c>
      <c r="AK447" s="3">
        <v>1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2" t="s">
        <v>63</v>
      </c>
      <c r="AS447" s="2" t="s">
        <v>92</v>
      </c>
      <c r="AT447" s="5" t="str">
        <f>HYPERLINK("http://catalog.hathitrust.org/Record/000034696","HathiTrust Record")</f>
        <v>HathiTrust Record</v>
      </c>
      <c r="AU447" s="5" t="str">
        <f>HYPERLINK("https://creighton-primo.hosted.exlibrisgroup.com/primo-explore/search?tab=default_tab&amp;search_scope=EVERYTHING&amp;vid=01CRU&amp;lang=en_US&amp;offset=0&amp;query=any,contains,991000961429702656","Catalog Record")</f>
        <v>Catalog Record</v>
      </c>
      <c r="AV447" s="5" t="str">
        <f>HYPERLINK("http://www.worldcat.org/oclc/6169315","WorldCat Record")</f>
        <v>WorldCat Record</v>
      </c>
      <c r="AW447" s="2" t="s">
        <v>5767</v>
      </c>
      <c r="AX447" s="2" t="s">
        <v>5768</v>
      </c>
      <c r="AY447" s="2" t="s">
        <v>5769</v>
      </c>
      <c r="AZ447" s="2" t="s">
        <v>5769</v>
      </c>
      <c r="BA447" s="2" t="s">
        <v>5770</v>
      </c>
      <c r="BB447" s="2" t="s">
        <v>79</v>
      </c>
      <c r="BD447" s="2" t="s">
        <v>5771</v>
      </c>
      <c r="BE447" s="2" t="s">
        <v>5772</v>
      </c>
      <c r="BF447" s="2" t="s">
        <v>5773</v>
      </c>
    </row>
    <row r="448" spans="1:58" ht="46.5" customHeight="1">
      <c r="A448" s="1"/>
      <c r="B448" s="1" t="s">
        <v>58</v>
      </c>
      <c r="C448" s="1" t="s">
        <v>59</v>
      </c>
      <c r="D448" s="1" t="s">
        <v>5774</v>
      </c>
      <c r="E448" s="1" t="s">
        <v>5775</v>
      </c>
      <c r="F448" s="1" t="s">
        <v>5776</v>
      </c>
      <c r="H448" s="2" t="s">
        <v>63</v>
      </c>
      <c r="I448" s="2" t="s">
        <v>64</v>
      </c>
      <c r="J448" s="2" t="s">
        <v>63</v>
      </c>
      <c r="K448" s="2" t="s">
        <v>63</v>
      </c>
      <c r="L448" s="2" t="s">
        <v>64</v>
      </c>
      <c r="N448" s="1" t="s">
        <v>5777</v>
      </c>
      <c r="O448" s="2" t="s">
        <v>440</v>
      </c>
      <c r="P448" s="1" t="s">
        <v>5778</v>
      </c>
      <c r="Q448" s="2" t="s">
        <v>70</v>
      </c>
      <c r="R448" s="2" t="s">
        <v>3037</v>
      </c>
      <c r="T448" s="2" t="s">
        <v>72</v>
      </c>
      <c r="U448" s="3">
        <v>1</v>
      </c>
      <c r="V448" s="3">
        <v>1</v>
      </c>
      <c r="W448" s="4" t="s">
        <v>5779</v>
      </c>
      <c r="X448" s="4" t="s">
        <v>5779</v>
      </c>
      <c r="Y448" s="4" t="s">
        <v>2647</v>
      </c>
      <c r="Z448" s="4" t="s">
        <v>2647</v>
      </c>
      <c r="AA448" s="3">
        <v>112</v>
      </c>
      <c r="AB448" s="3">
        <v>72</v>
      </c>
      <c r="AC448" s="3">
        <v>250</v>
      </c>
      <c r="AD448" s="3">
        <v>1</v>
      </c>
      <c r="AE448" s="3">
        <v>1</v>
      </c>
      <c r="AF448" s="3">
        <v>2</v>
      </c>
      <c r="AG448" s="3">
        <v>6</v>
      </c>
      <c r="AH448" s="3">
        <v>1</v>
      </c>
      <c r="AI448" s="3">
        <v>2</v>
      </c>
      <c r="AJ448" s="3">
        <v>0</v>
      </c>
      <c r="AK448" s="3">
        <v>2</v>
      </c>
      <c r="AL448" s="3">
        <v>1</v>
      </c>
      <c r="AM448" s="3">
        <v>3</v>
      </c>
      <c r="AN448" s="3">
        <v>0</v>
      </c>
      <c r="AO448" s="3">
        <v>0</v>
      </c>
      <c r="AP448" s="3">
        <v>0</v>
      </c>
      <c r="AQ448" s="3">
        <v>0</v>
      </c>
      <c r="AR448" s="2" t="s">
        <v>63</v>
      </c>
      <c r="AS448" s="2" t="s">
        <v>63</v>
      </c>
      <c r="AU448" s="5" t="str">
        <f>HYPERLINK("https://creighton-primo.hosted.exlibrisgroup.com/primo-explore/search?tab=default_tab&amp;search_scope=EVERYTHING&amp;vid=01CRU&amp;lang=en_US&amp;offset=0&amp;query=any,contains,991000369439702656","Catalog Record")</f>
        <v>Catalog Record</v>
      </c>
      <c r="AV448" s="5" t="str">
        <f>HYPERLINK("http://www.worldcat.org/oclc/52086205","WorldCat Record")</f>
        <v>WorldCat Record</v>
      </c>
      <c r="AW448" s="2" t="s">
        <v>5780</v>
      </c>
      <c r="AX448" s="2" t="s">
        <v>5781</v>
      </c>
      <c r="AY448" s="2" t="s">
        <v>5782</v>
      </c>
      <c r="AZ448" s="2" t="s">
        <v>5782</v>
      </c>
      <c r="BA448" s="2" t="s">
        <v>5783</v>
      </c>
      <c r="BB448" s="2" t="s">
        <v>79</v>
      </c>
      <c r="BD448" s="2" t="s">
        <v>5784</v>
      </c>
      <c r="BE448" s="2" t="s">
        <v>5785</v>
      </c>
      <c r="BF448" s="2" t="s">
        <v>5786</v>
      </c>
    </row>
    <row r="449" spans="1:58" ht="46.5" customHeight="1">
      <c r="A449" s="1"/>
      <c r="B449" s="1" t="s">
        <v>58</v>
      </c>
      <c r="C449" s="1" t="s">
        <v>59</v>
      </c>
      <c r="D449" s="1" t="s">
        <v>5787</v>
      </c>
      <c r="E449" s="1" t="s">
        <v>5788</v>
      </c>
      <c r="F449" s="1" t="s">
        <v>5789</v>
      </c>
      <c r="H449" s="2" t="s">
        <v>63</v>
      </c>
      <c r="I449" s="2" t="s">
        <v>64</v>
      </c>
      <c r="J449" s="2" t="s">
        <v>63</v>
      </c>
      <c r="K449" s="2" t="s">
        <v>63</v>
      </c>
      <c r="L449" s="2" t="s">
        <v>65</v>
      </c>
      <c r="N449" s="1" t="s">
        <v>5790</v>
      </c>
      <c r="O449" s="2" t="s">
        <v>119</v>
      </c>
      <c r="Q449" s="2" t="s">
        <v>70</v>
      </c>
      <c r="R449" s="2" t="s">
        <v>89</v>
      </c>
      <c r="T449" s="2" t="s">
        <v>72</v>
      </c>
      <c r="U449" s="3">
        <v>5</v>
      </c>
      <c r="V449" s="3">
        <v>5</v>
      </c>
      <c r="W449" s="4" t="s">
        <v>5766</v>
      </c>
      <c r="X449" s="4" t="s">
        <v>5766</v>
      </c>
      <c r="Y449" s="4" t="s">
        <v>5022</v>
      </c>
      <c r="Z449" s="4" t="s">
        <v>5022</v>
      </c>
      <c r="AA449" s="3">
        <v>89</v>
      </c>
      <c r="AB449" s="3">
        <v>73</v>
      </c>
      <c r="AC449" s="3">
        <v>75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0</v>
      </c>
      <c r="AK449" s="3">
        <v>0</v>
      </c>
      <c r="AL449" s="3">
        <v>1</v>
      </c>
      <c r="AM449" s="3">
        <v>1</v>
      </c>
      <c r="AN449" s="3">
        <v>0</v>
      </c>
      <c r="AO449" s="3">
        <v>0</v>
      </c>
      <c r="AP449" s="3">
        <v>0</v>
      </c>
      <c r="AQ449" s="3">
        <v>0</v>
      </c>
      <c r="AR449" s="2" t="s">
        <v>63</v>
      </c>
      <c r="AS449" s="2" t="s">
        <v>92</v>
      </c>
      <c r="AT449" s="5" t="str">
        <f>HYPERLINK("http://catalog.hathitrust.org/Record/000112346","HathiTrust Record")</f>
        <v>HathiTrust Record</v>
      </c>
      <c r="AU449" s="5" t="str">
        <f>HYPERLINK("https://creighton-primo.hosted.exlibrisgroup.com/primo-explore/search?tab=default_tab&amp;search_scope=EVERYTHING&amp;vid=01CRU&amp;lang=en_US&amp;offset=0&amp;query=any,contains,991000961299702656","Catalog Record")</f>
        <v>Catalog Record</v>
      </c>
      <c r="AV449" s="5" t="str">
        <f>HYPERLINK("http://www.worldcat.org/oclc/9044575","WorldCat Record")</f>
        <v>WorldCat Record</v>
      </c>
      <c r="AW449" s="2" t="s">
        <v>5791</v>
      </c>
      <c r="AX449" s="2" t="s">
        <v>5792</v>
      </c>
      <c r="AY449" s="2" t="s">
        <v>5793</v>
      </c>
      <c r="AZ449" s="2" t="s">
        <v>5793</v>
      </c>
      <c r="BA449" s="2" t="s">
        <v>5794</v>
      </c>
      <c r="BB449" s="2" t="s">
        <v>79</v>
      </c>
      <c r="BE449" s="2" t="s">
        <v>5795</v>
      </c>
      <c r="BF449" s="2" t="s">
        <v>5796</v>
      </c>
    </row>
    <row r="450" spans="1:58" ht="46.5" customHeight="1">
      <c r="A450" s="1"/>
      <c r="B450" s="1" t="s">
        <v>58</v>
      </c>
      <c r="C450" s="1" t="s">
        <v>59</v>
      </c>
      <c r="D450" s="1" t="s">
        <v>5797</v>
      </c>
      <c r="E450" s="1" t="s">
        <v>5798</v>
      </c>
      <c r="F450" s="1" t="s">
        <v>5799</v>
      </c>
      <c r="H450" s="2" t="s">
        <v>63</v>
      </c>
      <c r="I450" s="2" t="s">
        <v>64</v>
      </c>
      <c r="J450" s="2" t="s">
        <v>63</v>
      </c>
      <c r="K450" s="2" t="s">
        <v>63</v>
      </c>
      <c r="L450" s="2" t="s">
        <v>65</v>
      </c>
      <c r="N450" s="1" t="s">
        <v>5800</v>
      </c>
      <c r="O450" s="2" t="s">
        <v>1296</v>
      </c>
      <c r="Q450" s="2" t="s">
        <v>70</v>
      </c>
      <c r="R450" s="2" t="s">
        <v>277</v>
      </c>
      <c r="S450" s="1" t="s">
        <v>5801</v>
      </c>
      <c r="T450" s="2" t="s">
        <v>72</v>
      </c>
      <c r="U450" s="3">
        <v>0</v>
      </c>
      <c r="V450" s="3">
        <v>0</v>
      </c>
      <c r="W450" s="4" t="s">
        <v>3794</v>
      </c>
      <c r="X450" s="4" t="s">
        <v>3794</v>
      </c>
      <c r="Y450" s="4" t="s">
        <v>5802</v>
      </c>
      <c r="Z450" s="4" t="s">
        <v>5802</v>
      </c>
      <c r="AA450" s="3">
        <v>105</v>
      </c>
      <c r="AB450" s="3">
        <v>71</v>
      </c>
      <c r="AC450" s="3">
        <v>97</v>
      </c>
      <c r="AD450" s="3">
        <v>1</v>
      </c>
      <c r="AE450" s="3">
        <v>1</v>
      </c>
      <c r="AF450" s="3">
        <v>3</v>
      </c>
      <c r="AG450" s="3">
        <v>3</v>
      </c>
      <c r="AH450" s="3">
        <v>1</v>
      </c>
      <c r="AI450" s="3">
        <v>1</v>
      </c>
      <c r="AJ450" s="3">
        <v>2</v>
      </c>
      <c r="AK450" s="3">
        <v>2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2" t="s">
        <v>63</v>
      </c>
      <c r="AS450" s="2" t="s">
        <v>63</v>
      </c>
      <c r="AU450" s="5" t="str">
        <f>HYPERLINK("https://creighton-primo.hosted.exlibrisgroup.com/primo-explore/search?tab=default_tab&amp;search_scope=EVERYTHING&amp;vid=01CRU&amp;lang=en_US&amp;offset=0&amp;query=any,contains,991000302279702656","Catalog Record")</f>
        <v>Catalog Record</v>
      </c>
      <c r="AV450" s="5" t="str">
        <f>HYPERLINK("http://www.worldcat.org/oclc/48004909","WorldCat Record")</f>
        <v>WorldCat Record</v>
      </c>
      <c r="AW450" s="2" t="s">
        <v>5803</v>
      </c>
      <c r="AX450" s="2" t="s">
        <v>5804</v>
      </c>
      <c r="AY450" s="2" t="s">
        <v>5805</v>
      </c>
      <c r="AZ450" s="2" t="s">
        <v>5805</v>
      </c>
      <c r="BA450" s="2" t="s">
        <v>5806</v>
      </c>
      <c r="BB450" s="2" t="s">
        <v>79</v>
      </c>
      <c r="BD450" s="2" t="s">
        <v>5807</v>
      </c>
      <c r="BE450" s="2" t="s">
        <v>5808</v>
      </c>
      <c r="BF450" s="2" t="s">
        <v>5809</v>
      </c>
    </row>
    <row r="451" spans="1:58" ht="46.5" customHeight="1">
      <c r="A451" s="1"/>
      <c r="B451" s="1" t="s">
        <v>58</v>
      </c>
      <c r="C451" s="1" t="s">
        <v>59</v>
      </c>
      <c r="D451" s="1" t="s">
        <v>5810</v>
      </c>
      <c r="E451" s="1" t="s">
        <v>5811</v>
      </c>
      <c r="F451" s="1" t="s">
        <v>5812</v>
      </c>
      <c r="H451" s="2" t="s">
        <v>63</v>
      </c>
      <c r="I451" s="2" t="s">
        <v>64</v>
      </c>
      <c r="J451" s="2" t="s">
        <v>63</v>
      </c>
      <c r="K451" s="2" t="s">
        <v>63</v>
      </c>
      <c r="L451" s="2" t="s">
        <v>65</v>
      </c>
      <c r="N451" s="1" t="s">
        <v>5813</v>
      </c>
      <c r="O451" s="2" t="s">
        <v>829</v>
      </c>
      <c r="P451" s="1" t="s">
        <v>5814</v>
      </c>
      <c r="Q451" s="2" t="s">
        <v>70</v>
      </c>
      <c r="R451" s="2" t="s">
        <v>691</v>
      </c>
      <c r="T451" s="2" t="s">
        <v>72</v>
      </c>
      <c r="U451" s="3">
        <v>9</v>
      </c>
      <c r="V451" s="3">
        <v>9</v>
      </c>
      <c r="W451" s="4" t="s">
        <v>5815</v>
      </c>
      <c r="X451" s="4" t="s">
        <v>5815</v>
      </c>
      <c r="Y451" s="4" t="s">
        <v>5022</v>
      </c>
      <c r="Z451" s="4" t="s">
        <v>5022</v>
      </c>
      <c r="AA451" s="3">
        <v>33</v>
      </c>
      <c r="AB451" s="3">
        <v>28</v>
      </c>
      <c r="AC451" s="3">
        <v>28</v>
      </c>
      <c r="AD451" s="3">
        <v>1</v>
      </c>
      <c r="AE451" s="3">
        <v>1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2" t="s">
        <v>63</v>
      </c>
      <c r="AS451" s="2" t="s">
        <v>63</v>
      </c>
      <c r="AU451" s="5" t="str">
        <f>HYPERLINK("https://creighton-primo.hosted.exlibrisgroup.com/primo-explore/search?tab=default_tab&amp;search_scope=EVERYTHING&amp;vid=01CRU&amp;lang=en_US&amp;offset=0&amp;query=any,contains,991000961389702656","Catalog Record")</f>
        <v>Catalog Record</v>
      </c>
      <c r="AV451" s="5" t="str">
        <f>HYPERLINK("http://www.worldcat.org/oclc/5352541","WorldCat Record")</f>
        <v>WorldCat Record</v>
      </c>
      <c r="AW451" s="2" t="s">
        <v>5816</v>
      </c>
      <c r="AX451" s="2" t="s">
        <v>5817</v>
      </c>
      <c r="AY451" s="2" t="s">
        <v>5818</v>
      </c>
      <c r="AZ451" s="2" t="s">
        <v>5818</v>
      </c>
      <c r="BA451" s="2" t="s">
        <v>5819</v>
      </c>
      <c r="BB451" s="2" t="s">
        <v>79</v>
      </c>
      <c r="BE451" s="2" t="s">
        <v>5820</v>
      </c>
      <c r="BF451" s="2" t="s">
        <v>5821</v>
      </c>
    </row>
    <row r="452" spans="1:58" ht="46.5" customHeight="1">
      <c r="A452" s="1"/>
      <c r="B452" s="1" t="s">
        <v>58</v>
      </c>
      <c r="C452" s="1" t="s">
        <v>59</v>
      </c>
      <c r="D452" s="1" t="s">
        <v>5822</v>
      </c>
      <c r="E452" s="1" t="s">
        <v>5823</v>
      </c>
      <c r="F452" s="1" t="s">
        <v>5824</v>
      </c>
      <c r="H452" s="2" t="s">
        <v>63</v>
      </c>
      <c r="I452" s="2" t="s">
        <v>64</v>
      </c>
      <c r="J452" s="2" t="s">
        <v>63</v>
      </c>
      <c r="K452" s="2" t="s">
        <v>63</v>
      </c>
      <c r="L452" s="2" t="s">
        <v>65</v>
      </c>
      <c r="M452" s="1" t="s">
        <v>5825</v>
      </c>
      <c r="N452" s="1" t="s">
        <v>5826</v>
      </c>
      <c r="O452" s="2" t="s">
        <v>5630</v>
      </c>
      <c r="Q452" s="2" t="s">
        <v>70</v>
      </c>
      <c r="R452" s="2" t="s">
        <v>277</v>
      </c>
      <c r="T452" s="2" t="s">
        <v>72</v>
      </c>
      <c r="U452" s="3">
        <v>1</v>
      </c>
      <c r="V452" s="3">
        <v>1</v>
      </c>
      <c r="W452" s="4" t="s">
        <v>5827</v>
      </c>
      <c r="X452" s="4" t="s">
        <v>5827</v>
      </c>
      <c r="Y452" s="4" t="s">
        <v>3914</v>
      </c>
      <c r="Z452" s="4" t="s">
        <v>3914</v>
      </c>
      <c r="AA452" s="3">
        <v>220</v>
      </c>
      <c r="AB452" s="3">
        <v>164</v>
      </c>
      <c r="AC452" s="3">
        <v>168</v>
      </c>
      <c r="AD452" s="3">
        <v>1</v>
      </c>
      <c r="AE452" s="3">
        <v>1</v>
      </c>
      <c r="AF452" s="3">
        <v>5</v>
      </c>
      <c r="AG452" s="3">
        <v>5</v>
      </c>
      <c r="AH452" s="3">
        <v>4</v>
      </c>
      <c r="AI452" s="3">
        <v>4</v>
      </c>
      <c r="AJ452" s="3">
        <v>0</v>
      </c>
      <c r="AK452" s="3">
        <v>0</v>
      </c>
      <c r="AL452" s="3">
        <v>4</v>
      </c>
      <c r="AM452" s="3">
        <v>4</v>
      </c>
      <c r="AN452" s="3">
        <v>0</v>
      </c>
      <c r="AO452" s="3">
        <v>0</v>
      </c>
      <c r="AP452" s="3">
        <v>0</v>
      </c>
      <c r="AQ452" s="3">
        <v>0</v>
      </c>
      <c r="AR452" s="2" t="s">
        <v>63</v>
      </c>
      <c r="AS452" s="2" t="s">
        <v>63</v>
      </c>
      <c r="AT452" s="5" t="str">
        <f>HYPERLINK("http://catalog.hathitrust.org/Record/001572880","HathiTrust Record")</f>
        <v>HathiTrust Record</v>
      </c>
      <c r="AU452" s="5" t="str">
        <f>HYPERLINK("https://creighton-primo.hosted.exlibrisgroup.com/primo-explore/search?tab=default_tab&amp;search_scope=EVERYTHING&amp;vid=01CRU&amp;lang=en_US&amp;offset=0&amp;query=any,contains,991000961349702656","Catalog Record")</f>
        <v>Catalog Record</v>
      </c>
      <c r="AV452" s="5" t="str">
        <f>HYPERLINK("http://www.worldcat.org/oclc/642967","WorldCat Record")</f>
        <v>WorldCat Record</v>
      </c>
      <c r="AW452" s="2" t="s">
        <v>5828</v>
      </c>
      <c r="AX452" s="2" t="s">
        <v>5829</v>
      </c>
      <c r="AY452" s="2" t="s">
        <v>5830</v>
      </c>
      <c r="AZ452" s="2" t="s">
        <v>5830</v>
      </c>
      <c r="BA452" s="2" t="s">
        <v>5831</v>
      </c>
      <c r="BB452" s="2" t="s">
        <v>79</v>
      </c>
      <c r="BE452" s="2" t="s">
        <v>5832</v>
      </c>
      <c r="BF452" s="2" t="s">
        <v>5833</v>
      </c>
    </row>
    <row r="453" spans="1:58" ht="46.5" customHeight="1">
      <c r="A453" s="1"/>
      <c r="B453" s="1" t="s">
        <v>58</v>
      </c>
      <c r="C453" s="1" t="s">
        <v>59</v>
      </c>
      <c r="D453" s="1" t="s">
        <v>5834</v>
      </c>
      <c r="E453" s="1" t="s">
        <v>5835</v>
      </c>
      <c r="F453" s="1" t="s">
        <v>5836</v>
      </c>
      <c r="H453" s="2" t="s">
        <v>63</v>
      </c>
      <c r="I453" s="2" t="s">
        <v>64</v>
      </c>
      <c r="J453" s="2" t="s">
        <v>63</v>
      </c>
      <c r="K453" s="2" t="s">
        <v>63</v>
      </c>
      <c r="L453" s="2" t="s">
        <v>65</v>
      </c>
      <c r="N453" s="1" t="s">
        <v>5837</v>
      </c>
      <c r="O453" s="2" t="s">
        <v>229</v>
      </c>
      <c r="Q453" s="2" t="s">
        <v>70</v>
      </c>
      <c r="R453" s="2" t="s">
        <v>277</v>
      </c>
      <c r="S453" s="1" t="s">
        <v>5838</v>
      </c>
      <c r="T453" s="2" t="s">
        <v>72</v>
      </c>
      <c r="U453" s="3">
        <v>1</v>
      </c>
      <c r="V453" s="3">
        <v>1</v>
      </c>
      <c r="W453" s="4" t="s">
        <v>3634</v>
      </c>
      <c r="X453" s="4" t="s">
        <v>3634</v>
      </c>
      <c r="Y453" s="4" t="s">
        <v>5839</v>
      </c>
      <c r="Z453" s="4" t="s">
        <v>5839</v>
      </c>
      <c r="AA453" s="3">
        <v>40</v>
      </c>
      <c r="AB453" s="3">
        <v>28</v>
      </c>
      <c r="AC453" s="3">
        <v>44</v>
      </c>
      <c r="AD453" s="3">
        <v>1</v>
      </c>
      <c r="AE453" s="3">
        <v>1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2" t="s">
        <v>63</v>
      </c>
      <c r="AS453" s="2" t="s">
        <v>63</v>
      </c>
      <c r="AU453" s="5" t="str">
        <f>HYPERLINK("https://creighton-primo.hosted.exlibrisgroup.com/primo-explore/search?tab=default_tab&amp;search_scope=EVERYTHING&amp;vid=01CRU&amp;lang=en_US&amp;offset=0&amp;query=any,contains,991000325409702656","Catalog Record")</f>
        <v>Catalog Record</v>
      </c>
      <c r="AV453" s="5" t="str">
        <f>HYPERLINK("http://www.worldcat.org/oclc/36598148","WorldCat Record")</f>
        <v>WorldCat Record</v>
      </c>
      <c r="AW453" s="2" t="s">
        <v>5840</v>
      </c>
      <c r="AX453" s="2" t="s">
        <v>5841</v>
      </c>
      <c r="AY453" s="2" t="s">
        <v>5842</v>
      </c>
      <c r="AZ453" s="2" t="s">
        <v>5842</v>
      </c>
      <c r="BA453" s="2" t="s">
        <v>5843</v>
      </c>
      <c r="BB453" s="2" t="s">
        <v>79</v>
      </c>
      <c r="BD453" s="2" t="s">
        <v>5844</v>
      </c>
      <c r="BE453" s="2" t="s">
        <v>5845</v>
      </c>
      <c r="BF453" s="2" t="s">
        <v>5846</v>
      </c>
    </row>
    <row r="454" spans="1:58" ht="46.5" customHeight="1">
      <c r="A454" s="1"/>
      <c r="B454" s="1" t="s">
        <v>58</v>
      </c>
      <c r="C454" s="1" t="s">
        <v>59</v>
      </c>
      <c r="D454" s="1" t="s">
        <v>5847</v>
      </c>
      <c r="E454" s="1" t="s">
        <v>5848</v>
      </c>
      <c r="F454" s="1" t="s">
        <v>5849</v>
      </c>
      <c r="H454" s="2" t="s">
        <v>63</v>
      </c>
      <c r="I454" s="2" t="s">
        <v>64</v>
      </c>
      <c r="J454" s="2" t="s">
        <v>63</v>
      </c>
      <c r="K454" s="2" t="s">
        <v>63</v>
      </c>
      <c r="L454" s="2" t="s">
        <v>65</v>
      </c>
      <c r="M454" s="1" t="s">
        <v>5850</v>
      </c>
      <c r="N454" s="1" t="s">
        <v>5851</v>
      </c>
      <c r="O454" s="2" t="s">
        <v>468</v>
      </c>
      <c r="Q454" s="2" t="s">
        <v>70</v>
      </c>
      <c r="R454" s="2" t="s">
        <v>377</v>
      </c>
      <c r="T454" s="2" t="s">
        <v>72</v>
      </c>
      <c r="U454" s="3">
        <v>5</v>
      </c>
      <c r="V454" s="3">
        <v>5</v>
      </c>
      <c r="W454" s="4" t="s">
        <v>5852</v>
      </c>
      <c r="X454" s="4" t="s">
        <v>5852</v>
      </c>
      <c r="Y454" s="4" t="s">
        <v>5022</v>
      </c>
      <c r="Z454" s="4" t="s">
        <v>5022</v>
      </c>
      <c r="AA454" s="3">
        <v>465</v>
      </c>
      <c r="AB454" s="3">
        <v>334</v>
      </c>
      <c r="AC454" s="3">
        <v>418</v>
      </c>
      <c r="AD454" s="3">
        <v>4</v>
      </c>
      <c r="AE454" s="3">
        <v>4</v>
      </c>
      <c r="AF454" s="3">
        <v>18</v>
      </c>
      <c r="AG454" s="3">
        <v>19</v>
      </c>
      <c r="AH454" s="3">
        <v>7</v>
      </c>
      <c r="AI454" s="3">
        <v>7</v>
      </c>
      <c r="AJ454" s="3">
        <v>4</v>
      </c>
      <c r="AK454" s="3">
        <v>4</v>
      </c>
      <c r="AL454" s="3">
        <v>6</v>
      </c>
      <c r="AM454" s="3">
        <v>7</v>
      </c>
      <c r="AN454" s="3">
        <v>3</v>
      </c>
      <c r="AO454" s="3">
        <v>3</v>
      </c>
      <c r="AP454" s="3">
        <v>0</v>
      </c>
      <c r="AQ454" s="3">
        <v>0</v>
      </c>
      <c r="AR454" s="2" t="s">
        <v>63</v>
      </c>
      <c r="AS454" s="2" t="s">
        <v>92</v>
      </c>
      <c r="AT454" s="5" t="str">
        <f>HYPERLINK("http://catalog.hathitrust.org/Record/001555728","HathiTrust Record")</f>
        <v>HathiTrust Record</v>
      </c>
      <c r="AU454" s="5" t="str">
        <f>HYPERLINK("https://creighton-primo.hosted.exlibrisgroup.com/primo-explore/search?tab=default_tab&amp;search_scope=EVERYTHING&amp;vid=01CRU&amp;lang=en_US&amp;offset=0&amp;query=any,contains,991000159109702656","Catalog Record")</f>
        <v>Catalog Record</v>
      </c>
      <c r="AV454" s="5" t="str">
        <f>HYPERLINK("http://www.worldcat.org/oclc/654710","WorldCat Record")</f>
        <v>WorldCat Record</v>
      </c>
      <c r="AW454" s="2" t="s">
        <v>5853</v>
      </c>
      <c r="AX454" s="2" t="s">
        <v>5854</v>
      </c>
      <c r="AY454" s="2" t="s">
        <v>5855</v>
      </c>
      <c r="AZ454" s="2" t="s">
        <v>5855</v>
      </c>
      <c r="BA454" s="2" t="s">
        <v>5856</v>
      </c>
      <c r="BB454" s="2" t="s">
        <v>79</v>
      </c>
      <c r="BE454" s="2" t="s">
        <v>5857</v>
      </c>
      <c r="BF454" s="2" t="s">
        <v>5858</v>
      </c>
    </row>
    <row r="455" spans="1:58" ht="46.5" customHeight="1">
      <c r="A455" s="1"/>
      <c r="B455" s="1" t="s">
        <v>58</v>
      </c>
      <c r="C455" s="1" t="s">
        <v>59</v>
      </c>
      <c r="D455" s="1" t="s">
        <v>5859</v>
      </c>
      <c r="E455" s="1" t="s">
        <v>5860</v>
      </c>
      <c r="F455" s="1" t="s">
        <v>5861</v>
      </c>
      <c r="H455" s="2" t="s">
        <v>63</v>
      </c>
      <c r="I455" s="2" t="s">
        <v>64</v>
      </c>
      <c r="J455" s="2" t="s">
        <v>63</v>
      </c>
      <c r="K455" s="2" t="s">
        <v>63</v>
      </c>
      <c r="L455" s="2" t="s">
        <v>65</v>
      </c>
      <c r="N455" s="1" t="s">
        <v>5862</v>
      </c>
      <c r="O455" s="2" t="s">
        <v>554</v>
      </c>
      <c r="Q455" s="2" t="s">
        <v>70</v>
      </c>
      <c r="R455" s="2" t="s">
        <v>277</v>
      </c>
      <c r="S455" s="1" t="s">
        <v>5863</v>
      </c>
      <c r="T455" s="2" t="s">
        <v>72</v>
      </c>
      <c r="U455" s="3">
        <v>10</v>
      </c>
      <c r="V455" s="3">
        <v>10</v>
      </c>
      <c r="W455" s="4" t="s">
        <v>5864</v>
      </c>
      <c r="X455" s="4" t="s">
        <v>5864</v>
      </c>
      <c r="Y455" s="4" t="s">
        <v>5865</v>
      </c>
      <c r="Z455" s="4" t="s">
        <v>5865</v>
      </c>
      <c r="AA455" s="3">
        <v>106</v>
      </c>
      <c r="AB455" s="3">
        <v>82</v>
      </c>
      <c r="AC455" s="3">
        <v>89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1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2" t="s">
        <v>63</v>
      </c>
      <c r="AS455" s="2" t="s">
        <v>63</v>
      </c>
      <c r="AU455" s="5" t="str">
        <f>HYPERLINK("https://creighton-primo.hosted.exlibrisgroup.com/primo-explore/search?tab=default_tab&amp;search_scope=EVERYTHING&amp;vid=01CRU&amp;lang=en_US&amp;offset=0&amp;query=any,contains,991001193749702656","Catalog Record")</f>
        <v>Catalog Record</v>
      </c>
      <c r="AV455" s="5" t="str">
        <f>HYPERLINK("http://www.worldcat.org/oclc/29848265","WorldCat Record")</f>
        <v>WorldCat Record</v>
      </c>
      <c r="AW455" s="2" t="s">
        <v>5866</v>
      </c>
      <c r="AX455" s="2" t="s">
        <v>5867</v>
      </c>
      <c r="AY455" s="2" t="s">
        <v>5868</v>
      </c>
      <c r="AZ455" s="2" t="s">
        <v>5868</v>
      </c>
      <c r="BA455" s="2" t="s">
        <v>5869</v>
      </c>
      <c r="BB455" s="2" t="s">
        <v>79</v>
      </c>
      <c r="BD455" s="2" t="s">
        <v>5870</v>
      </c>
      <c r="BE455" s="2" t="s">
        <v>5871</v>
      </c>
      <c r="BF455" s="2" t="s">
        <v>5872</v>
      </c>
    </row>
    <row r="456" spans="1:58" ht="46.5" customHeight="1">
      <c r="A456" s="1"/>
      <c r="B456" s="1" t="s">
        <v>58</v>
      </c>
      <c r="C456" s="1" t="s">
        <v>59</v>
      </c>
      <c r="D456" s="1" t="s">
        <v>5873</v>
      </c>
      <c r="E456" s="1" t="s">
        <v>5874</v>
      </c>
      <c r="F456" s="1" t="s">
        <v>5875</v>
      </c>
      <c r="G456" s="2" t="s">
        <v>1552</v>
      </c>
      <c r="H456" s="2" t="s">
        <v>92</v>
      </c>
      <c r="I456" s="2" t="s">
        <v>64</v>
      </c>
      <c r="J456" s="2" t="s">
        <v>63</v>
      </c>
      <c r="K456" s="2" t="s">
        <v>63</v>
      </c>
      <c r="L456" s="2" t="s">
        <v>65</v>
      </c>
      <c r="M456" s="1" t="s">
        <v>5876</v>
      </c>
      <c r="N456" s="1" t="s">
        <v>5877</v>
      </c>
      <c r="O456" s="2" t="s">
        <v>5878</v>
      </c>
      <c r="Q456" s="2" t="s">
        <v>70</v>
      </c>
      <c r="R456" s="2" t="s">
        <v>277</v>
      </c>
      <c r="T456" s="2" t="s">
        <v>72</v>
      </c>
      <c r="U456" s="3">
        <v>5</v>
      </c>
      <c r="V456" s="3">
        <v>12</v>
      </c>
      <c r="W456" s="4" t="s">
        <v>5879</v>
      </c>
      <c r="X456" s="4" t="s">
        <v>5879</v>
      </c>
      <c r="Y456" s="4" t="s">
        <v>1696</v>
      </c>
      <c r="Z456" s="4" t="s">
        <v>1696</v>
      </c>
      <c r="AA456" s="3">
        <v>12</v>
      </c>
      <c r="AB456" s="3">
        <v>7</v>
      </c>
      <c r="AC456" s="3">
        <v>230</v>
      </c>
      <c r="AD456" s="3">
        <v>1</v>
      </c>
      <c r="AE456" s="3">
        <v>2</v>
      </c>
      <c r="AF456" s="3">
        <v>0</v>
      </c>
      <c r="AG456" s="3">
        <v>7</v>
      </c>
      <c r="AH456" s="3">
        <v>0</v>
      </c>
      <c r="AI456" s="3">
        <v>2</v>
      </c>
      <c r="AJ456" s="3">
        <v>0</v>
      </c>
      <c r="AK456" s="3">
        <v>1</v>
      </c>
      <c r="AL456" s="3">
        <v>0</v>
      </c>
      <c r="AM456" s="3">
        <v>4</v>
      </c>
      <c r="AN456" s="3">
        <v>0</v>
      </c>
      <c r="AO456" s="3">
        <v>1</v>
      </c>
      <c r="AP456" s="3">
        <v>0</v>
      </c>
      <c r="AQ456" s="3">
        <v>0</v>
      </c>
      <c r="AR456" s="2" t="s">
        <v>63</v>
      </c>
      <c r="AS456" s="2" t="s">
        <v>63</v>
      </c>
      <c r="AU456" s="5" t="str">
        <f>HYPERLINK("https://creighton-primo.hosted.exlibrisgroup.com/primo-explore/search?tab=default_tab&amp;search_scope=EVERYTHING&amp;vid=01CRU&amp;lang=en_US&amp;offset=0&amp;query=any,contains,991000962019702656","Catalog Record")</f>
        <v>Catalog Record</v>
      </c>
      <c r="AV456" s="5" t="str">
        <f>HYPERLINK("http://www.worldcat.org/oclc/14245971","WorldCat Record")</f>
        <v>WorldCat Record</v>
      </c>
      <c r="AW456" s="2" t="s">
        <v>5880</v>
      </c>
      <c r="AX456" s="2" t="s">
        <v>5881</v>
      </c>
      <c r="AY456" s="2" t="s">
        <v>5882</v>
      </c>
      <c r="AZ456" s="2" t="s">
        <v>5882</v>
      </c>
      <c r="BA456" s="2" t="s">
        <v>5883</v>
      </c>
      <c r="BB456" s="2" t="s">
        <v>79</v>
      </c>
      <c r="BE456" s="2" t="s">
        <v>5884</v>
      </c>
      <c r="BF456" s="2" t="s">
        <v>5885</v>
      </c>
    </row>
    <row r="457" spans="1:58" ht="46.5" customHeight="1">
      <c r="A457" s="1"/>
      <c r="B457" s="1" t="s">
        <v>58</v>
      </c>
      <c r="C457" s="1" t="s">
        <v>59</v>
      </c>
      <c r="D457" s="1" t="s">
        <v>5873</v>
      </c>
      <c r="E457" s="1" t="s">
        <v>5874</v>
      </c>
      <c r="F457" s="1" t="s">
        <v>5875</v>
      </c>
      <c r="G457" s="2" t="s">
        <v>1538</v>
      </c>
      <c r="H457" s="2" t="s">
        <v>92</v>
      </c>
      <c r="I457" s="2" t="s">
        <v>64</v>
      </c>
      <c r="J457" s="2" t="s">
        <v>63</v>
      </c>
      <c r="K457" s="2" t="s">
        <v>63</v>
      </c>
      <c r="L457" s="2" t="s">
        <v>65</v>
      </c>
      <c r="M457" s="1" t="s">
        <v>5876</v>
      </c>
      <c r="N457" s="1" t="s">
        <v>5877</v>
      </c>
      <c r="O457" s="2" t="s">
        <v>5878</v>
      </c>
      <c r="Q457" s="2" t="s">
        <v>70</v>
      </c>
      <c r="R457" s="2" t="s">
        <v>277</v>
      </c>
      <c r="T457" s="2" t="s">
        <v>72</v>
      </c>
      <c r="U457" s="3">
        <v>7</v>
      </c>
      <c r="V457" s="3">
        <v>12</v>
      </c>
      <c r="W457" s="4" t="s">
        <v>5879</v>
      </c>
      <c r="X457" s="4" t="s">
        <v>5879</v>
      </c>
      <c r="Y457" s="4" t="s">
        <v>1696</v>
      </c>
      <c r="Z457" s="4" t="s">
        <v>1696</v>
      </c>
      <c r="AA457" s="3">
        <v>12</v>
      </c>
      <c r="AB457" s="3">
        <v>7</v>
      </c>
      <c r="AC457" s="3">
        <v>230</v>
      </c>
      <c r="AD457" s="3">
        <v>1</v>
      </c>
      <c r="AE457" s="3">
        <v>2</v>
      </c>
      <c r="AF457" s="3">
        <v>0</v>
      </c>
      <c r="AG457" s="3">
        <v>7</v>
      </c>
      <c r="AH457" s="3">
        <v>0</v>
      </c>
      <c r="AI457" s="3">
        <v>2</v>
      </c>
      <c r="AJ457" s="3">
        <v>0</v>
      </c>
      <c r="AK457" s="3">
        <v>1</v>
      </c>
      <c r="AL457" s="3">
        <v>0</v>
      </c>
      <c r="AM457" s="3">
        <v>4</v>
      </c>
      <c r="AN457" s="3">
        <v>0</v>
      </c>
      <c r="AO457" s="3">
        <v>1</v>
      </c>
      <c r="AP457" s="3">
        <v>0</v>
      </c>
      <c r="AQ457" s="3">
        <v>0</v>
      </c>
      <c r="AR457" s="2" t="s">
        <v>63</v>
      </c>
      <c r="AS457" s="2" t="s">
        <v>63</v>
      </c>
      <c r="AU457" s="5" t="str">
        <f>HYPERLINK("https://creighton-primo.hosted.exlibrisgroup.com/primo-explore/search?tab=default_tab&amp;search_scope=EVERYTHING&amp;vid=01CRU&amp;lang=en_US&amp;offset=0&amp;query=any,contains,991000962019702656","Catalog Record")</f>
        <v>Catalog Record</v>
      </c>
      <c r="AV457" s="5" t="str">
        <f>HYPERLINK("http://www.worldcat.org/oclc/14245971","WorldCat Record")</f>
        <v>WorldCat Record</v>
      </c>
      <c r="AW457" s="2" t="s">
        <v>5880</v>
      </c>
      <c r="AX457" s="2" t="s">
        <v>5881</v>
      </c>
      <c r="AY457" s="2" t="s">
        <v>5882</v>
      </c>
      <c r="AZ457" s="2" t="s">
        <v>5882</v>
      </c>
      <c r="BA457" s="2" t="s">
        <v>5883</v>
      </c>
      <c r="BB457" s="2" t="s">
        <v>79</v>
      </c>
      <c r="BE457" s="2" t="s">
        <v>5886</v>
      </c>
      <c r="BF457" s="2" t="s">
        <v>5887</v>
      </c>
    </row>
    <row r="458" spans="1:58" ht="46.5" customHeight="1">
      <c r="A458" s="1"/>
      <c r="B458" s="1" t="s">
        <v>58</v>
      </c>
      <c r="C458" s="1" t="s">
        <v>59</v>
      </c>
      <c r="D458" s="1" t="s">
        <v>5888</v>
      </c>
      <c r="E458" s="1" t="s">
        <v>5889</v>
      </c>
      <c r="F458" s="1" t="s">
        <v>5890</v>
      </c>
      <c r="H458" s="2" t="s">
        <v>63</v>
      </c>
      <c r="I458" s="2" t="s">
        <v>64</v>
      </c>
      <c r="J458" s="2" t="s">
        <v>63</v>
      </c>
      <c r="K458" s="2" t="s">
        <v>63</v>
      </c>
      <c r="L458" s="2" t="s">
        <v>65</v>
      </c>
      <c r="N458" s="1" t="s">
        <v>5891</v>
      </c>
      <c r="O458" s="2" t="s">
        <v>1856</v>
      </c>
      <c r="Q458" s="2" t="s">
        <v>70</v>
      </c>
      <c r="R458" s="2" t="s">
        <v>1389</v>
      </c>
      <c r="S458" s="1" t="s">
        <v>5892</v>
      </c>
      <c r="T458" s="2" t="s">
        <v>72</v>
      </c>
      <c r="U458" s="3">
        <v>8</v>
      </c>
      <c r="V458" s="3">
        <v>8</v>
      </c>
      <c r="W458" s="4" t="s">
        <v>5893</v>
      </c>
      <c r="X458" s="4" t="s">
        <v>5893</v>
      </c>
      <c r="Y458" s="4" t="s">
        <v>5022</v>
      </c>
      <c r="Z458" s="4" t="s">
        <v>5022</v>
      </c>
      <c r="AA458" s="3">
        <v>156</v>
      </c>
      <c r="AB458" s="3">
        <v>121</v>
      </c>
      <c r="AC458" s="3">
        <v>133</v>
      </c>
      <c r="AD458" s="3">
        <v>1</v>
      </c>
      <c r="AE458" s="3">
        <v>2</v>
      </c>
      <c r="AF458" s="3">
        <v>5</v>
      </c>
      <c r="AG458" s="3">
        <v>7</v>
      </c>
      <c r="AH458" s="3">
        <v>4</v>
      </c>
      <c r="AI458" s="3">
        <v>4</v>
      </c>
      <c r="AJ458" s="3">
        <v>2</v>
      </c>
      <c r="AK458" s="3">
        <v>3</v>
      </c>
      <c r="AL458" s="3">
        <v>0</v>
      </c>
      <c r="AM458" s="3">
        <v>0</v>
      </c>
      <c r="AN458" s="3">
        <v>0</v>
      </c>
      <c r="AO458" s="3">
        <v>1</v>
      </c>
      <c r="AP458" s="3">
        <v>0</v>
      </c>
      <c r="AQ458" s="3">
        <v>0</v>
      </c>
      <c r="AR458" s="2" t="s">
        <v>92</v>
      </c>
      <c r="AS458" s="2" t="s">
        <v>63</v>
      </c>
      <c r="AT458" s="5" t="str">
        <f>HYPERLINK("http://catalog.hathitrust.org/Record/000279638","HathiTrust Record")</f>
        <v>HathiTrust Record</v>
      </c>
      <c r="AU458" s="5" t="str">
        <f>HYPERLINK("https://creighton-primo.hosted.exlibrisgroup.com/primo-explore/search?tab=default_tab&amp;search_scope=EVERYTHING&amp;vid=01CRU&amp;lang=en_US&amp;offset=0&amp;query=any,contains,991000961929702656","Catalog Record")</f>
        <v>Catalog Record</v>
      </c>
      <c r="AV458" s="5" t="str">
        <f>HYPERLINK("http://www.worldcat.org/oclc/7029546","WorldCat Record")</f>
        <v>WorldCat Record</v>
      </c>
      <c r="AW458" s="2" t="s">
        <v>5894</v>
      </c>
      <c r="AX458" s="2" t="s">
        <v>5895</v>
      </c>
      <c r="AY458" s="2" t="s">
        <v>5896</v>
      </c>
      <c r="AZ458" s="2" t="s">
        <v>5896</v>
      </c>
      <c r="BA458" s="2" t="s">
        <v>5897</v>
      </c>
      <c r="BB458" s="2" t="s">
        <v>79</v>
      </c>
      <c r="BD458" s="2" t="s">
        <v>5898</v>
      </c>
      <c r="BE458" s="2" t="s">
        <v>5899</v>
      </c>
      <c r="BF458" s="2" t="s">
        <v>5900</v>
      </c>
    </row>
    <row r="459" spans="1:58" ht="46.5" customHeight="1">
      <c r="A459" s="1"/>
      <c r="B459" s="1" t="s">
        <v>58</v>
      </c>
      <c r="C459" s="1" t="s">
        <v>59</v>
      </c>
      <c r="D459" s="1" t="s">
        <v>5901</v>
      </c>
      <c r="E459" s="1" t="s">
        <v>5902</v>
      </c>
      <c r="F459" s="1" t="s">
        <v>5903</v>
      </c>
      <c r="H459" s="2" t="s">
        <v>63</v>
      </c>
      <c r="I459" s="2" t="s">
        <v>64</v>
      </c>
      <c r="J459" s="2" t="s">
        <v>63</v>
      </c>
      <c r="K459" s="2" t="s">
        <v>63</v>
      </c>
      <c r="L459" s="2" t="s">
        <v>65</v>
      </c>
      <c r="M459" s="1" t="s">
        <v>5904</v>
      </c>
      <c r="N459" s="1" t="s">
        <v>5905</v>
      </c>
      <c r="O459" s="2" t="s">
        <v>5906</v>
      </c>
      <c r="Q459" s="2" t="s">
        <v>70</v>
      </c>
      <c r="R459" s="2" t="s">
        <v>277</v>
      </c>
      <c r="T459" s="2" t="s">
        <v>72</v>
      </c>
      <c r="U459" s="3">
        <v>3</v>
      </c>
      <c r="V459" s="3">
        <v>3</v>
      </c>
      <c r="W459" s="4" t="s">
        <v>5907</v>
      </c>
      <c r="X459" s="4" t="s">
        <v>5907</v>
      </c>
      <c r="Y459" s="4" t="s">
        <v>4850</v>
      </c>
      <c r="Z459" s="4" t="s">
        <v>4850</v>
      </c>
      <c r="AA459" s="3">
        <v>80</v>
      </c>
      <c r="AB459" s="3">
        <v>61</v>
      </c>
      <c r="AC459" s="3">
        <v>70</v>
      </c>
      <c r="AD459" s="3">
        <v>1</v>
      </c>
      <c r="AE459" s="3">
        <v>1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2" t="s">
        <v>92</v>
      </c>
      <c r="AS459" s="2" t="s">
        <v>63</v>
      </c>
      <c r="AT459" s="5" t="str">
        <f>HYPERLINK("http://catalog.hathitrust.org/Record/002074948","HathiTrust Record")</f>
        <v>HathiTrust Record</v>
      </c>
      <c r="AU459" s="5" t="str">
        <f>HYPERLINK("https://creighton-primo.hosted.exlibrisgroup.com/primo-explore/search?tab=default_tab&amp;search_scope=EVERYTHING&amp;vid=01CRU&amp;lang=en_US&amp;offset=0&amp;query=any,contains,991000961969702656","Catalog Record")</f>
        <v>Catalog Record</v>
      </c>
      <c r="AV459" s="5" t="str">
        <f>HYPERLINK("http://www.worldcat.org/oclc/3668648","WorldCat Record")</f>
        <v>WorldCat Record</v>
      </c>
      <c r="AW459" s="2" t="s">
        <v>5908</v>
      </c>
      <c r="AX459" s="2" t="s">
        <v>5909</v>
      </c>
      <c r="AY459" s="2" t="s">
        <v>5910</v>
      </c>
      <c r="AZ459" s="2" t="s">
        <v>5910</v>
      </c>
      <c r="BA459" s="2" t="s">
        <v>5911</v>
      </c>
      <c r="BB459" s="2" t="s">
        <v>79</v>
      </c>
      <c r="BE459" s="2" t="s">
        <v>5912</v>
      </c>
      <c r="BF459" s="2" t="s">
        <v>5913</v>
      </c>
    </row>
    <row r="460" spans="1:58" ht="46.5" customHeight="1">
      <c r="A460" s="1"/>
      <c r="B460" s="1" t="s">
        <v>58</v>
      </c>
      <c r="C460" s="1" t="s">
        <v>59</v>
      </c>
      <c r="D460" s="1" t="s">
        <v>5914</v>
      </c>
      <c r="E460" s="1" t="s">
        <v>5915</v>
      </c>
      <c r="F460" s="1" t="s">
        <v>5916</v>
      </c>
      <c r="H460" s="2" t="s">
        <v>63</v>
      </c>
      <c r="I460" s="2" t="s">
        <v>64</v>
      </c>
      <c r="J460" s="2" t="s">
        <v>63</v>
      </c>
      <c r="K460" s="2" t="s">
        <v>63</v>
      </c>
      <c r="L460" s="2" t="s">
        <v>65</v>
      </c>
      <c r="M460" s="1" t="s">
        <v>5917</v>
      </c>
      <c r="N460" s="1" t="s">
        <v>5918</v>
      </c>
      <c r="O460" s="2" t="s">
        <v>119</v>
      </c>
      <c r="Q460" s="2" t="s">
        <v>70</v>
      </c>
      <c r="R460" s="2" t="s">
        <v>5919</v>
      </c>
      <c r="T460" s="2" t="s">
        <v>72</v>
      </c>
      <c r="U460" s="3">
        <v>8</v>
      </c>
      <c r="V460" s="3">
        <v>8</v>
      </c>
      <c r="W460" s="4" t="s">
        <v>5920</v>
      </c>
      <c r="X460" s="4" t="s">
        <v>5920</v>
      </c>
      <c r="Y460" s="4" t="s">
        <v>5022</v>
      </c>
      <c r="Z460" s="4" t="s">
        <v>5022</v>
      </c>
      <c r="AA460" s="3">
        <v>34</v>
      </c>
      <c r="AB460" s="3">
        <v>27</v>
      </c>
      <c r="AC460" s="3">
        <v>29</v>
      </c>
      <c r="AD460" s="3">
        <v>1</v>
      </c>
      <c r="AE460" s="3">
        <v>1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2" t="s">
        <v>63</v>
      </c>
      <c r="AS460" s="2" t="s">
        <v>92</v>
      </c>
      <c r="AT460" s="5" t="str">
        <f>HYPERLINK("http://catalog.hathitrust.org/Record/001536856","HathiTrust Record")</f>
        <v>HathiTrust Record</v>
      </c>
      <c r="AU460" s="5" t="str">
        <f>HYPERLINK("https://creighton-primo.hosted.exlibrisgroup.com/primo-explore/search?tab=default_tab&amp;search_scope=EVERYTHING&amp;vid=01CRU&amp;lang=en_US&amp;offset=0&amp;query=any,contains,991000961889702656","Catalog Record")</f>
        <v>Catalog Record</v>
      </c>
      <c r="AV460" s="5" t="str">
        <f>HYPERLINK("http://www.worldcat.org/oclc/9517423","WorldCat Record")</f>
        <v>WorldCat Record</v>
      </c>
      <c r="AW460" s="2" t="s">
        <v>5921</v>
      </c>
      <c r="AX460" s="2" t="s">
        <v>5922</v>
      </c>
      <c r="AY460" s="2" t="s">
        <v>5923</v>
      </c>
      <c r="AZ460" s="2" t="s">
        <v>5923</v>
      </c>
      <c r="BA460" s="2" t="s">
        <v>5924</v>
      </c>
      <c r="BB460" s="2" t="s">
        <v>79</v>
      </c>
      <c r="BE460" s="2" t="s">
        <v>5925</v>
      </c>
      <c r="BF460" s="2" t="s">
        <v>5926</v>
      </c>
    </row>
    <row r="461" spans="1:58" ht="46.5" customHeight="1">
      <c r="A461" s="1"/>
      <c r="B461" s="1" t="s">
        <v>58</v>
      </c>
      <c r="C461" s="1" t="s">
        <v>59</v>
      </c>
      <c r="D461" s="1" t="s">
        <v>5927</v>
      </c>
      <c r="E461" s="1" t="s">
        <v>5928</v>
      </c>
      <c r="F461" s="1" t="s">
        <v>5929</v>
      </c>
      <c r="H461" s="2" t="s">
        <v>63</v>
      </c>
      <c r="I461" s="2" t="s">
        <v>64</v>
      </c>
      <c r="J461" s="2" t="s">
        <v>63</v>
      </c>
      <c r="K461" s="2" t="s">
        <v>63</v>
      </c>
      <c r="L461" s="2" t="s">
        <v>65</v>
      </c>
      <c r="M461" s="1" t="s">
        <v>5930</v>
      </c>
      <c r="N461" s="1" t="s">
        <v>5931</v>
      </c>
      <c r="O461" s="2" t="s">
        <v>5932</v>
      </c>
      <c r="Q461" s="2" t="s">
        <v>70</v>
      </c>
      <c r="R461" s="2" t="s">
        <v>277</v>
      </c>
      <c r="T461" s="2" t="s">
        <v>72</v>
      </c>
      <c r="U461" s="3">
        <v>1</v>
      </c>
      <c r="V461" s="3">
        <v>1</v>
      </c>
      <c r="W461" s="4" t="s">
        <v>692</v>
      </c>
      <c r="X461" s="4" t="s">
        <v>692</v>
      </c>
      <c r="Y461" s="4" t="s">
        <v>4850</v>
      </c>
      <c r="Z461" s="4" t="s">
        <v>4850</v>
      </c>
      <c r="AA461" s="3">
        <v>256</v>
      </c>
      <c r="AB461" s="3">
        <v>217</v>
      </c>
      <c r="AC461" s="3">
        <v>224</v>
      </c>
      <c r="AD461" s="3">
        <v>1</v>
      </c>
      <c r="AE461" s="3">
        <v>1</v>
      </c>
      <c r="AF461" s="3">
        <v>6</v>
      </c>
      <c r="AG461" s="3">
        <v>6</v>
      </c>
      <c r="AH461" s="3">
        <v>5</v>
      </c>
      <c r="AI461" s="3">
        <v>5</v>
      </c>
      <c r="AJ461" s="3">
        <v>0</v>
      </c>
      <c r="AK461" s="3">
        <v>0</v>
      </c>
      <c r="AL461" s="3">
        <v>3</v>
      </c>
      <c r="AM461" s="3">
        <v>3</v>
      </c>
      <c r="AN461" s="3">
        <v>0</v>
      </c>
      <c r="AO461" s="3">
        <v>0</v>
      </c>
      <c r="AP461" s="3">
        <v>0</v>
      </c>
      <c r="AQ461" s="3">
        <v>0</v>
      </c>
      <c r="AR461" s="2" t="s">
        <v>92</v>
      </c>
      <c r="AS461" s="2" t="s">
        <v>63</v>
      </c>
      <c r="AT461" s="5" t="str">
        <f>HYPERLINK("http://catalog.hathitrust.org/Record/001572900","HathiTrust Record")</f>
        <v>HathiTrust Record</v>
      </c>
      <c r="AU461" s="5" t="str">
        <f>HYPERLINK("https://creighton-primo.hosted.exlibrisgroup.com/primo-explore/search?tab=default_tab&amp;search_scope=EVERYTHING&amp;vid=01CRU&amp;lang=en_US&amp;offset=0&amp;query=any,contains,991000961839702656","Catalog Record")</f>
        <v>Catalog Record</v>
      </c>
      <c r="AV461" s="5" t="str">
        <f>HYPERLINK("http://www.worldcat.org/oclc/654951","WorldCat Record")</f>
        <v>WorldCat Record</v>
      </c>
      <c r="AW461" s="2" t="s">
        <v>5933</v>
      </c>
      <c r="AX461" s="2" t="s">
        <v>5934</v>
      </c>
      <c r="AY461" s="2" t="s">
        <v>5935</v>
      </c>
      <c r="AZ461" s="2" t="s">
        <v>5935</v>
      </c>
      <c r="BA461" s="2" t="s">
        <v>5936</v>
      </c>
      <c r="BB461" s="2" t="s">
        <v>79</v>
      </c>
      <c r="BE461" s="2" t="s">
        <v>5937</v>
      </c>
      <c r="BF461" s="2" t="s">
        <v>5938</v>
      </c>
    </row>
    <row r="462" spans="1:58" ht="46.5" customHeight="1">
      <c r="A462" s="1"/>
      <c r="B462" s="1" t="s">
        <v>58</v>
      </c>
      <c r="C462" s="1" t="s">
        <v>59</v>
      </c>
      <c r="D462" s="1" t="s">
        <v>5939</v>
      </c>
      <c r="E462" s="1" t="s">
        <v>5940</v>
      </c>
      <c r="F462" s="1" t="s">
        <v>5941</v>
      </c>
      <c r="H462" s="2" t="s">
        <v>63</v>
      </c>
      <c r="I462" s="2" t="s">
        <v>64</v>
      </c>
      <c r="J462" s="2" t="s">
        <v>63</v>
      </c>
      <c r="K462" s="2" t="s">
        <v>63</v>
      </c>
      <c r="L462" s="2" t="s">
        <v>65</v>
      </c>
      <c r="M462" s="1" t="s">
        <v>5942</v>
      </c>
      <c r="N462" s="1" t="s">
        <v>5943</v>
      </c>
      <c r="O462" s="2" t="s">
        <v>119</v>
      </c>
      <c r="Q462" s="2" t="s">
        <v>70</v>
      </c>
      <c r="R462" s="2" t="s">
        <v>89</v>
      </c>
      <c r="T462" s="2" t="s">
        <v>72</v>
      </c>
      <c r="U462" s="3">
        <v>8</v>
      </c>
      <c r="V462" s="3">
        <v>8</v>
      </c>
      <c r="W462" s="4" t="s">
        <v>5741</v>
      </c>
      <c r="X462" s="4" t="s">
        <v>5741</v>
      </c>
      <c r="Y462" s="4" t="s">
        <v>5022</v>
      </c>
      <c r="Z462" s="4" t="s">
        <v>5022</v>
      </c>
      <c r="AA462" s="3">
        <v>52</v>
      </c>
      <c r="AB462" s="3">
        <v>40</v>
      </c>
      <c r="AC462" s="3">
        <v>40</v>
      </c>
      <c r="AD462" s="3">
        <v>1</v>
      </c>
      <c r="AE462" s="3">
        <v>1</v>
      </c>
      <c r="AF462" s="3">
        <v>1</v>
      </c>
      <c r="AG462" s="3">
        <v>1</v>
      </c>
      <c r="AH462" s="3">
        <v>1</v>
      </c>
      <c r="AI462" s="3">
        <v>1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2" t="s">
        <v>63</v>
      </c>
      <c r="AS462" s="2" t="s">
        <v>63</v>
      </c>
      <c r="AU462" s="5" t="str">
        <f>HYPERLINK("https://creighton-primo.hosted.exlibrisgroup.com/primo-explore/search?tab=default_tab&amp;search_scope=EVERYTHING&amp;vid=01CRU&amp;lang=en_US&amp;offset=0&amp;query=any,contains,991000961789702656","Catalog Record")</f>
        <v>Catalog Record</v>
      </c>
      <c r="AV462" s="5" t="str">
        <f>HYPERLINK("http://www.worldcat.org/oclc/7671677","WorldCat Record")</f>
        <v>WorldCat Record</v>
      </c>
      <c r="AW462" s="2" t="s">
        <v>5944</v>
      </c>
      <c r="AX462" s="2" t="s">
        <v>5945</v>
      </c>
      <c r="AY462" s="2" t="s">
        <v>5946</v>
      </c>
      <c r="AZ462" s="2" t="s">
        <v>5946</v>
      </c>
      <c r="BA462" s="2" t="s">
        <v>5947</v>
      </c>
      <c r="BB462" s="2" t="s">
        <v>79</v>
      </c>
      <c r="BD462" s="2" t="s">
        <v>5948</v>
      </c>
      <c r="BE462" s="2" t="s">
        <v>5949</v>
      </c>
      <c r="BF462" s="2" t="s">
        <v>5950</v>
      </c>
    </row>
    <row r="463" spans="1:58" ht="46.5" customHeight="1">
      <c r="A463" s="1"/>
      <c r="B463" s="1" t="s">
        <v>58</v>
      </c>
      <c r="C463" s="1" t="s">
        <v>59</v>
      </c>
      <c r="D463" s="1" t="s">
        <v>5951</v>
      </c>
      <c r="E463" s="1" t="s">
        <v>5952</v>
      </c>
      <c r="F463" s="1" t="s">
        <v>5953</v>
      </c>
      <c r="H463" s="2" t="s">
        <v>63</v>
      </c>
      <c r="I463" s="2" t="s">
        <v>64</v>
      </c>
      <c r="J463" s="2" t="s">
        <v>63</v>
      </c>
      <c r="K463" s="2" t="s">
        <v>63</v>
      </c>
      <c r="L463" s="2" t="s">
        <v>65</v>
      </c>
      <c r="M463" s="1" t="s">
        <v>5954</v>
      </c>
      <c r="N463" s="1" t="s">
        <v>5955</v>
      </c>
      <c r="O463" s="2" t="s">
        <v>198</v>
      </c>
      <c r="P463" s="1" t="s">
        <v>5956</v>
      </c>
      <c r="Q463" s="2" t="s">
        <v>70</v>
      </c>
      <c r="R463" s="2" t="s">
        <v>260</v>
      </c>
      <c r="T463" s="2" t="s">
        <v>72</v>
      </c>
      <c r="U463" s="3">
        <v>7</v>
      </c>
      <c r="V463" s="3">
        <v>7</v>
      </c>
      <c r="W463" s="4" t="s">
        <v>893</v>
      </c>
      <c r="X463" s="4" t="s">
        <v>893</v>
      </c>
      <c r="Y463" s="4" t="s">
        <v>5957</v>
      </c>
      <c r="Z463" s="4" t="s">
        <v>5957</v>
      </c>
      <c r="AA463" s="3">
        <v>12</v>
      </c>
      <c r="AB463" s="3">
        <v>11</v>
      </c>
      <c r="AC463" s="3">
        <v>593</v>
      </c>
      <c r="AD463" s="3">
        <v>1</v>
      </c>
      <c r="AE463" s="3">
        <v>5</v>
      </c>
      <c r="AF463" s="3">
        <v>0</v>
      </c>
      <c r="AG463" s="3">
        <v>11</v>
      </c>
      <c r="AH463" s="3">
        <v>0</v>
      </c>
      <c r="AI463" s="3">
        <v>3</v>
      </c>
      <c r="AJ463" s="3">
        <v>0</v>
      </c>
      <c r="AK463" s="3">
        <v>3</v>
      </c>
      <c r="AL463" s="3">
        <v>0</v>
      </c>
      <c r="AM463" s="3">
        <v>3</v>
      </c>
      <c r="AN463" s="3">
        <v>0</v>
      </c>
      <c r="AO463" s="3">
        <v>4</v>
      </c>
      <c r="AP463" s="3">
        <v>0</v>
      </c>
      <c r="AQ463" s="3">
        <v>0</v>
      </c>
      <c r="AR463" s="2" t="s">
        <v>63</v>
      </c>
      <c r="AS463" s="2" t="s">
        <v>63</v>
      </c>
      <c r="AU463" s="5" t="str">
        <f>HYPERLINK("https://creighton-primo.hosted.exlibrisgroup.com/primo-explore/search?tab=default_tab&amp;search_scope=EVERYTHING&amp;vid=01CRU&amp;lang=en_US&amp;offset=0&amp;query=any,contains,991000943469702656","Catalog Record")</f>
        <v>Catalog Record</v>
      </c>
      <c r="AV463" s="5" t="str">
        <f>HYPERLINK("http://www.worldcat.org/oclc/23942893","WorldCat Record")</f>
        <v>WorldCat Record</v>
      </c>
      <c r="AW463" s="2" t="s">
        <v>5958</v>
      </c>
      <c r="AX463" s="2" t="s">
        <v>5959</v>
      </c>
      <c r="AY463" s="2" t="s">
        <v>5960</v>
      </c>
      <c r="AZ463" s="2" t="s">
        <v>5960</v>
      </c>
      <c r="BA463" s="2" t="s">
        <v>5961</v>
      </c>
      <c r="BB463" s="2" t="s">
        <v>79</v>
      </c>
      <c r="BE463" s="2" t="s">
        <v>5962</v>
      </c>
      <c r="BF463" s="2" t="s">
        <v>5963</v>
      </c>
    </row>
    <row r="464" spans="1:58" ht="46.5" customHeight="1">
      <c r="A464" s="1"/>
      <c r="B464" s="1" t="s">
        <v>58</v>
      </c>
      <c r="C464" s="1" t="s">
        <v>59</v>
      </c>
      <c r="D464" s="1" t="s">
        <v>5964</v>
      </c>
      <c r="E464" s="1" t="s">
        <v>5965</v>
      </c>
      <c r="F464" s="1" t="s">
        <v>5966</v>
      </c>
      <c r="H464" s="2" t="s">
        <v>63</v>
      </c>
      <c r="I464" s="2" t="s">
        <v>64</v>
      </c>
      <c r="J464" s="2" t="s">
        <v>63</v>
      </c>
      <c r="K464" s="2" t="s">
        <v>63</v>
      </c>
      <c r="L464" s="2" t="s">
        <v>65</v>
      </c>
      <c r="N464" s="1" t="s">
        <v>5967</v>
      </c>
      <c r="O464" s="2" t="s">
        <v>423</v>
      </c>
      <c r="Q464" s="2" t="s">
        <v>70</v>
      </c>
      <c r="R464" s="2" t="s">
        <v>786</v>
      </c>
      <c r="S464" s="1" t="s">
        <v>5968</v>
      </c>
      <c r="T464" s="2" t="s">
        <v>72</v>
      </c>
      <c r="U464" s="3">
        <v>22</v>
      </c>
      <c r="V464" s="3">
        <v>22</v>
      </c>
      <c r="W464" s="4" t="s">
        <v>5116</v>
      </c>
      <c r="X464" s="4" t="s">
        <v>5116</v>
      </c>
      <c r="Y464" s="4" t="s">
        <v>5969</v>
      </c>
      <c r="Z464" s="4" t="s">
        <v>5969</v>
      </c>
      <c r="AA464" s="3">
        <v>180</v>
      </c>
      <c r="AB464" s="3">
        <v>103</v>
      </c>
      <c r="AC464" s="3">
        <v>129</v>
      </c>
      <c r="AD464" s="3">
        <v>1</v>
      </c>
      <c r="AE464" s="3">
        <v>1</v>
      </c>
      <c r="AF464" s="3">
        <v>2</v>
      </c>
      <c r="AG464" s="3">
        <v>3</v>
      </c>
      <c r="AH464" s="3">
        <v>0</v>
      </c>
      <c r="AI464" s="3">
        <v>1</v>
      </c>
      <c r="AJ464" s="3">
        <v>2</v>
      </c>
      <c r="AK464" s="3">
        <v>2</v>
      </c>
      <c r="AL464" s="3">
        <v>0</v>
      </c>
      <c r="AM464" s="3">
        <v>1</v>
      </c>
      <c r="AN464" s="3">
        <v>0</v>
      </c>
      <c r="AO464" s="3">
        <v>0</v>
      </c>
      <c r="AP464" s="3">
        <v>0</v>
      </c>
      <c r="AQ464" s="3">
        <v>0</v>
      </c>
      <c r="AR464" s="2" t="s">
        <v>63</v>
      </c>
      <c r="AS464" s="2" t="s">
        <v>92</v>
      </c>
      <c r="AT464" s="5" t="str">
        <f>HYPERLINK("http://catalog.hathitrust.org/Record/001295147","HathiTrust Record")</f>
        <v>HathiTrust Record</v>
      </c>
      <c r="AU464" s="5" t="str">
        <f>HYPERLINK("https://creighton-primo.hosted.exlibrisgroup.com/primo-explore/search?tab=default_tab&amp;search_scope=EVERYTHING&amp;vid=01CRU&amp;lang=en_US&amp;offset=0&amp;query=any,contains,991001354739702656","Catalog Record")</f>
        <v>Catalog Record</v>
      </c>
      <c r="AV464" s="5" t="str">
        <f>HYPERLINK("http://www.worldcat.org/oclc/19130217","WorldCat Record")</f>
        <v>WorldCat Record</v>
      </c>
      <c r="AW464" s="2" t="s">
        <v>5970</v>
      </c>
      <c r="AX464" s="2" t="s">
        <v>5971</v>
      </c>
      <c r="AY464" s="2" t="s">
        <v>5972</v>
      </c>
      <c r="AZ464" s="2" t="s">
        <v>5972</v>
      </c>
      <c r="BA464" s="2" t="s">
        <v>5973</v>
      </c>
      <c r="BB464" s="2" t="s">
        <v>79</v>
      </c>
      <c r="BD464" s="2" t="s">
        <v>5974</v>
      </c>
      <c r="BE464" s="2" t="s">
        <v>5975</v>
      </c>
      <c r="BF464" s="2" t="s">
        <v>5976</v>
      </c>
    </row>
    <row r="465" spans="1:58" ht="46.5" customHeight="1">
      <c r="A465" s="1"/>
      <c r="B465" s="1" t="s">
        <v>58</v>
      </c>
      <c r="C465" s="1" t="s">
        <v>59</v>
      </c>
      <c r="D465" s="1" t="s">
        <v>5977</v>
      </c>
      <c r="E465" s="1" t="s">
        <v>5978</v>
      </c>
      <c r="F465" s="1" t="s">
        <v>5979</v>
      </c>
      <c r="H465" s="2" t="s">
        <v>63</v>
      </c>
      <c r="I465" s="2" t="s">
        <v>64</v>
      </c>
      <c r="J465" s="2" t="s">
        <v>63</v>
      </c>
      <c r="K465" s="2" t="s">
        <v>63</v>
      </c>
      <c r="L465" s="2" t="s">
        <v>65</v>
      </c>
      <c r="M465" s="1" t="s">
        <v>5980</v>
      </c>
      <c r="N465" s="1" t="s">
        <v>5981</v>
      </c>
      <c r="O465" s="2" t="s">
        <v>1175</v>
      </c>
      <c r="Q465" s="2" t="s">
        <v>70</v>
      </c>
      <c r="R465" s="2" t="s">
        <v>89</v>
      </c>
      <c r="T465" s="2" t="s">
        <v>72</v>
      </c>
      <c r="U465" s="3">
        <v>4</v>
      </c>
      <c r="V465" s="3">
        <v>4</v>
      </c>
      <c r="W465" s="4" t="s">
        <v>5827</v>
      </c>
      <c r="X465" s="4" t="s">
        <v>5827</v>
      </c>
      <c r="Y465" s="4" t="s">
        <v>5022</v>
      </c>
      <c r="Z465" s="4" t="s">
        <v>5022</v>
      </c>
      <c r="AA465" s="3">
        <v>47</v>
      </c>
      <c r="AB465" s="3">
        <v>40</v>
      </c>
      <c r="AC465" s="3">
        <v>40</v>
      </c>
      <c r="AD465" s="3">
        <v>1</v>
      </c>
      <c r="AE465" s="3">
        <v>1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2" t="s">
        <v>63</v>
      </c>
      <c r="AS465" s="2" t="s">
        <v>63</v>
      </c>
      <c r="AU465" s="5" t="str">
        <f>HYPERLINK("https://creighton-primo.hosted.exlibrisgroup.com/primo-explore/search?tab=default_tab&amp;search_scope=EVERYTHING&amp;vid=01CRU&amp;lang=en_US&amp;offset=0&amp;query=any,contains,991000961749702656","Catalog Record")</f>
        <v>Catalog Record</v>
      </c>
      <c r="AV465" s="5" t="str">
        <f>HYPERLINK("http://www.worldcat.org/oclc/7463205","WorldCat Record")</f>
        <v>WorldCat Record</v>
      </c>
      <c r="AW465" s="2" t="s">
        <v>5982</v>
      </c>
      <c r="AX465" s="2" t="s">
        <v>5983</v>
      </c>
      <c r="AY465" s="2" t="s">
        <v>5984</v>
      </c>
      <c r="AZ465" s="2" t="s">
        <v>5984</v>
      </c>
      <c r="BA465" s="2" t="s">
        <v>5985</v>
      </c>
      <c r="BB465" s="2" t="s">
        <v>79</v>
      </c>
      <c r="BD465" s="2" t="s">
        <v>5986</v>
      </c>
      <c r="BE465" s="2" t="s">
        <v>5987</v>
      </c>
      <c r="BF465" s="2" t="s">
        <v>5988</v>
      </c>
    </row>
    <row r="466" spans="1:58" ht="46.5" customHeight="1">
      <c r="A466" s="1"/>
      <c r="B466" s="1" t="s">
        <v>58</v>
      </c>
      <c r="C466" s="1" t="s">
        <v>59</v>
      </c>
      <c r="D466" s="1" t="s">
        <v>5989</v>
      </c>
      <c r="E466" s="1" t="s">
        <v>5990</v>
      </c>
      <c r="F466" s="1" t="s">
        <v>5991</v>
      </c>
      <c r="H466" s="2" t="s">
        <v>63</v>
      </c>
      <c r="I466" s="2" t="s">
        <v>64</v>
      </c>
      <c r="J466" s="2" t="s">
        <v>63</v>
      </c>
      <c r="K466" s="2" t="s">
        <v>63</v>
      </c>
      <c r="L466" s="2" t="s">
        <v>65</v>
      </c>
      <c r="M466" s="1" t="s">
        <v>5992</v>
      </c>
      <c r="N466" s="1" t="s">
        <v>5993</v>
      </c>
      <c r="O466" s="2" t="s">
        <v>5994</v>
      </c>
      <c r="P466" s="1" t="s">
        <v>69</v>
      </c>
      <c r="Q466" s="2" t="s">
        <v>70</v>
      </c>
      <c r="R466" s="2" t="s">
        <v>260</v>
      </c>
      <c r="T466" s="2" t="s">
        <v>72</v>
      </c>
      <c r="U466" s="3">
        <v>7</v>
      </c>
      <c r="V466" s="3">
        <v>7</v>
      </c>
      <c r="W466" s="4" t="s">
        <v>5815</v>
      </c>
      <c r="X466" s="4" t="s">
        <v>5815</v>
      </c>
      <c r="Y466" s="4" t="s">
        <v>5022</v>
      </c>
      <c r="Z466" s="4" t="s">
        <v>5022</v>
      </c>
      <c r="AA466" s="3">
        <v>103</v>
      </c>
      <c r="AB466" s="3">
        <v>84</v>
      </c>
      <c r="AC466" s="3">
        <v>142</v>
      </c>
      <c r="AD466" s="3">
        <v>1</v>
      </c>
      <c r="AE466" s="3">
        <v>2</v>
      </c>
      <c r="AF466" s="3">
        <v>3</v>
      </c>
      <c r="AG466" s="3">
        <v>5</v>
      </c>
      <c r="AH466" s="3">
        <v>1</v>
      </c>
      <c r="AI466" s="3">
        <v>1</v>
      </c>
      <c r="AJ466" s="3">
        <v>1</v>
      </c>
      <c r="AK466" s="3">
        <v>1</v>
      </c>
      <c r="AL466" s="3">
        <v>1</v>
      </c>
      <c r="AM466" s="3">
        <v>2</v>
      </c>
      <c r="AN466" s="3">
        <v>0</v>
      </c>
      <c r="AO466" s="3">
        <v>1</v>
      </c>
      <c r="AP466" s="3">
        <v>0</v>
      </c>
      <c r="AQ466" s="3">
        <v>0</v>
      </c>
      <c r="AR466" s="2" t="s">
        <v>63</v>
      </c>
      <c r="AS466" s="2" t="s">
        <v>92</v>
      </c>
      <c r="AT466" s="5" t="str">
        <f>HYPERLINK("http://catalog.hathitrust.org/Record/001572903","HathiTrust Record")</f>
        <v>HathiTrust Record</v>
      </c>
      <c r="AU466" s="5" t="str">
        <f>HYPERLINK("https://creighton-primo.hosted.exlibrisgroup.com/primo-explore/search?tab=default_tab&amp;search_scope=EVERYTHING&amp;vid=01CRU&amp;lang=en_US&amp;offset=0&amp;query=any,contains,991000961709702656","Catalog Record")</f>
        <v>Catalog Record</v>
      </c>
      <c r="AV466" s="5" t="str">
        <f>HYPERLINK("http://www.worldcat.org/oclc/1558942","WorldCat Record")</f>
        <v>WorldCat Record</v>
      </c>
      <c r="AW466" s="2" t="s">
        <v>5995</v>
      </c>
      <c r="AX466" s="2" t="s">
        <v>5996</v>
      </c>
      <c r="AY466" s="2" t="s">
        <v>5997</v>
      </c>
      <c r="AZ466" s="2" t="s">
        <v>5997</v>
      </c>
      <c r="BA466" s="2" t="s">
        <v>5998</v>
      </c>
      <c r="BB466" s="2" t="s">
        <v>79</v>
      </c>
      <c r="BE466" s="2" t="s">
        <v>5999</v>
      </c>
      <c r="BF466" s="2" t="s">
        <v>6000</v>
      </c>
    </row>
    <row r="467" spans="1:58" ht="46.5" customHeight="1">
      <c r="A467" s="1"/>
      <c r="B467" s="1" t="s">
        <v>58</v>
      </c>
      <c r="C467" s="1" t="s">
        <v>59</v>
      </c>
      <c r="D467" s="1" t="s">
        <v>6001</v>
      </c>
      <c r="E467" s="1" t="s">
        <v>6002</v>
      </c>
      <c r="F467" s="1" t="s">
        <v>6003</v>
      </c>
      <c r="H467" s="2" t="s">
        <v>63</v>
      </c>
      <c r="I467" s="2" t="s">
        <v>64</v>
      </c>
      <c r="J467" s="2" t="s">
        <v>63</v>
      </c>
      <c r="K467" s="2" t="s">
        <v>63</v>
      </c>
      <c r="L467" s="2" t="s">
        <v>65</v>
      </c>
      <c r="N467" s="1" t="s">
        <v>6004</v>
      </c>
      <c r="O467" s="2" t="s">
        <v>348</v>
      </c>
      <c r="Q467" s="2" t="s">
        <v>70</v>
      </c>
      <c r="R467" s="2" t="s">
        <v>892</v>
      </c>
      <c r="T467" s="2" t="s">
        <v>72</v>
      </c>
      <c r="U467" s="3">
        <v>2</v>
      </c>
      <c r="V467" s="3">
        <v>2</v>
      </c>
      <c r="W467" s="4" t="s">
        <v>6005</v>
      </c>
      <c r="X467" s="4" t="s">
        <v>6005</v>
      </c>
      <c r="Y467" s="4" t="s">
        <v>6005</v>
      </c>
      <c r="Z467" s="4" t="s">
        <v>6005</v>
      </c>
      <c r="AA467" s="3">
        <v>65</v>
      </c>
      <c r="AB467" s="3">
        <v>53</v>
      </c>
      <c r="AC467" s="3">
        <v>55</v>
      </c>
      <c r="AD467" s="3">
        <v>1</v>
      </c>
      <c r="AE467" s="3">
        <v>1</v>
      </c>
      <c r="AF467" s="3">
        <v>1</v>
      </c>
      <c r="AG467" s="3">
        <v>1</v>
      </c>
      <c r="AH467" s="3">
        <v>0</v>
      </c>
      <c r="AI467" s="3">
        <v>0</v>
      </c>
      <c r="AJ467" s="3">
        <v>1</v>
      </c>
      <c r="AK467" s="3">
        <v>1</v>
      </c>
      <c r="AL467" s="3">
        <v>1</v>
      </c>
      <c r="AM467" s="3">
        <v>1</v>
      </c>
      <c r="AN467" s="3">
        <v>0</v>
      </c>
      <c r="AO467" s="3">
        <v>0</v>
      </c>
      <c r="AP467" s="3">
        <v>0</v>
      </c>
      <c r="AQ467" s="3">
        <v>0</v>
      </c>
      <c r="AR467" s="2" t="s">
        <v>63</v>
      </c>
      <c r="AS467" s="2" t="s">
        <v>92</v>
      </c>
      <c r="AT467" s="5" t="str">
        <f>HYPERLINK("http://catalog.hathitrust.org/Record/004029988","HathiTrust Record")</f>
        <v>HathiTrust Record</v>
      </c>
      <c r="AU467" s="5" t="str">
        <f>HYPERLINK("https://creighton-primo.hosted.exlibrisgroup.com/primo-explore/search?tab=default_tab&amp;search_scope=EVERYTHING&amp;vid=01CRU&amp;lang=en_US&amp;offset=0&amp;query=any,contains,991001550029702656","Catalog Record")</f>
        <v>Catalog Record</v>
      </c>
      <c r="AV467" s="5" t="str">
        <f>HYPERLINK("http://www.worldcat.org/oclc/44267945","WorldCat Record")</f>
        <v>WorldCat Record</v>
      </c>
      <c r="AW467" s="2" t="s">
        <v>6006</v>
      </c>
      <c r="AX467" s="2" t="s">
        <v>6007</v>
      </c>
      <c r="AY467" s="2" t="s">
        <v>6008</v>
      </c>
      <c r="AZ467" s="2" t="s">
        <v>6008</v>
      </c>
      <c r="BA467" s="2" t="s">
        <v>6009</v>
      </c>
      <c r="BB467" s="2" t="s">
        <v>79</v>
      </c>
      <c r="BD467" s="2" t="s">
        <v>6010</v>
      </c>
      <c r="BE467" s="2" t="s">
        <v>6011</v>
      </c>
      <c r="BF467" s="2" t="s">
        <v>6012</v>
      </c>
    </row>
    <row r="468" spans="1:58" ht="46.5" customHeight="1">
      <c r="A468" s="1"/>
      <c r="B468" s="1" t="s">
        <v>58</v>
      </c>
      <c r="C468" s="1" t="s">
        <v>59</v>
      </c>
      <c r="D468" s="1" t="s">
        <v>6013</v>
      </c>
      <c r="E468" s="1" t="s">
        <v>6014</v>
      </c>
      <c r="F468" s="1" t="s">
        <v>6015</v>
      </c>
      <c r="H468" s="2" t="s">
        <v>63</v>
      </c>
      <c r="I468" s="2" t="s">
        <v>64</v>
      </c>
      <c r="J468" s="2" t="s">
        <v>63</v>
      </c>
      <c r="K468" s="2" t="s">
        <v>63</v>
      </c>
      <c r="L468" s="2" t="s">
        <v>65</v>
      </c>
      <c r="M468" s="1" t="s">
        <v>6016</v>
      </c>
      <c r="N468" s="1" t="s">
        <v>6017</v>
      </c>
      <c r="O468" s="2" t="s">
        <v>172</v>
      </c>
      <c r="Q468" s="2" t="s">
        <v>70</v>
      </c>
      <c r="R468" s="2" t="s">
        <v>3592</v>
      </c>
      <c r="T468" s="2" t="s">
        <v>72</v>
      </c>
      <c r="U468" s="3">
        <v>4</v>
      </c>
      <c r="V468" s="3">
        <v>4</v>
      </c>
      <c r="W468" s="4" t="s">
        <v>6018</v>
      </c>
      <c r="X468" s="4" t="s">
        <v>6018</v>
      </c>
      <c r="Y468" s="4" t="s">
        <v>5022</v>
      </c>
      <c r="Z468" s="4" t="s">
        <v>5022</v>
      </c>
      <c r="AA468" s="3">
        <v>1</v>
      </c>
      <c r="AB468" s="3">
        <v>1</v>
      </c>
      <c r="AC468" s="3">
        <v>1</v>
      </c>
      <c r="AD468" s="3">
        <v>1</v>
      </c>
      <c r="AE468" s="3">
        <v>1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2" t="s">
        <v>63</v>
      </c>
      <c r="AS468" s="2" t="s">
        <v>63</v>
      </c>
      <c r="AU468" s="5" t="str">
        <f>HYPERLINK("https://creighton-primo.hosted.exlibrisgroup.com/primo-explore/search?tab=default_tab&amp;search_scope=EVERYTHING&amp;vid=01CRU&amp;lang=en_US&amp;offset=0&amp;query=any,contains,991001276909702656","Catalog Record")</f>
        <v>Catalog Record</v>
      </c>
      <c r="AV468" s="5" t="str">
        <f>HYPERLINK("http://www.worldcat.org/oclc/16416478","WorldCat Record")</f>
        <v>WorldCat Record</v>
      </c>
      <c r="AW468" s="2" t="s">
        <v>6019</v>
      </c>
      <c r="AX468" s="2" t="s">
        <v>6020</v>
      </c>
      <c r="AY468" s="2" t="s">
        <v>6021</v>
      </c>
      <c r="AZ468" s="2" t="s">
        <v>6021</v>
      </c>
      <c r="BA468" s="2" t="s">
        <v>6022</v>
      </c>
      <c r="BB468" s="2" t="s">
        <v>79</v>
      </c>
      <c r="BE468" s="2" t="s">
        <v>6023</v>
      </c>
      <c r="BF468" s="2" t="s">
        <v>6024</v>
      </c>
    </row>
    <row r="469" spans="1:58" ht="46.5" customHeight="1">
      <c r="A469" s="1"/>
      <c r="B469" s="1" t="s">
        <v>58</v>
      </c>
      <c r="C469" s="1" t="s">
        <v>59</v>
      </c>
      <c r="D469" s="1" t="s">
        <v>6025</v>
      </c>
      <c r="E469" s="1" t="s">
        <v>6026</v>
      </c>
      <c r="F469" s="1" t="s">
        <v>6027</v>
      </c>
      <c r="H469" s="2" t="s">
        <v>63</v>
      </c>
      <c r="I469" s="2" t="s">
        <v>64</v>
      </c>
      <c r="J469" s="2" t="s">
        <v>63</v>
      </c>
      <c r="K469" s="2" t="s">
        <v>63</v>
      </c>
      <c r="L469" s="2" t="s">
        <v>65</v>
      </c>
      <c r="M469" s="1" t="s">
        <v>6028</v>
      </c>
      <c r="N469" s="1" t="s">
        <v>6029</v>
      </c>
      <c r="O469" s="2" t="s">
        <v>172</v>
      </c>
      <c r="Q469" s="2" t="s">
        <v>70</v>
      </c>
      <c r="R469" s="2" t="s">
        <v>377</v>
      </c>
      <c r="S469" s="1" t="s">
        <v>6030</v>
      </c>
      <c r="T469" s="2" t="s">
        <v>72</v>
      </c>
      <c r="U469" s="3">
        <v>5</v>
      </c>
      <c r="V469" s="3">
        <v>5</v>
      </c>
      <c r="W469" s="4" t="s">
        <v>393</v>
      </c>
      <c r="X469" s="4" t="s">
        <v>393</v>
      </c>
      <c r="Y469" s="4" t="s">
        <v>5022</v>
      </c>
      <c r="Z469" s="4" t="s">
        <v>5022</v>
      </c>
      <c r="AA469" s="3">
        <v>87</v>
      </c>
      <c r="AB469" s="3">
        <v>58</v>
      </c>
      <c r="AC469" s="3">
        <v>60</v>
      </c>
      <c r="AD469" s="3">
        <v>1</v>
      </c>
      <c r="AE469" s="3">
        <v>1</v>
      </c>
      <c r="AF469" s="3">
        <v>2</v>
      </c>
      <c r="AG469" s="3">
        <v>2</v>
      </c>
      <c r="AH469" s="3">
        <v>1</v>
      </c>
      <c r="AI469" s="3">
        <v>1</v>
      </c>
      <c r="AJ469" s="3">
        <v>1</v>
      </c>
      <c r="AK469" s="3">
        <v>1</v>
      </c>
      <c r="AL469" s="3">
        <v>1</v>
      </c>
      <c r="AM469" s="3">
        <v>1</v>
      </c>
      <c r="AN469" s="3">
        <v>0</v>
      </c>
      <c r="AO469" s="3">
        <v>0</v>
      </c>
      <c r="AP469" s="3">
        <v>0</v>
      </c>
      <c r="AQ469" s="3">
        <v>0</v>
      </c>
      <c r="AR469" s="2" t="s">
        <v>63</v>
      </c>
      <c r="AS469" s="2" t="s">
        <v>92</v>
      </c>
      <c r="AT469" s="5" t="str">
        <f>HYPERLINK("http://catalog.hathitrust.org/Record/000461913","HathiTrust Record")</f>
        <v>HathiTrust Record</v>
      </c>
      <c r="AU469" s="5" t="str">
        <f>HYPERLINK("https://creighton-primo.hosted.exlibrisgroup.com/primo-explore/search?tab=default_tab&amp;search_scope=EVERYTHING&amp;vid=01CRU&amp;lang=en_US&amp;offset=0&amp;query=any,contains,991000962509702656","Catalog Record")</f>
        <v>Catalog Record</v>
      </c>
      <c r="AV469" s="5" t="str">
        <f>HYPERLINK("http://www.worldcat.org/oclc/10174746","WorldCat Record")</f>
        <v>WorldCat Record</v>
      </c>
      <c r="AW469" s="2" t="s">
        <v>6031</v>
      </c>
      <c r="AX469" s="2" t="s">
        <v>6032</v>
      </c>
      <c r="AY469" s="2" t="s">
        <v>6033</v>
      </c>
      <c r="AZ469" s="2" t="s">
        <v>6033</v>
      </c>
      <c r="BA469" s="2" t="s">
        <v>6034</v>
      </c>
      <c r="BB469" s="2" t="s">
        <v>79</v>
      </c>
      <c r="BD469" s="2" t="s">
        <v>6035</v>
      </c>
      <c r="BE469" s="2" t="s">
        <v>6036</v>
      </c>
      <c r="BF469" s="2" t="s">
        <v>6037</v>
      </c>
    </row>
    <row r="470" spans="1:58" ht="46.5" customHeight="1">
      <c r="A470" s="1"/>
      <c r="B470" s="1" t="s">
        <v>58</v>
      </c>
      <c r="C470" s="1" t="s">
        <v>59</v>
      </c>
      <c r="D470" s="1" t="s">
        <v>6038</v>
      </c>
      <c r="E470" s="1" t="s">
        <v>6039</v>
      </c>
      <c r="F470" s="1" t="s">
        <v>6040</v>
      </c>
      <c r="H470" s="2" t="s">
        <v>63</v>
      </c>
      <c r="I470" s="2" t="s">
        <v>64</v>
      </c>
      <c r="J470" s="2" t="s">
        <v>63</v>
      </c>
      <c r="K470" s="2" t="s">
        <v>63</v>
      </c>
      <c r="L470" s="2" t="s">
        <v>65</v>
      </c>
      <c r="M470" s="1" t="s">
        <v>6041</v>
      </c>
      <c r="N470" s="1" t="s">
        <v>6042</v>
      </c>
      <c r="O470" s="2" t="s">
        <v>1514</v>
      </c>
      <c r="Q470" s="2" t="s">
        <v>70</v>
      </c>
      <c r="R470" s="2" t="s">
        <v>1364</v>
      </c>
      <c r="T470" s="2" t="s">
        <v>72</v>
      </c>
      <c r="U470" s="3">
        <v>1</v>
      </c>
      <c r="V470" s="3">
        <v>1</v>
      </c>
      <c r="W470" s="4" t="s">
        <v>6043</v>
      </c>
      <c r="X470" s="4" t="s">
        <v>6043</v>
      </c>
      <c r="Y470" s="4" t="s">
        <v>5117</v>
      </c>
      <c r="Z470" s="4" t="s">
        <v>5117</v>
      </c>
      <c r="AA470" s="3">
        <v>78</v>
      </c>
      <c r="AB470" s="3">
        <v>71</v>
      </c>
      <c r="AC470" s="3">
        <v>105</v>
      </c>
      <c r="AD470" s="3">
        <v>2</v>
      </c>
      <c r="AE470" s="3">
        <v>2</v>
      </c>
      <c r="AF470" s="3">
        <v>1</v>
      </c>
      <c r="AG470" s="3">
        <v>3</v>
      </c>
      <c r="AH470" s="3">
        <v>0</v>
      </c>
      <c r="AI470" s="3">
        <v>0</v>
      </c>
      <c r="AJ470" s="3">
        <v>0</v>
      </c>
      <c r="AK470" s="3">
        <v>1</v>
      </c>
      <c r="AL470" s="3">
        <v>0</v>
      </c>
      <c r="AM470" s="3">
        <v>1</v>
      </c>
      <c r="AN470" s="3">
        <v>1</v>
      </c>
      <c r="AO470" s="3">
        <v>1</v>
      </c>
      <c r="AP470" s="3">
        <v>0</v>
      </c>
      <c r="AQ470" s="3">
        <v>0</v>
      </c>
      <c r="AR470" s="2" t="s">
        <v>92</v>
      </c>
      <c r="AS470" s="2" t="s">
        <v>63</v>
      </c>
      <c r="AT470" s="5" t="str">
        <f>HYPERLINK("http://catalog.hathitrust.org/Record/001572908","HathiTrust Record")</f>
        <v>HathiTrust Record</v>
      </c>
      <c r="AU470" s="5" t="str">
        <f>HYPERLINK("https://creighton-primo.hosted.exlibrisgroup.com/primo-explore/search?tab=default_tab&amp;search_scope=EVERYTHING&amp;vid=01CRU&amp;lang=en_US&amp;offset=0&amp;query=any,contains,991000962449702656","Catalog Record")</f>
        <v>Catalog Record</v>
      </c>
      <c r="AV470" s="5" t="str">
        <f>HYPERLINK("http://www.worldcat.org/oclc/3199443","WorldCat Record")</f>
        <v>WorldCat Record</v>
      </c>
      <c r="AW470" s="2" t="s">
        <v>6044</v>
      </c>
      <c r="AX470" s="2" t="s">
        <v>6045</v>
      </c>
      <c r="AY470" s="2" t="s">
        <v>6046</v>
      </c>
      <c r="AZ470" s="2" t="s">
        <v>6046</v>
      </c>
      <c r="BA470" s="2" t="s">
        <v>6047</v>
      </c>
      <c r="BB470" s="2" t="s">
        <v>79</v>
      </c>
      <c r="BE470" s="2" t="s">
        <v>6048</v>
      </c>
      <c r="BF470" s="2" t="s">
        <v>6049</v>
      </c>
    </row>
    <row r="471" spans="1:58" ht="46.5" customHeight="1">
      <c r="A471" s="1"/>
      <c r="B471" s="1" t="s">
        <v>58</v>
      </c>
      <c r="C471" s="1" t="s">
        <v>59</v>
      </c>
      <c r="D471" s="1" t="s">
        <v>6050</v>
      </c>
      <c r="E471" s="1" t="s">
        <v>6051</v>
      </c>
      <c r="F471" s="1" t="s">
        <v>6052</v>
      </c>
      <c r="H471" s="2" t="s">
        <v>63</v>
      </c>
      <c r="I471" s="2" t="s">
        <v>64</v>
      </c>
      <c r="J471" s="2" t="s">
        <v>63</v>
      </c>
      <c r="K471" s="2" t="s">
        <v>63</v>
      </c>
      <c r="L471" s="2" t="s">
        <v>65</v>
      </c>
      <c r="M471" s="1" t="s">
        <v>6041</v>
      </c>
      <c r="N471" s="1" t="s">
        <v>6053</v>
      </c>
      <c r="O471" s="2" t="s">
        <v>5906</v>
      </c>
      <c r="Q471" s="2" t="s">
        <v>70</v>
      </c>
      <c r="R471" s="2" t="s">
        <v>277</v>
      </c>
      <c r="T471" s="2" t="s">
        <v>72</v>
      </c>
      <c r="U471" s="3">
        <v>5</v>
      </c>
      <c r="V471" s="3">
        <v>5</v>
      </c>
      <c r="W471" s="4" t="s">
        <v>5907</v>
      </c>
      <c r="X471" s="4" t="s">
        <v>5907</v>
      </c>
      <c r="Y471" s="4" t="s">
        <v>5117</v>
      </c>
      <c r="Z471" s="4" t="s">
        <v>5117</v>
      </c>
      <c r="AA471" s="3">
        <v>148</v>
      </c>
      <c r="AB471" s="3">
        <v>113</v>
      </c>
      <c r="AC471" s="3">
        <v>115</v>
      </c>
      <c r="AD471" s="3">
        <v>2</v>
      </c>
      <c r="AE471" s="3">
        <v>2</v>
      </c>
      <c r="AF471" s="3">
        <v>6</v>
      </c>
      <c r="AG471" s="3">
        <v>6</v>
      </c>
      <c r="AH471" s="3">
        <v>3</v>
      </c>
      <c r="AI471" s="3">
        <v>3</v>
      </c>
      <c r="AJ471" s="3">
        <v>1</v>
      </c>
      <c r="AK471" s="3">
        <v>1</v>
      </c>
      <c r="AL471" s="3">
        <v>3</v>
      </c>
      <c r="AM471" s="3">
        <v>3</v>
      </c>
      <c r="AN471" s="3">
        <v>1</v>
      </c>
      <c r="AO471" s="3">
        <v>1</v>
      </c>
      <c r="AP471" s="3">
        <v>0</v>
      </c>
      <c r="AQ471" s="3">
        <v>0</v>
      </c>
      <c r="AR471" s="2" t="s">
        <v>63</v>
      </c>
      <c r="AS471" s="2" t="s">
        <v>63</v>
      </c>
      <c r="AT471" s="5" t="str">
        <f>HYPERLINK("http://catalog.hathitrust.org/Record/001572909","HathiTrust Record")</f>
        <v>HathiTrust Record</v>
      </c>
      <c r="AU471" s="5" t="str">
        <f>HYPERLINK("https://creighton-primo.hosted.exlibrisgroup.com/primo-explore/search?tab=default_tab&amp;search_scope=EVERYTHING&amp;vid=01CRU&amp;lang=en_US&amp;offset=0&amp;query=any,contains,991000962419702656","Catalog Record")</f>
        <v>Catalog Record</v>
      </c>
      <c r="AV471" s="5" t="str">
        <f>HYPERLINK("http://www.worldcat.org/oclc/2392199","WorldCat Record")</f>
        <v>WorldCat Record</v>
      </c>
      <c r="AW471" s="2" t="s">
        <v>6054</v>
      </c>
      <c r="AX471" s="2" t="s">
        <v>6055</v>
      </c>
      <c r="AY471" s="2" t="s">
        <v>6056</v>
      </c>
      <c r="AZ471" s="2" t="s">
        <v>6056</v>
      </c>
      <c r="BA471" s="2" t="s">
        <v>6057</v>
      </c>
      <c r="BB471" s="2" t="s">
        <v>79</v>
      </c>
      <c r="BE471" s="2" t="s">
        <v>6058</v>
      </c>
      <c r="BF471" s="2" t="s">
        <v>6059</v>
      </c>
    </row>
    <row r="472" spans="1:58" ht="46.5" customHeight="1">
      <c r="A472" s="1"/>
      <c r="B472" s="1" t="s">
        <v>58</v>
      </c>
      <c r="C472" s="1" t="s">
        <v>59</v>
      </c>
      <c r="D472" s="1" t="s">
        <v>6060</v>
      </c>
      <c r="E472" s="1" t="s">
        <v>6061</v>
      </c>
      <c r="F472" s="1" t="s">
        <v>6062</v>
      </c>
      <c r="H472" s="2" t="s">
        <v>63</v>
      </c>
      <c r="I472" s="2" t="s">
        <v>64</v>
      </c>
      <c r="J472" s="2" t="s">
        <v>63</v>
      </c>
      <c r="K472" s="2" t="s">
        <v>63</v>
      </c>
      <c r="L472" s="2" t="s">
        <v>65</v>
      </c>
      <c r="M472" s="1" t="s">
        <v>6063</v>
      </c>
      <c r="N472" s="1" t="s">
        <v>6064</v>
      </c>
      <c r="O472" s="2" t="s">
        <v>6065</v>
      </c>
      <c r="P472" s="1" t="s">
        <v>6066</v>
      </c>
      <c r="Q472" s="2" t="s">
        <v>70</v>
      </c>
      <c r="R472" s="2" t="s">
        <v>892</v>
      </c>
      <c r="T472" s="2" t="s">
        <v>72</v>
      </c>
      <c r="U472" s="3">
        <v>5</v>
      </c>
      <c r="V472" s="3">
        <v>5</v>
      </c>
      <c r="W472" s="4" t="s">
        <v>6067</v>
      </c>
      <c r="X472" s="4" t="s">
        <v>6067</v>
      </c>
      <c r="Y472" s="4" t="s">
        <v>5022</v>
      </c>
      <c r="Z472" s="4" t="s">
        <v>5022</v>
      </c>
      <c r="AA472" s="3">
        <v>24</v>
      </c>
      <c r="AB472" s="3">
        <v>22</v>
      </c>
      <c r="AC472" s="3">
        <v>65</v>
      </c>
      <c r="AD472" s="3">
        <v>1</v>
      </c>
      <c r="AE472" s="3">
        <v>1</v>
      </c>
      <c r="AF472" s="3">
        <v>0</v>
      </c>
      <c r="AG472" s="3">
        <v>2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2</v>
      </c>
      <c r="AN472" s="3">
        <v>0</v>
      </c>
      <c r="AO472" s="3">
        <v>0</v>
      </c>
      <c r="AP472" s="3">
        <v>0</v>
      </c>
      <c r="AQ472" s="3">
        <v>0</v>
      </c>
      <c r="AR472" s="2" t="s">
        <v>63</v>
      </c>
      <c r="AS472" s="2" t="s">
        <v>63</v>
      </c>
      <c r="AU472" s="5" t="str">
        <f>HYPERLINK("https://creighton-primo.hosted.exlibrisgroup.com/primo-explore/search?tab=default_tab&amp;search_scope=EVERYTHING&amp;vid=01CRU&amp;lang=en_US&amp;offset=0&amp;query=any,contains,991000962379702656","Catalog Record")</f>
        <v>Catalog Record</v>
      </c>
      <c r="AV472" s="5" t="str">
        <f>HYPERLINK("http://www.worldcat.org/oclc/2108511","WorldCat Record")</f>
        <v>WorldCat Record</v>
      </c>
      <c r="AW472" s="2" t="s">
        <v>6068</v>
      </c>
      <c r="AX472" s="2" t="s">
        <v>6069</v>
      </c>
      <c r="AY472" s="2" t="s">
        <v>6070</v>
      </c>
      <c r="AZ472" s="2" t="s">
        <v>6070</v>
      </c>
      <c r="BA472" s="2" t="s">
        <v>6071</v>
      </c>
      <c r="BB472" s="2" t="s">
        <v>79</v>
      </c>
      <c r="BE472" s="2" t="s">
        <v>6072</v>
      </c>
      <c r="BF472" s="2" t="s">
        <v>6073</v>
      </c>
    </row>
    <row r="473" spans="1:58" ht="46.5" customHeight="1">
      <c r="A473" s="1"/>
      <c r="B473" s="1" t="s">
        <v>58</v>
      </c>
      <c r="C473" s="1" t="s">
        <v>59</v>
      </c>
      <c r="D473" s="1" t="s">
        <v>6074</v>
      </c>
      <c r="E473" s="1" t="s">
        <v>6075</v>
      </c>
      <c r="F473" s="1" t="s">
        <v>6076</v>
      </c>
      <c r="H473" s="2" t="s">
        <v>63</v>
      </c>
      <c r="I473" s="2" t="s">
        <v>64</v>
      </c>
      <c r="J473" s="2" t="s">
        <v>63</v>
      </c>
      <c r="K473" s="2" t="s">
        <v>63</v>
      </c>
      <c r="L473" s="2" t="s">
        <v>65</v>
      </c>
      <c r="M473" s="1" t="s">
        <v>6077</v>
      </c>
      <c r="N473" s="1" t="s">
        <v>6078</v>
      </c>
      <c r="O473" s="2" t="s">
        <v>5114</v>
      </c>
      <c r="Q473" s="2" t="s">
        <v>70</v>
      </c>
      <c r="R473" s="2" t="s">
        <v>691</v>
      </c>
      <c r="T473" s="2" t="s">
        <v>72</v>
      </c>
      <c r="U473" s="3">
        <v>3</v>
      </c>
      <c r="V473" s="3">
        <v>3</v>
      </c>
      <c r="W473" s="4" t="s">
        <v>6067</v>
      </c>
      <c r="X473" s="4" t="s">
        <v>6067</v>
      </c>
      <c r="Y473" s="4" t="s">
        <v>5022</v>
      </c>
      <c r="Z473" s="4" t="s">
        <v>5022</v>
      </c>
      <c r="AA473" s="3">
        <v>144</v>
      </c>
      <c r="AB473" s="3">
        <v>128</v>
      </c>
      <c r="AC473" s="3">
        <v>230</v>
      </c>
      <c r="AD473" s="3">
        <v>2</v>
      </c>
      <c r="AE473" s="3">
        <v>2</v>
      </c>
      <c r="AF473" s="3">
        <v>7</v>
      </c>
      <c r="AG473" s="3">
        <v>9</v>
      </c>
      <c r="AH473" s="3">
        <v>2</v>
      </c>
      <c r="AI473" s="3">
        <v>3</v>
      </c>
      <c r="AJ473" s="3">
        <v>2</v>
      </c>
      <c r="AK473" s="3">
        <v>2</v>
      </c>
      <c r="AL473" s="3">
        <v>3</v>
      </c>
      <c r="AM473" s="3">
        <v>4</v>
      </c>
      <c r="AN473" s="3">
        <v>1</v>
      </c>
      <c r="AO473" s="3">
        <v>1</v>
      </c>
      <c r="AP473" s="3">
        <v>0</v>
      </c>
      <c r="AQ473" s="3">
        <v>0</v>
      </c>
      <c r="AR473" s="2" t="s">
        <v>63</v>
      </c>
      <c r="AS473" s="2" t="s">
        <v>63</v>
      </c>
      <c r="AU473" s="5" t="str">
        <f>HYPERLINK("https://creighton-primo.hosted.exlibrisgroup.com/primo-explore/search?tab=default_tab&amp;search_scope=EVERYTHING&amp;vid=01CRU&amp;lang=en_US&amp;offset=0&amp;query=any,contains,991000962299702656","Catalog Record")</f>
        <v>Catalog Record</v>
      </c>
      <c r="AV473" s="5" t="str">
        <f>HYPERLINK("http://www.worldcat.org/oclc/3251217","WorldCat Record")</f>
        <v>WorldCat Record</v>
      </c>
      <c r="AW473" s="2" t="s">
        <v>6079</v>
      </c>
      <c r="AX473" s="2" t="s">
        <v>6080</v>
      </c>
      <c r="AY473" s="2" t="s">
        <v>6081</v>
      </c>
      <c r="AZ473" s="2" t="s">
        <v>6081</v>
      </c>
      <c r="BA473" s="2" t="s">
        <v>6082</v>
      </c>
      <c r="BB473" s="2" t="s">
        <v>79</v>
      </c>
      <c r="BE473" s="2" t="s">
        <v>6083</v>
      </c>
      <c r="BF473" s="2" t="s">
        <v>6084</v>
      </c>
    </row>
    <row r="474" spans="1:58" ht="46.5" customHeight="1">
      <c r="A474" s="1"/>
      <c r="B474" s="1" t="s">
        <v>58</v>
      </c>
      <c r="C474" s="1" t="s">
        <v>59</v>
      </c>
      <c r="D474" s="1" t="s">
        <v>6085</v>
      </c>
      <c r="E474" s="1" t="s">
        <v>6086</v>
      </c>
      <c r="F474" s="1" t="s">
        <v>6087</v>
      </c>
      <c r="H474" s="2" t="s">
        <v>63</v>
      </c>
      <c r="I474" s="2" t="s">
        <v>64</v>
      </c>
      <c r="J474" s="2" t="s">
        <v>63</v>
      </c>
      <c r="K474" s="2" t="s">
        <v>63</v>
      </c>
      <c r="L474" s="2" t="s">
        <v>65</v>
      </c>
      <c r="M474" s="1" t="s">
        <v>6088</v>
      </c>
      <c r="N474" s="1" t="s">
        <v>6089</v>
      </c>
      <c r="O474" s="2" t="s">
        <v>6065</v>
      </c>
      <c r="Q474" s="2" t="s">
        <v>70</v>
      </c>
      <c r="R474" s="2" t="s">
        <v>260</v>
      </c>
      <c r="T474" s="2" t="s">
        <v>72</v>
      </c>
      <c r="U474" s="3">
        <v>6</v>
      </c>
      <c r="V474" s="3">
        <v>6</v>
      </c>
      <c r="W474" s="4" t="s">
        <v>6067</v>
      </c>
      <c r="X474" s="4" t="s">
        <v>6067</v>
      </c>
      <c r="Y474" s="4" t="s">
        <v>5022</v>
      </c>
      <c r="Z474" s="4" t="s">
        <v>5022</v>
      </c>
      <c r="AA474" s="3">
        <v>198</v>
      </c>
      <c r="AB474" s="3">
        <v>155</v>
      </c>
      <c r="AC474" s="3">
        <v>195</v>
      </c>
      <c r="AD474" s="3">
        <v>3</v>
      </c>
      <c r="AE474" s="3">
        <v>3</v>
      </c>
      <c r="AF474" s="3">
        <v>6</v>
      </c>
      <c r="AG474" s="3">
        <v>6</v>
      </c>
      <c r="AH474" s="3">
        <v>2</v>
      </c>
      <c r="AI474" s="3">
        <v>2</v>
      </c>
      <c r="AJ474" s="3">
        <v>1</v>
      </c>
      <c r="AK474" s="3">
        <v>1</v>
      </c>
      <c r="AL474" s="3">
        <v>1</v>
      </c>
      <c r="AM474" s="3">
        <v>1</v>
      </c>
      <c r="AN474" s="3">
        <v>2</v>
      </c>
      <c r="AO474" s="3">
        <v>2</v>
      </c>
      <c r="AP474" s="3">
        <v>0</v>
      </c>
      <c r="AQ474" s="3">
        <v>0</v>
      </c>
      <c r="AR474" s="2" t="s">
        <v>92</v>
      </c>
      <c r="AS474" s="2" t="s">
        <v>63</v>
      </c>
      <c r="AT474" s="5" t="str">
        <f>HYPERLINK("http://catalog.hathitrust.org/Record/001582133","HathiTrust Record")</f>
        <v>HathiTrust Record</v>
      </c>
      <c r="AU474" s="5" t="str">
        <f>HYPERLINK("https://creighton-primo.hosted.exlibrisgroup.com/primo-explore/search?tab=default_tab&amp;search_scope=EVERYTHING&amp;vid=01CRU&amp;lang=en_US&amp;offset=0&amp;query=any,contains,991000962339702656","Catalog Record")</f>
        <v>Catalog Record</v>
      </c>
      <c r="AV474" s="5" t="str">
        <f>HYPERLINK("http://www.worldcat.org/oclc/3641644","WorldCat Record")</f>
        <v>WorldCat Record</v>
      </c>
      <c r="AW474" s="2" t="s">
        <v>6090</v>
      </c>
      <c r="AX474" s="2" t="s">
        <v>6091</v>
      </c>
      <c r="AY474" s="2" t="s">
        <v>6092</v>
      </c>
      <c r="AZ474" s="2" t="s">
        <v>6092</v>
      </c>
      <c r="BA474" s="2" t="s">
        <v>6093</v>
      </c>
      <c r="BB474" s="2" t="s">
        <v>79</v>
      </c>
      <c r="BE474" s="2" t="s">
        <v>6094</v>
      </c>
      <c r="BF474" s="2" t="s">
        <v>6095</v>
      </c>
    </row>
    <row r="475" spans="1:58" ht="46.5" customHeight="1">
      <c r="A475" s="1"/>
      <c r="B475" s="1" t="s">
        <v>58</v>
      </c>
      <c r="C475" s="1" t="s">
        <v>59</v>
      </c>
      <c r="D475" s="1" t="s">
        <v>6096</v>
      </c>
      <c r="E475" s="1" t="s">
        <v>6097</v>
      </c>
      <c r="F475" s="1" t="s">
        <v>6098</v>
      </c>
      <c r="H475" s="2" t="s">
        <v>63</v>
      </c>
      <c r="I475" s="2" t="s">
        <v>64</v>
      </c>
      <c r="J475" s="2" t="s">
        <v>63</v>
      </c>
      <c r="K475" s="2" t="s">
        <v>63</v>
      </c>
      <c r="L475" s="2" t="s">
        <v>64</v>
      </c>
      <c r="M475" s="1" t="s">
        <v>6099</v>
      </c>
      <c r="N475" s="1" t="s">
        <v>6100</v>
      </c>
      <c r="O475" s="2" t="s">
        <v>6101</v>
      </c>
      <c r="Q475" s="2" t="s">
        <v>70</v>
      </c>
      <c r="R475" s="2" t="s">
        <v>1739</v>
      </c>
      <c r="T475" s="2" t="s">
        <v>72</v>
      </c>
      <c r="U475" s="3">
        <v>4</v>
      </c>
      <c r="V475" s="3">
        <v>4</v>
      </c>
      <c r="W475" s="4" t="s">
        <v>471</v>
      </c>
      <c r="X475" s="4" t="s">
        <v>471</v>
      </c>
      <c r="Y475" s="4" t="s">
        <v>5022</v>
      </c>
      <c r="Z475" s="4" t="s">
        <v>5022</v>
      </c>
      <c r="AA475" s="3">
        <v>344</v>
      </c>
      <c r="AB475" s="3">
        <v>297</v>
      </c>
      <c r="AC475" s="3">
        <v>306</v>
      </c>
      <c r="AD475" s="3">
        <v>2</v>
      </c>
      <c r="AE475" s="3">
        <v>2</v>
      </c>
      <c r="AF475" s="3">
        <v>12</v>
      </c>
      <c r="AG475" s="3">
        <v>12</v>
      </c>
      <c r="AH475" s="3">
        <v>3</v>
      </c>
      <c r="AI475" s="3">
        <v>3</v>
      </c>
      <c r="AJ475" s="3">
        <v>3</v>
      </c>
      <c r="AK475" s="3">
        <v>3</v>
      </c>
      <c r="AL475" s="3">
        <v>7</v>
      </c>
      <c r="AM475" s="3">
        <v>7</v>
      </c>
      <c r="AN475" s="3">
        <v>1</v>
      </c>
      <c r="AO475" s="3">
        <v>1</v>
      </c>
      <c r="AP475" s="3">
        <v>0</v>
      </c>
      <c r="AQ475" s="3">
        <v>0</v>
      </c>
      <c r="AR475" s="2" t="s">
        <v>63</v>
      </c>
      <c r="AS475" s="2" t="s">
        <v>63</v>
      </c>
      <c r="AT475" s="5" t="str">
        <f>HYPERLINK("http://catalog.hathitrust.org/Record/002089704","HathiTrust Record")</f>
        <v>HathiTrust Record</v>
      </c>
      <c r="AU475" s="5" t="str">
        <f>HYPERLINK("https://creighton-primo.hosted.exlibrisgroup.com/primo-explore/search?tab=default_tab&amp;search_scope=EVERYTHING&amp;vid=01CRU&amp;lang=en_US&amp;offset=0&amp;query=any,contains,991000962239702656","Catalog Record")</f>
        <v>Catalog Record</v>
      </c>
      <c r="AV475" s="5" t="str">
        <f>HYPERLINK("http://www.worldcat.org/oclc/14646149","WorldCat Record")</f>
        <v>WorldCat Record</v>
      </c>
      <c r="AW475" s="2" t="s">
        <v>6102</v>
      </c>
      <c r="AX475" s="2" t="s">
        <v>6103</v>
      </c>
      <c r="AY475" s="2" t="s">
        <v>6104</v>
      </c>
      <c r="AZ475" s="2" t="s">
        <v>6104</v>
      </c>
      <c r="BA475" s="2" t="s">
        <v>6105</v>
      </c>
      <c r="BB475" s="2" t="s">
        <v>79</v>
      </c>
      <c r="BE475" s="2" t="s">
        <v>6106</v>
      </c>
      <c r="BF475" s="2" t="s">
        <v>6107</v>
      </c>
    </row>
    <row r="476" spans="1:58" ht="46.5" customHeight="1">
      <c r="A476" s="1"/>
      <c r="B476" s="1" t="s">
        <v>58</v>
      </c>
      <c r="C476" s="1" t="s">
        <v>59</v>
      </c>
      <c r="D476" s="1" t="s">
        <v>6108</v>
      </c>
      <c r="E476" s="1" t="s">
        <v>6109</v>
      </c>
      <c r="F476" s="1" t="s">
        <v>6110</v>
      </c>
      <c r="H476" s="2" t="s">
        <v>63</v>
      </c>
      <c r="I476" s="2" t="s">
        <v>64</v>
      </c>
      <c r="J476" s="2" t="s">
        <v>63</v>
      </c>
      <c r="K476" s="2" t="s">
        <v>63</v>
      </c>
      <c r="L476" s="2" t="s">
        <v>65</v>
      </c>
      <c r="M476" s="1" t="s">
        <v>6111</v>
      </c>
      <c r="N476" s="1" t="s">
        <v>6112</v>
      </c>
      <c r="O476" s="2" t="s">
        <v>119</v>
      </c>
      <c r="Q476" s="2" t="s">
        <v>70</v>
      </c>
      <c r="R476" s="2" t="s">
        <v>89</v>
      </c>
      <c r="T476" s="2" t="s">
        <v>72</v>
      </c>
      <c r="U476" s="3">
        <v>5</v>
      </c>
      <c r="V476" s="3">
        <v>5</v>
      </c>
      <c r="W476" s="4" t="s">
        <v>6113</v>
      </c>
      <c r="X476" s="4" t="s">
        <v>6113</v>
      </c>
      <c r="Y476" s="4" t="s">
        <v>5022</v>
      </c>
      <c r="Z476" s="4" t="s">
        <v>5022</v>
      </c>
      <c r="AA476" s="3">
        <v>691</v>
      </c>
      <c r="AB476" s="3">
        <v>584</v>
      </c>
      <c r="AC476" s="3">
        <v>595</v>
      </c>
      <c r="AD476" s="3">
        <v>5</v>
      </c>
      <c r="AE476" s="3">
        <v>5</v>
      </c>
      <c r="AF476" s="3">
        <v>28</v>
      </c>
      <c r="AG476" s="3">
        <v>29</v>
      </c>
      <c r="AH476" s="3">
        <v>16</v>
      </c>
      <c r="AI476" s="3">
        <v>16</v>
      </c>
      <c r="AJ476" s="3">
        <v>5</v>
      </c>
      <c r="AK476" s="3">
        <v>5</v>
      </c>
      <c r="AL476" s="3">
        <v>10</v>
      </c>
      <c r="AM476" s="3">
        <v>11</v>
      </c>
      <c r="AN476" s="3">
        <v>4</v>
      </c>
      <c r="AO476" s="3">
        <v>4</v>
      </c>
      <c r="AP476" s="3">
        <v>0</v>
      </c>
      <c r="AQ476" s="3">
        <v>0</v>
      </c>
      <c r="AR476" s="2" t="s">
        <v>63</v>
      </c>
      <c r="AS476" s="2" t="s">
        <v>63</v>
      </c>
      <c r="AU476" s="5" t="str">
        <f>HYPERLINK("https://creighton-primo.hosted.exlibrisgroup.com/primo-explore/search?tab=default_tab&amp;search_scope=EVERYTHING&amp;vid=01CRU&amp;lang=en_US&amp;offset=0&amp;query=any,contains,991000962119702656","Catalog Record")</f>
        <v>Catalog Record</v>
      </c>
      <c r="AV476" s="5" t="str">
        <f>HYPERLINK("http://www.worldcat.org/oclc/8170304","WorldCat Record")</f>
        <v>WorldCat Record</v>
      </c>
      <c r="AW476" s="2" t="s">
        <v>6114</v>
      </c>
      <c r="AX476" s="2" t="s">
        <v>6115</v>
      </c>
      <c r="AY476" s="2" t="s">
        <v>6116</v>
      </c>
      <c r="AZ476" s="2" t="s">
        <v>6116</v>
      </c>
      <c r="BA476" s="2" t="s">
        <v>6117</v>
      </c>
      <c r="BB476" s="2" t="s">
        <v>79</v>
      </c>
      <c r="BD476" s="2" t="s">
        <v>6118</v>
      </c>
      <c r="BE476" s="2" t="s">
        <v>6119</v>
      </c>
      <c r="BF476" s="2" t="s">
        <v>6120</v>
      </c>
    </row>
    <row r="477" spans="1:58" ht="46.5" customHeight="1">
      <c r="A477" s="1"/>
      <c r="B477" s="1" t="s">
        <v>58</v>
      </c>
      <c r="C477" s="1" t="s">
        <v>59</v>
      </c>
      <c r="D477" s="1" t="s">
        <v>6121</v>
      </c>
      <c r="E477" s="1" t="s">
        <v>6122</v>
      </c>
      <c r="F477" s="1" t="s">
        <v>6123</v>
      </c>
      <c r="H477" s="2" t="s">
        <v>63</v>
      </c>
      <c r="I477" s="2" t="s">
        <v>64</v>
      </c>
      <c r="J477" s="2" t="s">
        <v>63</v>
      </c>
      <c r="K477" s="2" t="s">
        <v>63</v>
      </c>
      <c r="L477" s="2" t="s">
        <v>65</v>
      </c>
      <c r="M477" s="1" t="s">
        <v>6124</v>
      </c>
      <c r="N477" s="1" t="s">
        <v>6125</v>
      </c>
      <c r="O477" s="2" t="s">
        <v>1514</v>
      </c>
      <c r="Q477" s="2" t="s">
        <v>70</v>
      </c>
      <c r="R477" s="2" t="s">
        <v>1364</v>
      </c>
      <c r="T477" s="2" t="s">
        <v>72</v>
      </c>
      <c r="U477" s="3">
        <v>4</v>
      </c>
      <c r="V477" s="3">
        <v>4</v>
      </c>
      <c r="W477" s="4" t="s">
        <v>6067</v>
      </c>
      <c r="X477" s="4" t="s">
        <v>6067</v>
      </c>
      <c r="Y477" s="4" t="s">
        <v>5022</v>
      </c>
      <c r="Z477" s="4" t="s">
        <v>5022</v>
      </c>
      <c r="AA477" s="3">
        <v>78</v>
      </c>
      <c r="AB477" s="3">
        <v>70</v>
      </c>
      <c r="AC477" s="3">
        <v>76</v>
      </c>
      <c r="AD477" s="3">
        <v>1</v>
      </c>
      <c r="AE477" s="3">
        <v>1</v>
      </c>
      <c r="AF477" s="3">
        <v>1</v>
      </c>
      <c r="AG477" s="3">
        <v>1</v>
      </c>
      <c r="AH477" s="3">
        <v>0</v>
      </c>
      <c r="AI477" s="3">
        <v>0</v>
      </c>
      <c r="AJ477" s="3">
        <v>0</v>
      </c>
      <c r="AK477" s="3">
        <v>0</v>
      </c>
      <c r="AL477" s="3">
        <v>1</v>
      </c>
      <c r="AM477" s="3">
        <v>1</v>
      </c>
      <c r="AN477" s="3">
        <v>0</v>
      </c>
      <c r="AO477" s="3">
        <v>0</v>
      </c>
      <c r="AP477" s="3">
        <v>0</v>
      </c>
      <c r="AQ477" s="3">
        <v>0</v>
      </c>
      <c r="AR477" s="2" t="s">
        <v>92</v>
      </c>
      <c r="AS477" s="2" t="s">
        <v>63</v>
      </c>
      <c r="AT477" s="5" t="str">
        <f>HYPERLINK("http://catalog.hathitrust.org/Record/001582155","HathiTrust Record")</f>
        <v>HathiTrust Record</v>
      </c>
      <c r="AU477" s="5" t="str">
        <f>HYPERLINK("https://creighton-primo.hosted.exlibrisgroup.com/primo-explore/search?tab=default_tab&amp;search_scope=EVERYTHING&amp;vid=01CRU&amp;lang=en_US&amp;offset=0&amp;query=any,contains,991000962199702656","Catalog Record")</f>
        <v>Catalog Record</v>
      </c>
      <c r="AV477" s="5" t="str">
        <f>HYPERLINK("http://www.worldcat.org/oclc/374418","WorldCat Record")</f>
        <v>WorldCat Record</v>
      </c>
      <c r="AW477" s="2" t="s">
        <v>6126</v>
      </c>
      <c r="AX477" s="2" t="s">
        <v>6127</v>
      </c>
      <c r="AY477" s="2" t="s">
        <v>6128</v>
      </c>
      <c r="AZ477" s="2" t="s">
        <v>6128</v>
      </c>
      <c r="BA477" s="2" t="s">
        <v>6129</v>
      </c>
      <c r="BB477" s="2" t="s">
        <v>79</v>
      </c>
      <c r="BE477" s="2" t="s">
        <v>6130</v>
      </c>
      <c r="BF477" s="2" t="s">
        <v>6131</v>
      </c>
    </row>
    <row r="478" spans="1:58" ht="46.5" customHeight="1">
      <c r="A478" s="1"/>
      <c r="B478" s="1" t="s">
        <v>58</v>
      </c>
      <c r="C478" s="1" t="s">
        <v>59</v>
      </c>
      <c r="D478" s="1" t="s">
        <v>6132</v>
      </c>
      <c r="E478" s="1" t="s">
        <v>6133</v>
      </c>
      <c r="F478" s="1" t="s">
        <v>6134</v>
      </c>
      <c r="H478" s="2" t="s">
        <v>63</v>
      </c>
      <c r="I478" s="2" t="s">
        <v>64</v>
      </c>
      <c r="J478" s="2" t="s">
        <v>63</v>
      </c>
      <c r="K478" s="2" t="s">
        <v>92</v>
      </c>
      <c r="L478" s="2" t="s">
        <v>65</v>
      </c>
      <c r="M478" s="1" t="s">
        <v>6135</v>
      </c>
      <c r="N478" s="1" t="s">
        <v>6136</v>
      </c>
      <c r="O478" s="2" t="s">
        <v>1201</v>
      </c>
      <c r="P478" s="1" t="s">
        <v>230</v>
      </c>
      <c r="Q478" s="2" t="s">
        <v>70</v>
      </c>
      <c r="R478" s="2" t="s">
        <v>691</v>
      </c>
      <c r="S478" s="1" t="s">
        <v>6137</v>
      </c>
      <c r="T478" s="2" t="s">
        <v>72</v>
      </c>
      <c r="U478" s="3">
        <v>12</v>
      </c>
      <c r="V478" s="3">
        <v>12</v>
      </c>
      <c r="W478" s="4" t="s">
        <v>2483</v>
      </c>
      <c r="X478" s="4" t="s">
        <v>2483</v>
      </c>
      <c r="Y478" s="4" t="s">
        <v>6138</v>
      </c>
      <c r="Z478" s="4" t="s">
        <v>6138</v>
      </c>
      <c r="AA478" s="3">
        <v>304</v>
      </c>
      <c r="AB478" s="3">
        <v>260</v>
      </c>
      <c r="AC478" s="3">
        <v>575</v>
      </c>
      <c r="AD478" s="3">
        <v>2</v>
      </c>
      <c r="AE478" s="3">
        <v>3</v>
      </c>
      <c r="AF478" s="3">
        <v>4</v>
      </c>
      <c r="AG478" s="3">
        <v>12</v>
      </c>
      <c r="AH478" s="3">
        <v>1</v>
      </c>
      <c r="AI478" s="3">
        <v>4</v>
      </c>
      <c r="AJ478" s="3">
        <v>1</v>
      </c>
      <c r="AK478" s="3">
        <v>3</v>
      </c>
      <c r="AL478" s="3">
        <v>1</v>
      </c>
      <c r="AM478" s="3">
        <v>2</v>
      </c>
      <c r="AN478" s="3">
        <v>1</v>
      </c>
      <c r="AO478" s="3">
        <v>2</v>
      </c>
      <c r="AP478" s="3">
        <v>1</v>
      </c>
      <c r="AQ478" s="3">
        <v>2</v>
      </c>
      <c r="AR478" s="2" t="s">
        <v>63</v>
      </c>
      <c r="AS478" s="2" t="s">
        <v>92</v>
      </c>
      <c r="AT478" s="5" t="str">
        <f>HYPERLINK("http://catalog.hathitrust.org/Record/000707118","HathiTrust Record")</f>
        <v>HathiTrust Record</v>
      </c>
      <c r="AU478" s="5" t="str">
        <f>HYPERLINK("https://creighton-primo.hosted.exlibrisgroup.com/primo-explore/search?tab=default_tab&amp;search_scope=EVERYTHING&amp;vid=01CRU&amp;lang=en_US&amp;offset=0&amp;query=any,contains,991000499149702656","Catalog Record")</f>
        <v>Catalog Record</v>
      </c>
      <c r="AV478" s="5" t="str">
        <f>HYPERLINK("http://www.worldcat.org/oclc/3845104","WorldCat Record")</f>
        <v>WorldCat Record</v>
      </c>
      <c r="AW478" s="2" t="s">
        <v>6139</v>
      </c>
      <c r="AX478" s="2" t="s">
        <v>6140</v>
      </c>
      <c r="AY478" s="2" t="s">
        <v>6141</v>
      </c>
      <c r="AZ478" s="2" t="s">
        <v>6141</v>
      </c>
      <c r="BA478" s="2" t="s">
        <v>6142</v>
      </c>
      <c r="BB478" s="2" t="s">
        <v>79</v>
      </c>
      <c r="BD478" s="2" t="s">
        <v>6143</v>
      </c>
      <c r="BE478" s="2" t="s">
        <v>6144</v>
      </c>
      <c r="BF478" s="2" t="s">
        <v>6145</v>
      </c>
    </row>
    <row r="479" spans="1:58" ht="46.5" customHeight="1">
      <c r="A479" s="1"/>
      <c r="B479" s="1" t="s">
        <v>58</v>
      </c>
      <c r="C479" s="1" t="s">
        <v>59</v>
      </c>
      <c r="D479" s="1" t="s">
        <v>6146</v>
      </c>
      <c r="E479" s="1" t="s">
        <v>6147</v>
      </c>
      <c r="F479" s="1" t="s">
        <v>6148</v>
      </c>
      <c r="H479" s="2" t="s">
        <v>63</v>
      </c>
      <c r="I479" s="2" t="s">
        <v>64</v>
      </c>
      <c r="J479" s="2" t="s">
        <v>63</v>
      </c>
      <c r="K479" s="2" t="s">
        <v>92</v>
      </c>
      <c r="L479" s="2" t="s">
        <v>117</v>
      </c>
      <c r="N479" s="1" t="s">
        <v>6149</v>
      </c>
      <c r="O479" s="2" t="s">
        <v>1254</v>
      </c>
      <c r="P479" s="1" t="s">
        <v>88</v>
      </c>
      <c r="Q479" s="2" t="s">
        <v>70</v>
      </c>
      <c r="R479" s="2" t="s">
        <v>277</v>
      </c>
      <c r="T479" s="2" t="s">
        <v>72</v>
      </c>
      <c r="U479" s="3">
        <v>3</v>
      </c>
      <c r="V479" s="3">
        <v>3</v>
      </c>
      <c r="W479" s="4" t="s">
        <v>6150</v>
      </c>
      <c r="X479" s="4" t="s">
        <v>6150</v>
      </c>
      <c r="Y479" s="4" t="s">
        <v>6151</v>
      </c>
      <c r="Z479" s="4" t="s">
        <v>6151</v>
      </c>
      <c r="AA479" s="3">
        <v>635</v>
      </c>
      <c r="AB479" s="3">
        <v>484</v>
      </c>
      <c r="AC479" s="3">
        <v>1737</v>
      </c>
      <c r="AD479" s="3">
        <v>2</v>
      </c>
      <c r="AE479" s="3">
        <v>18</v>
      </c>
      <c r="AF479" s="3">
        <v>14</v>
      </c>
      <c r="AG479" s="3">
        <v>46</v>
      </c>
      <c r="AH479" s="3">
        <v>6</v>
      </c>
      <c r="AI479" s="3">
        <v>19</v>
      </c>
      <c r="AJ479" s="3">
        <v>3</v>
      </c>
      <c r="AK479" s="3">
        <v>8</v>
      </c>
      <c r="AL479" s="3">
        <v>6</v>
      </c>
      <c r="AM479" s="3">
        <v>18</v>
      </c>
      <c r="AN479" s="3">
        <v>1</v>
      </c>
      <c r="AO479" s="3">
        <v>11</v>
      </c>
      <c r="AP479" s="3">
        <v>0</v>
      </c>
      <c r="AQ479" s="3">
        <v>0</v>
      </c>
      <c r="AR479" s="2" t="s">
        <v>63</v>
      </c>
      <c r="AS479" s="2" t="s">
        <v>92</v>
      </c>
      <c r="AT479" s="5" t="str">
        <f>HYPERLINK("http://catalog.hathitrust.org/Record/004179502","HathiTrust Record")</f>
        <v>HathiTrust Record</v>
      </c>
      <c r="AU479" s="5" t="str">
        <f>HYPERLINK("https://creighton-primo.hosted.exlibrisgroup.com/primo-explore/search?tab=default_tab&amp;search_scope=EVERYTHING&amp;vid=01CRU&amp;lang=en_US&amp;offset=0&amp;query=any,contains,991000298519702656","Catalog Record")</f>
        <v>Catalog Record</v>
      </c>
      <c r="AV479" s="5" t="str">
        <f>HYPERLINK("http://www.worldcat.org/oclc/47965382","WorldCat Record")</f>
        <v>WorldCat Record</v>
      </c>
      <c r="AW479" s="2" t="s">
        <v>6152</v>
      </c>
      <c r="AX479" s="2" t="s">
        <v>6153</v>
      </c>
      <c r="AY479" s="2" t="s">
        <v>6154</v>
      </c>
      <c r="AZ479" s="2" t="s">
        <v>6154</v>
      </c>
      <c r="BA479" s="2" t="s">
        <v>6155</v>
      </c>
      <c r="BB479" s="2" t="s">
        <v>79</v>
      </c>
      <c r="BD479" s="2" t="s">
        <v>6156</v>
      </c>
      <c r="BE479" s="2" t="s">
        <v>6157</v>
      </c>
      <c r="BF479" s="2" t="s">
        <v>6158</v>
      </c>
    </row>
    <row r="480" spans="1:58" ht="46.5" customHeight="1">
      <c r="A480" s="1"/>
      <c r="B480" s="1" t="s">
        <v>58</v>
      </c>
      <c r="C480" s="1" t="s">
        <v>59</v>
      </c>
      <c r="D480" s="1" t="s">
        <v>6159</v>
      </c>
      <c r="E480" s="1" t="s">
        <v>6160</v>
      </c>
      <c r="F480" s="1" t="s">
        <v>6161</v>
      </c>
      <c r="H480" s="2" t="s">
        <v>63</v>
      </c>
      <c r="I480" s="2" t="s">
        <v>64</v>
      </c>
      <c r="J480" s="2" t="s">
        <v>63</v>
      </c>
      <c r="K480" s="2" t="s">
        <v>63</v>
      </c>
      <c r="L480" s="2" t="s">
        <v>65</v>
      </c>
      <c r="N480" s="1" t="s">
        <v>6162</v>
      </c>
      <c r="O480" s="2" t="s">
        <v>172</v>
      </c>
      <c r="Q480" s="2" t="s">
        <v>70</v>
      </c>
      <c r="R480" s="2" t="s">
        <v>89</v>
      </c>
      <c r="T480" s="2" t="s">
        <v>72</v>
      </c>
      <c r="U480" s="3">
        <v>36</v>
      </c>
      <c r="V480" s="3">
        <v>36</v>
      </c>
      <c r="W480" s="4" t="s">
        <v>6163</v>
      </c>
      <c r="X480" s="4" t="s">
        <v>6163</v>
      </c>
      <c r="Y480" s="4" t="s">
        <v>6164</v>
      </c>
      <c r="Z480" s="4" t="s">
        <v>6164</v>
      </c>
      <c r="AA480" s="3">
        <v>237</v>
      </c>
      <c r="AB480" s="3">
        <v>195</v>
      </c>
      <c r="AC480" s="3">
        <v>582</v>
      </c>
      <c r="AD480" s="3">
        <v>2</v>
      </c>
      <c r="AE480" s="3">
        <v>4</v>
      </c>
      <c r="AF480" s="3">
        <v>2</v>
      </c>
      <c r="AG480" s="3">
        <v>16</v>
      </c>
      <c r="AH480" s="3">
        <v>0</v>
      </c>
      <c r="AI480" s="3">
        <v>6</v>
      </c>
      <c r="AJ480" s="3">
        <v>0</v>
      </c>
      <c r="AK480" s="3">
        <v>4</v>
      </c>
      <c r="AL480" s="3">
        <v>0</v>
      </c>
      <c r="AM480" s="3">
        <v>6</v>
      </c>
      <c r="AN480" s="3">
        <v>1</v>
      </c>
      <c r="AO480" s="3">
        <v>2</v>
      </c>
      <c r="AP480" s="3">
        <v>1</v>
      </c>
      <c r="AQ480" s="3">
        <v>1</v>
      </c>
      <c r="AR480" s="2" t="s">
        <v>63</v>
      </c>
      <c r="AS480" s="2" t="s">
        <v>92</v>
      </c>
      <c r="AT480" s="5" t="str">
        <f>HYPERLINK("http://catalog.hathitrust.org/Record/000279432","HathiTrust Record")</f>
        <v>HathiTrust Record</v>
      </c>
      <c r="AU480" s="5" t="str">
        <f>HYPERLINK("https://creighton-primo.hosted.exlibrisgroup.com/primo-explore/search?tab=default_tab&amp;search_scope=EVERYTHING&amp;vid=01CRU&amp;lang=en_US&amp;offset=0&amp;query=any,contains,991000962929702656","Catalog Record")</f>
        <v>Catalog Record</v>
      </c>
      <c r="AV480" s="5" t="str">
        <f>HYPERLINK("http://www.worldcat.org/oclc/8284278","WorldCat Record")</f>
        <v>WorldCat Record</v>
      </c>
      <c r="AW480" s="2" t="s">
        <v>6165</v>
      </c>
      <c r="AX480" s="2" t="s">
        <v>6166</v>
      </c>
      <c r="AY480" s="2" t="s">
        <v>6167</v>
      </c>
      <c r="AZ480" s="2" t="s">
        <v>6167</v>
      </c>
      <c r="BA480" s="2" t="s">
        <v>6168</v>
      </c>
      <c r="BB480" s="2" t="s">
        <v>79</v>
      </c>
      <c r="BD480" s="2" t="s">
        <v>6169</v>
      </c>
      <c r="BE480" s="2" t="s">
        <v>6170</v>
      </c>
      <c r="BF480" s="2" t="s">
        <v>6171</v>
      </c>
    </row>
    <row r="481" spans="1:58" ht="46.5" customHeight="1">
      <c r="A481" s="1"/>
      <c r="B481" s="1" t="s">
        <v>58</v>
      </c>
      <c r="C481" s="1" t="s">
        <v>59</v>
      </c>
      <c r="D481" s="1" t="s">
        <v>6172</v>
      </c>
      <c r="E481" s="1" t="s">
        <v>6173</v>
      </c>
      <c r="F481" s="1" t="s">
        <v>6174</v>
      </c>
      <c r="H481" s="2" t="s">
        <v>63</v>
      </c>
      <c r="I481" s="2" t="s">
        <v>64</v>
      </c>
      <c r="J481" s="2" t="s">
        <v>63</v>
      </c>
      <c r="K481" s="2" t="s">
        <v>92</v>
      </c>
      <c r="L481" s="2" t="s">
        <v>65</v>
      </c>
      <c r="N481" s="1" t="s">
        <v>6175</v>
      </c>
      <c r="O481" s="2" t="s">
        <v>829</v>
      </c>
      <c r="P481" s="1" t="s">
        <v>230</v>
      </c>
      <c r="Q481" s="2" t="s">
        <v>70</v>
      </c>
      <c r="R481" s="2" t="s">
        <v>470</v>
      </c>
      <c r="T481" s="2" t="s">
        <v>72</v>
      </c>
      <c r="U481" s="3">
        <v>6</v>
      </c>
      <c r="V481" s="3">
        <v>6</v>
      </c>
      <c r="W481" s="4" t="s">
        <v>471</v>
      </c>
      <c r="X481" s="4" t="s">
        <v>471</v>
      </c>
      <c r="Y481" s="4" t="s">
        <v>6176</v>
      </c>
      <c r="Z481" s="4" t="s">
        <v>6176</v>
      </c>
      <c r="AA481" s="3">
        <v>395</v>
      </c>
      <c r="AB481" s="3">
        <v>319</v>
      </c>
      <c r="AC481" s="3">
        <v>805</v>
      </c>
      <c r="AD481" s="3">
        <v>1</v>
      </c>
      <c r="AE481" s="3">
        <v>4</v>
      </c>
      <c r="AF481" s="3">
        <v>4</v>
      </c>
      <c r="AG481" s="3">
        <v>10</v>
      </c>
      <c r="AH481" s="3">
        <v>1</v>
      </c>
      <c r="AI481" s="3">
        <v>2</v>
      </c>
      <c r="AJ481" s="3">
        <v>3</v>
      </c>
      <c r="AK481" s="3">
        <v>5</v>
      </c>
      <c r="AL481" s="3">
        <v>3</v>
      </c>
      <c r="AM481" s="3">
        <v>4</v>
      </c>
      <c r="AN481" s="3">
        <v>0</v>
      </c>
      <c r="AO481" s="3">
        <v>2</v>
      </c>
      <c r="AP481" s="3">
        <v>0</v>
      </c>
      <c r="AQ481" s="3">
        <v>1</v>
      </c>
      <c r="AR481" s="2" t="s">
        <v>63</v>
      </c>
      <c r="AS481" s="2" t="s">
        <v>92</v>
      </c>
      <c r="AT481" s="5" t="str">
        <f>HYPERLINK("http://catalog.hathitrust.org/Record/000039960","HathiTrust Record")</f>
        <v>HathiTrust Record</v>
      </c>
      <c r="AU481" s="5" t="str">
        <f>HYPERLINK("https://creighton-primo.hosted.exlibrisgroup.com/primo-explore/search?tab=default_tab&amp;search_scope=EVERYTHING&amp;vid=01CRU&amp;lang=en_US&amp;offset=0&amp;query=any,contains,991001281629702656","Catalog Record")</f>
        <v>Catalog Record</v>
      </c>
      <c r="AV481" s="5" t="str">
        <f>HYPERLINK("http://www.worldcat.org/oclc/1341470","WorldCat Record")</f>
        <v>WorldCat Record</v>
      </c>
      <c r="AW481" s="2" t="s">
        <v>6177</v>
      </c>
      <c r="AX481" s="2" t="s">
        <v>6178</v>
      </c>
      <c r="AY481" s="2" t="s">
        <v>6179</v>
      </c>
      <c r="AZ481" s="2" t="s">
        <v>6179</v>
      </c>
      <c r="BA481" s="2" t="s">
        <v>6180</v>
      </c>
      <c r="BB481" s="2" t="s">
        <v>79</v>
      </c>
      <c r="BD481" s="2" t="s">
        <v>6181</v>
      </c>
      <c r="BE481" s="2" t="s">
        <v>6182</v>
      </c>
      <c r="BF481" s="2" t="s">
        <v>6183</v>
      </c>
    </row>
    <row r="482" spans="1:58" ht="46.5" customHeight="1">
      <c r="A482" s="1"/>
      <c r="B482" s="1" t="s">
        <v>58</v>
      </c>
      <c r="C482" s="1" t="s">
        <v>59</v>
      </c>
      <c r="D482" s="1" t="s">
        <v>6184</v>
      </c>
      <c r="E482" s="1" t="s">
        <v>6185</v>
      </c>
      <c r="F482" s="1" t="s">
        <v>6186</v>
      </c>
      <c r="H482" s="2" t="s">
        <v>63</v>
      </c>
      <c r="I482" s="2" t="s">
        <v>64</v>
      </c>
      <c r="J482" s="2" t="s">
        <v>63</v>
      </c>
      <c r="K482" s="2" t="s">
        <v>63</v>
      </c>
      <c r="L482" s="2" t="s">
        <v>65</v>
      </c>
      <c r="N482" s="1" t="s">
        <v>6187</v>
      </c>
      <c r="O482" s="2" t="s">
        <v>119</v>
      </c>
      <c r="Q482" s="2" t="s">
        <v>70</v>
      </c>
      <c r="R482" s="2" t="s">
        <v>89</v>
      </c>
      <c r="T482" s="2" t="s">
        <v>72</v>
      </c>
      <c r="U482" s="3">
        <v>13</v>
      </c>
      <c r="V482" s="3">
        <v>13</v>
      </c>
      <c r="W482" s="4" t="s">
        <v>6188</v>
      </c>
      <c r="X482" s="4" t="s">
        <v>6188</v>
      </c>
      <c r="Y482" s="4" t="s">
        <v>5022</v>
      </c>
      <c r="Z482" s="4" t="s">
        <v>5022</v>
      </c>
      <c r="AA482" s="3">
        <v>209</v>
      </c>
      <c r="AB482" s="3">
        <v>163</v>
      </c>
      <c r="AC482" s="3">
        <v>166</v>
      </c>
      <c r="AD482" s="3">
        <v>2</v>
      </c>
      <c r="AE482" s="3">
        <v>2</v>
      </c>
      <c r="AF482" s="3">
        <v>4</v>
      </c>
      <c r="AG482" s="3">
        <v>4</v>
      </c>
      <c r="AH482" s="3">
        <v>2</v>
      </c>
      <c r="AI482" s="3">
        <v>2</v>
      </c>
      <c r="AJ482" s="3">
        <v>1</v>
      </c>
      <c r="AK482" s="3">
        <v>1</v>
      </c>
      <c r="AL482" s="3">
        <v>1</v>
      </c>
      <c r="AM482" s="3">
        <v>1</v>
      </c>
      <c r="AN482" s="3">
        <v>1</v>
      </c>
      <c r="AO482" s="3">
        <v>1</v>
      </c>
      <c r="AP482" s="3">
        <v>0</v>
      </c>
      <c r="AQ482" s="3">
        <v>0</v>
      </c>
      <c r="AR482" s="2" t="s">
        <v>63</v>
      </c>
      <c r="AS482" s="2" t="s">
        <v>92</v>
      </c>
      <c r="AT482" s="5" t="str">
        <f>HYPERLINK("http://catalog.hathitrust.org/Record/000148178","HathiTrust Record")</f>
        <v>HathiTrust Record</v>
      </c>
      <c r="AU482" s="5" t="str">
        <f>HYPERLINK("https://creighton-primo.hosted.exlibrisgroup.com/primo-explore/search?tab=default_tab&amp;search_scope=EVERYTHING&amp;vid=01CRU&amp;lang=en_US&amp;offset=0&amp;query=any,contains,991001006529702656","Catalog Record")</f>
        <v>Catalog Record</v>
      </c>
      <c r="AV482" s="5" t="str">
        <f>HYPERLINK("http://www.worldcat.org/oclc/8111248","WorldCat Record")</f>
        <v>WorldCat Record</v>
      </c>
      <c r="AW482" s="2" t="s">
        <v>6189</v>
      </c>
      <c r="AX482" s="2" t="s">
        <v>6190</v>
      </c>
      <c r="AY482" s="2" t="s">
        <v>6191</v>
      </c>
      <c r="AZ482" s="2" t="s">
        <v>6191</v>
      </c>
      <c r="BA482" s="2" t="s">
        <v>6192</v>
      </c>
      <c r="BB482" s="2" t="s">
        <v>79</v>
      </c>
      <c r="BD482" s="2" t="s">
        <v>6193</v>
      </c>
      <c r="BE482" s="2" t="s">
        <v>6194</v>
      </c>
      <c r="BF482" s="2" t="s">
        <v>6195</v>
      </c>
    </row>
    <row r="483" spans="1:58" ht="46.5" customHeight="1">
      <c r="A483" s="1"/>
      <c r="B483" s="1" t="s">
        <v>58</v>
      </c>
      <c r="C483" s="1" t="s">
        <v>59</v>
      </c>
      <c r="D483" s="1" t="s">
        <v>6196</v>
      </c>
      <c r="E483" s="1" t="s">
        <v>6197</v>
      </c>
      <c r="F483" s="1" t="s">
        <v>6198</v>
      </c>
      <c r="G483" s="2" t="s">
        <v>6199</v>
      </c>
      <c r="H483" s="2" t="s">
        <v>63</v>
      </c>
      <c r="I483" s="2" t="s">
        <v>64</v>
      </c>
      <c r="J483" s="2" t="s">
        <v>63</v>
      </c>
      <c r="K483" s="2" t="s">
        <v>92</v>
      </c>
      <c r="L483" s="2" t="s">
        <v>65</v>
      </c>
      <c r="M483" s="1" t="s">
        <v>2627</v>
      </c>
      <c r="N483" s="1" t="s">
        <v>6200</v>
      </c>
      <c r="O483" s="2" t="s">
        <v>172</v>
      </c>
      <c r="P483" s="1" t="s">
        <v>2614</v>
      </c>
      <c r="Q483" s="2" t="s">
        <v>70</v>
      </c>
      <c r="R483" s="2" t="s">
        <v>89</v>
      </c>
      <c r="S483" s="1" t="s">
        <v>120</v>
      </c>
      <c r="T483" s="2" t="s">
        <v>72</v>
      </c>
      <c r="U483" s="3">
        <v>30</v>
      </c>
      <c r="V483" s="3">
        <v>30</v>
      </c>
      <c r="W483" s="4" t="s">
        <v>6201</v>
      </c>
      <c r="X483" s="4" t="s">
        <v>6201</v>
      </c>
      <c r="Y483" s="4" t="s">
        <v>5022</v>
      </c>
      <c r="Z483" s="4" t="s">
        <v>5022</v>
      </c>
      <c r="AA483" s="3">
        <v>412</v>
      </c>
      <c r="AB483" s="3">
        <v>339</v>
      </c>
      <c r="AC483" s="3">
        <v>1136</v>
      </c>
      <c r="AD483" s="3">
        <v>2</v>
      </c>
      <c r="AE483" s="3">
        <v>7</v>
      </c>
      <c r="AF483" s="3">
        <v>4</v>
      </c>
      <c r="AG483" s="3">
        <v>15</v>
      </c>
      <c r="AH483" s="3">
        <v>1</v>
      </c>
      <c r="AI483" s="3">
        <v>5</v>
      </c>
      <c r="AJ483" s="3">
        <v>1</v>
      </c>
      <c r="AK483" s="3">
        <v>4</v>
      </c>
      <c r="AL483" s="3">
        <v>2</v>
      </c>
      <c r="AM483" s="3">
        <v>7</v>
      </c>
      <c r="AN483" s="3">
        <v>1</v>
      </c>
      <c r="AO483" s="3">
        <v>3</v>
      </c>
      <c r="AP483" s="3">
        <v>0</v>
      </c>
      <c r="AQ483" s="3">
        <v>0</v>
      </c>
      <c r="AR483" s="2" t="s">
        <v>63</v>
      </c>
      <c r="AS483" s="2" t="s">
        <v>92</v>
      </c>
      <c r="AT483" s="5" t="str">
        <f>HYPERLINK("http://catalog.hathitrust.org/Record/000152223","HathiTrust Record")</f>
        <v>HathiTrust Record</v>
      </c>
      <c r="AU483" s="5" t="str">
        <f>HYPERLINK("https://creighton-primo.hosted.exlibrisgroup.com/primo-explore/search?tab=default_tab&amp;search_scope=EVERYTHING&amp;vid=01CRU&amp;lang=en_US&amp;offset=0&amp;query=any,contains,991000748129702656","Catalog Record")</f>
        <v>Catalog Record</v>
      </c>
      <c r="AV483" s="5" t="str">
        <f>HYPERLINK("http://www.worldcat.org/oclc/9683943","WorldCat Record")</f>
        <v>WorldCat Record</v>
      </c>
      <c r="AW483" s="2" t="s">
        <v>2633</v>
      </c>
      <c r="AX483" s="2" t="s">
        <v>6202</v>
      </c>
      <c r="AY483" s="2" t="s">
        <v>6203</v>
      </c>
      <c r="AZ483" s="2" t="s">
        <v>6203</v>
      </c>
      <c r="BA483" s="2" t="s">
        <v>6204</v>
      </c>
      <c r="BB483" s="2" t="s">
        <v>79</v>
      </c>
      <c r="BD483" s="2" t="s">
        <v>6205</v>
      </c>
      <c r="BE483" s="2" t="s">
        <v>6206</v>
      </c>
      <c r="BF483" s="2" t="s">
        <v>6207</v>
      </c>
    </row>
    <row r="484" spans="1:58" ht="46.5" customHeight="1">
      <c r="A484" s="1"/>
      <c r="B484" s="1" t="s">
        <v>58</v>
      </c>
      <c r="C484" s="1" t="s">
        <v>59</v>
      </c>
      <c r="D484" s="1" t="s">
        <v>6208</v>
      </c>
      <c r="E484" s="1" t="s">
        <v>6209</v>
      </c>
      <c r="F484" s="1" t="s">
        <v>6210</v>
      </c>
      <c r="H484" s="2" t="s">
        <v>63</v>
      </c>
      <c r="I484" s="2" t="s">
        <v>64</v>
      </c>
      <c r="J484" s="2" t="s">
        <v>63</v>
      </c>
      <c r="K484" s="2" t="s">
        <v>92</v>
      </c>
      <c r="L484" s="2" t="s">
        <v>64</v>
      </c>
      <c r="N484" s="1" t="s">
        <v>6211</v>
      </c>
      <c r="O484" s="2" t="s">
        <v>1296</v>
      </c>
      <c r="P484" s="1" t="s">
        <v>1228</v>
      </c>
      <c r="Q484" s="2" t="s">
        <v>70</v>
      </c>
      <c r="R484" s="2" t="s">
        <v>277</v>
      </c>
      <c r="T484" s="2" t="s">
        <v>72</v>
      </c>
      <c r="U484" s="3">
        <v>5</v>
      </c>
      <c r="V484" s="3">
        <v>5</v>
      </c>
      <c r="W484" s="4" t="s">
        <v>6212</v>
      </c>
      <c r="X484" s="4" t="s">
        <v>6212</v>
      </c>
      <c r="Y484" s="4" t="s">
        <v>4814</v>
      </c>
      <c r="Z484" s="4" t="s">
        <v>4814</v>
      </c>
      <c r="AA484" s="3">
        <v>290</v>
      </c>
      <c r="AB484" s="3">
        <v>235</v>
      </c>
      <c r="AC484" s="3">
        <v>809</v>
      </c>
      <c r="AD484" s="3">
        <v>1</v>
      </c>
      <c r="AE484" s="3">
        <v>4</v>
      </c>
      <c r="AF484" s="3">
        <v>7</v>
      </c>
      <c r="AG484" s="3">
        <v>19</v>
      </c>
      <c r="AH484" s="3">
        <v>3</v>
      </c>
      <c r="AI484" s="3">
        <v>8</v>
      </c>
      <c r="AJ484" s="3">
        <v>2</v>
      </c>
      <c r="AK484" s="3">
        <v>4</v>
      </c>
      <c r="AL484" s="3">
        <v>2</v>
      </c>
      <c r="AM484" s="3">
        <v>7</v>
      </c>
      <c r="AN484" s="3">
        <v>0</v>
      </c>
      <c r="AO484" s="3">
        <v>2</v>
      </c>
      <c r="AP484" s="3">
        <v>0</v>
      </c>
      <c r="AQ484" s="3">
        <v>1</v>
      </c>
      <c r="AR484" s="2" t="s">
        <v>63</v>
      </c>
      <c r="AS484" s="2" t="s">
        <v>92</v>
      </c>
      <c r="AT484" s="5" t="str">
        <f>HYPERLINK("http://catalog.hathitrust.org/Record/004250759","HathiTrust Record")</f>
        <v>HathiTrust Record</v>
      </c>
      <c r="AU484" s="5" t="str">
        <f>HYPERLINK("https://creighton-primo.hosted.exlibrisgroup.com/primo-explore/search?tab=default_tab&amp;search_scope=EVERYTHING&amp;vid=01CRU&amp;lang=en_US&amp;offset=0&amp;query=any,contains,991000333899702656","Catalog Record")</f>
        <v>Catalog Record</v>
      </c>
      <c r="AV484" s="5" t="str">
        <f>HYPERLINK("http://www.worldcat.org/oclc/48177200","WorldCat Record")</f>
        <v>WorldCat Record</v>
      </c>
      <c r="AW484" s="2" t="s">
        <v>6213</v>
      </c>
      <c r="AX484" s="2" t="s">
        <v>6214</v>
      </c>
      <c r="AY484" s="2" t="s">
        <v>6215</v>
      </c>
      <c r="AZ484" s="2" t="s">
        <v>6215</v>
      </c>
      <c r="BA484" s="2" t="s">
        <v>6216</v>
      </c>
      <c r="BB484" s="2" t="s">
        <v>79</v>
      </c>
      <c r="BD484" s="2" t="s">
        <v>6217</v>
      </c>
      <c r="BE484" s="2" t="s">
        <v>6218</v>
      </c>
      <c r="BF484" s="2" t="s">
        <v>6219</v>
      </c>
    </row>
    <row r="485" spans="1:58" ht="46.5" customHeight="1">
      <c r="A485" s="1"/>
      <c r="B485" s="1" t="s">
        <v>58</v>
      </c>
      <c r="C485" s="1" t="s">
        <v>59</v>
      </c>
      <c r="D485" s="1" t="s">
        <v>6220</v>
      </c>
      <c r="E485" s="1" t="s">
        <v>6221</v>
      </c>
      <c r="F485" s="1" t="s">
        <v>6222</v>
      </c>
      <c r="H485" s="2" t="s">
        <v>63</v>
      </c>
      <c r="I485" s="2" t="s">
        <v>64</v>
      </c>
      <c r="J485" s="2" t="s">
        <v>63</v>
      </c>
      <c r="K485" s="2" t="s">
        <v>63</v>
      </c>
      <c r="L485" s="2" t="s">
        <v>65</v>
      </c>
      <c r="M485" s="1" t="s">
        <v>6223</v>
      </c>
      <c r="N485" s="1" t="s">
        <v>6224</v>
      </c>
      <c r="O485" s="2" t="s">
        <v>554</v>
      </c>
      <c r="P485" s="1" t="s">
        <v>259</v>
      </c>
      <c r="Q485" s="2" t="s">
        <v>70</v>
      </c>
      <c r="R485" s="2" t="s">
        <v>277</v>
      </c>
      <c r="T485" s="2" t="s">
        <v>72</v>
      </c>
      <c r="U485" s="3">
        <v>1</v>
      </c>
      <c r="V485" s="3">
        <v>1</v>
      </c>
      <c r="W485" s="4" t="s">
        <v>6225</v>
      </c>
      <c r="X485" s="4" t="s">
        <v>6225</v>
      </c>
      <c r="Y485" s="4" t="s">
        <v>6226</v>
      </c>
      <c r="Z485" s="4" t="s">
        <v>6226</v>
      </c>
      <c r="AA485" s="3">
        <v>192</v>
      </c>
      <c r="AB485" s="3">
        <v>128</v>
      </c>
      <c r="AC485" s="3">
        <v>257</v>
      </c>
      <c r="AD485" s="3">
        <v>1</v>
      </c>
      <c r="AE485" s="3">
        <v>1</v>
      </c>
      <c r="AF485" s="3">
        <v>3</v>
      </c>
      <c r="AG485" s="3">
        <v>7</v>
      </c>
      <c r="AH485" s="3">
        <v>2</v>
      </c>
      <c r="AI485" s="3">
        <v>4</v>
      </c>
      <c r="AJ485" s="3">
        <v>1</v>
      </c>
      <c r="AK485" s="3">
        <v>3</v>
      </c>
      <c r="AL485" s="3">
        <v>0</v>
      </c>
      <c r="AM485" s="3">
        <v>1</v>
      </c>
      <c r="AN485" s="3">
        <v>0</v>
      </c>
      <c r="AO485" s="3">
        <v>0</v>
      </c>
      <c r="AP485" s="3">
        <v>0</v>
      </c>
      <c r="AQ485" s="3">
        <v>0</v>
      </c>
      <c r="AR485" s="2" t="s">
        <v>63</v>
      </c>
      <c r="AS485" s="2" t="s">
        <v>63</v>
      </c>
      <c r="AU485" s="5" t="str">
        <f>HYPERLINK("https://creighton-primo.hosted.exlibrisgroup.com/primo-explore/search?tab=default_tab&amp;search_scope=EVERYTHING&amp;vid=01CRU&amp;lang=en_US&amp;offset=0&amp;query=any,contains,991000320899702656","Catalog Record")</f>
        <v>Catalog Record</v>
      </c>
      <c r="AV485" s="5" t="str">
        <f>HYPERLINK("http://www.worldcat.org/oclc/28965101","WorldCat Record")</f>
        <v>WorldCat Record</v>
      </c>
      <c r="AW485" s="2" t="s">
        <v>6227</v>
      </c>
      <c r="AX485" s="2" t="s">
        <v>6228</v>
      </c>
      <c r="AY485" s="2" t="s">
        <v>6229</v>
      </c>
      <c r="AZ485" s="2" t="s">
        <v>6229</v>
      </c>
      <c r="BA485" s="2" t="s">
        <v>6230</v>
      </c>
      <c r="BB485" s="2" t="s">
        <v>79</v>
      </c>
      <c r="BD485" s="2" t="s">
        <v>6231</v>
      </c>
      <c r="BE485" s="2" t="s">
        <v>6232</v>
      </c>
      <c r="BF485" s="2" t="s">
        <v>6233</v>
      </c>
    </row>
    <row r="486" spans="1:58" ht="46.5" customHeight="1">
      <c r="A486" s="1"/>
      <c r="B486" s="1" t="s">
        <v>58</v>
      </c>
      <c r="C486" s="1" t="s">
        <v>59</v>
      </c>
      <c r="D486" s="1" t="s">
        <v>6234</v>
      </c>
      <c r="E486" s="1" t="s">
        <v>6235</v>
      </c>
      <c r="F486" s="1" t="s">
        <v>6236</v>
      </c>
      <c r="H486" s="2" t="s">
        <v>63</v>
      </c>
      <c r="I486" s="2" t="s">
        <v>64</v>
      </c>
      <c r="J486" s="2" t="s">
        <v>63</v>
      </c>
      <c r="K486" s="2" t="s">
        <v>63</v>
      </c>
      <c r="L486" s="2" t="s">
        <v>65</v>
      </c>
      <c r="M486" s="1" t="s">
        <v>6237</v>
      </c>
      <c r="N486" s="1" t="s">
        <v>6238</v>
      </c>
      <c r="O486" s="2" t="s">
        <v>814</v>
      </c>
      <c r="Q486" s="2" t="s">
        <v>70</v>
      </c>
      <c r="R486" s="2" t="s">
        <v>377</v>
      </c>
      <c r="S486" s="1" t="s">
        <v>6239</v>
      </c>
      <c r="T486" s="2" t="s">
        <v>72</v>
      </c>
      <c r="U486" s="3">
        <v>5</v>
      </c>
      <c r="V486" s="3">
        <v>5</v>
      </c>
      <c r="W486" s="4" t="s">
        <v>6240</v>
      </c>
      <c r="X486" s="4" t="s">
        <v>6240</v>
      </c>
      <c r="Y486" s="4" t="s">
        <v>6241</v>
      </c>
      <c r="Z486" s="4" t="s">
        <v>6241</v>
      </c>
      <c r="AA486" s="3">
        <v>164</v>
      </c>
      <c r="AB486" s="3">
        <v>97</v>
      </c>
      <c r="AC486" s="3">
        <v>148</v>
      </c>
      <c r="AD486" s="3">
        <v>1</v>
      </c>
      <c r="AE486" s="3">
        <v>1</v>
      </c>
      <c r="AF486" s="3">
        <v>1</v>
      </c>
      <c r="AG486" s="3">
        <v>3</v>
      </c>
      <c r="AH486" s="3">
        <v>0</v>
      </c>
      <c r="AI486" s="3">
        <v>1</v>
      </c>
      <c r="AJ486" s="3">
        <v>1</v>
      </c>
      <c r="AK486" s="3">
        <v>2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2" t="s">
        <v>63</v>
      </c>
      <c r="AS486" s="2" t="s">
        <v>63</v>
      </c>
      <c r="AU486" s="5" t="str">
        <f>HYPERLINK("https://creighton-primo.hosted.exlibrisgroup.com/primo-explore/search?tab=default_tab&amp;search_scope=EVERYTHING&amp;vid=01CRU&amp;lang=en_US&amp;offset=0&amp;query=any,contains,991001565289702656","Catalog Record")</f>
        <v>Catalog Record</v>
      </c>
      <c r="AV486" s="5" t="str">
        <f>HYPERLINK("http://www.worldcat.org/oclc/47013533","WorldCat Record")</f>
        <v>WorldCat Record</v>
      </c>
      <c r="AW486" s="2" t="s">
        <v>6242</v>
      </c>
      <c r="AX486" s="2" t="s">
        <v>6243</v>
      </c>
      <c r="AY486" s="2" t="s">
        <v>6244</v>
      </c>
      <c r="AZ486" s="2" t="s">
        <v>6244</v>
      </c>
      <c r="BA486" s="2" t="s">
        <v>6245</v>
      </c>
      <c r="BB486" s="2" t="s">
        <v>79</v>
      </c>
      <c r="BD486" s="2" t="s">
        <v>6246</v>
      </c>
      <c r="BE486" s="2" t="s">
        <v>6247</v>
      </c>
      <c r="BF486" s="2" t="s">
        <v>6248</v>
      </c>
    </row>
    <row r="487" spans="1:58" ht="46.5" customHeight="1">
      <c r="A487" s="1"/>
      <c r="B487" s="1" t="s">
        <v>58</v>
      </c>
      <c r="C487" s="1" t="s">
        <v>59</v>
      </c>
      <c r="D487" s="1" t="s">
        <v>6249</v>
      </c>
      <c r="E487" s="1" t="s">
        <v>6250</v>
      </c>
      <c r="F487" s="1" t="s">
        <v>6251</v>
      </c>
      <c r="H487" s="2" t="s">
        <v>63</v>
      </c>
      <c r="I487" s="2" t="s">
        <v>64</v>
      </c>
      <c r="J487" s="2" t="s">
        <v>63</v>
      </c>
      <c r="K487" s="2" t="s">
        <v>63</v>
      </c>
      <c r="L487" s="2" t="s">
        <v>65</v>
      </c>
      <c r="M487" s="1" t="s">
        <v>6252</v>
      </c>
      <c r="N487" s="1" t="s">
        <v>6253</v>
      </c>
      <c r="O487" s="2" t="s">
        <v>718</v>
      </c>
      <c r="P487" s="1" t="s">
        <v>6254</v>
      </c>
      <c r="Q487" s="2" t="s">
        <v>70</v>
      </c>
      <c r="R487" s="2" t="s">
        <v>260</v>
      </c>
      <c r="T487" s="2" t="s">
        <v>72</v>
      </c>
      <c r="U487" s="3">
        <v>7</v>
      </c>
      <c r="V487" s="3">
        <v>7</v>
      </c>
      <c r="W487" s="4" t="s">
        <v>6255</v>
      </c>
      <c r="X487" s="4" t="s">
        <v>6255</v>
      </c>
      <c r="Y487" s="4" t="s">
        <v>6138</v>
      </c>
      <c r="Z487" s="4" t="s">
        <v>6138</v>
      </c>
      <c r="AA487" s="3">
        <v>375</v>
      </c>
      <c r="AB487" s="3">
        <v>299</v>
      </c>
      <c r="AC487" s="3">
        <v>437</v>
      </c>
      <c r="AD487" s="3">
        <v>1</v>
      </c>
      <c r="AE487" s="3">
        <v>1</v>
      </c>
      <c r="AF487" s="3">
        <v>8</v>
      </c>
      <c r="AG487" s="3">
        <v>9</v>
      </c>
      <c r="AH487" s="3">
        <v>1</v>
      </c>
      <c r="AI487" s="3">
        <v>1</v>
      </c>
      <c r="AJ487" s="3">
        <v>4</v>
      </c>
      <c r="AK487" s="3">
        <v>4</v>
      </c>
      <c r="AL487" s="3">
        <v>5</v>
      </c>
      <c r="AM487" s="3">
        <v>6</v>
      </c>
      <c r="AN487" s="3">
        <v>0</v>
      </c>
      <c r="AO487" s="3">
        <v>0</v>
      </c>
      <c r="AP487" s="3">
        <v>0</v>
      </c>
      <c r="AQ487" s="3">
        <v>0</v>
      </c>
      <c r="AR487" s="2" t="s">
        <v>63</v>
      </c>
      <c r="AS487" s="2" t="s">
        <v>92</v>
      </c>
      <c r="AT487" s="5" t="str">
        <f>HYPERLINK("http://catalog.hathitrust.org/Record/000137169","HathiTrust Record")</f>
        <v>HathiTrust Record</v>
      </c>
      <c r="AU487" s="5" t="str">
        <f>HYPERLINK("https://creighton-primo.hosted.exlibrisgroup.com/primo-explore/search?tab=default_tab&amp;search_scope=EVERYTHING&amp;vid=01CRU&amp;lang=en_US&amp;offset=0&amp;query=any,contains,991000962759702656","Catalog Record")</f>
        <v>Catalog Record</v>
      </c>
      <c r="AV487" s="5" t="str">
        <f>HYPERLINK("http://www.worldcat.org/oclc/3892709","WorldCat Record")</f>
        <v>WorldCat Record</v>
      </c>
      <c r="AW487" s="2" t="s">
        <v>6256</v>
      </c>
      <c r="AX487" s="2" t="s">
        <v>6257</v>
      </c>
      <c r="AY487" s="2" t="s">
        <v>6258</v>
      </c>
      <c r="AZ487" s="2" t="s">
        <v>6258</v>
      </c>
      <c r="BA487" s="2" t="s">
        <v>6259</v>
      </c>
      <c r="BB487" s="2" t="s">
        <v>79</v>
      </c>
      <c r="BD487" s="2" t="s">
        <v>6260</v>
      </c>
      <c r="BE487" s="2" t="s">
        <v>6261</v>
      </c>
      <c r="BF487" s="2" t="s">
        <v>6262</v>
      </c>
    </row>
    <row r="488" spans="1:58" ht="46.5" customHeight="1">
      <c r="A488" s="1"/>
      <c r="B488" s="1" t="s">
        <v>58</v>
      </c>
      <c r="C488" s="1" t="s">
        <v>59</v>
      </c>
      <c r="D488" s="1" t="s">
        <v>6263</v>
      </c>
      <c r="E488" s="1" t="s">
        <v>6264</v>
      </c>
      <c r="F488" s="1" t="s">
        <v>6265</v>
      </c>
      <c r="H488" s="2" t="s">
        <v>63</v>
      </c>
      <c r="I488" s="2" t="s">
        <v>64</v>
      </c>
      <c r="J488" s="2" t="s">
        <v>63</v>
      </c>
      <c r="K488" s="2" t="s">
        <v>63</v>
      </c>
      <c r="L488" s="2" t="s">
        <v>65</v>
      </c>
      <c r="M488" s="1" t="s">
        <v>6266</v>
      </c>
      <c r="N488" s="1" t="s">
        <v>6267</v>
      </c>
      <c r="O488" s="2" t="s">
        <v>594</v>
      </c>
      <c r="P488" s="1" t="s">
        <v>259</v>
      </c>
      <c r="Q488" s="2" t="s">
        <v>70</v>
      </c>
      <c r="R488" s="2" t="s">
        <v>3037</v>
      </c>
      <c r="T488" s="2" t="s">
        <v>72</v>
      </c>
      <c r="U488" s="3">
        <v>3</v>
      </c>
      <c r="V488" s="3">
        <v>3</v>
      </c>
      <c r="W488" s="4" t="s">
        <v>6268</v>
      </c>
      <c r="X488" s="4" t="s">
        <v>6268</v>
      </c>
      <c r="Y488" s="4" t="s">
        <v>6269</v>
      </c>
      <c r="Z488" s="4" t="s">
        <v>6269</v>
      </c>
      <c r="AA488" s="3">
        <v>129</v>
      </c>
      <c r="AB488" s="3">
        <v>75</v>
      </c>
      <c r="AC488" s="3">
        <v>157</v>
      </c>
      <c r="AD488" s="3">
        <v>2</v>
      </c>
      <c r="AE488" s="3">
        <v>2</v>
      </c>
      <c r="AF488" s="3">
        <v>1</v>
      </c>
      <c r="AG488" s="3">
        <v>1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1</v>
      </c>
      <c r="AO488" s="3">
        <v>1</v>
      </c>
      <c r="AP488" s="3">
        <v>0</v>
      </c>
      <c r="AQ488" s="3">
        <v>0</v>
      </c>
      <c r="AR488" s="2" t="s">
        <v>63</v>
      </c>
      <c r="AS488" s="2" t="s">
        <v>92</v>
      </c>
      <c r="AT488" s="5" t="str">
        <f>HYPERLINK("http://catalog.hathitrust.org/Record/000039152","HathiTrust Record")</f>
        <v>HathiTrust Record</v>
      </c>
      <c r="AU488" s="5" t="str">
        <f>HYPERLINK("https://creighton-primo.hosted.exlibrisgroup.com/primo-explore/search?tab=default_tab&amp;search_scope=EVERYTHING&amp;vid=01CRU&amp;lang=en_US&amp;offset=0&amp;query=any,contains,991000962819702656","Catalog Record")</f>
        <v>Catalog Record</v>
      </c>
      <c r="AV488" s="5" t="str">
        <f>HYPERLINK("http://www.worldcat.org/oclc/1157661","WorldCat Record")</f>
        <v>WorldCat Record</v>
      </c>
      <c r="AW488" s="2" t="s">
        <v>6270</v>
      </c>
      <c r="AX488" s="2" t="s">
        <v>6271</v>
      </c>
      <c r="AY488" s="2" t="s">
        <v>6272</v>
      </c>
      <c r="AZ488" s="2" t="s">
        <v>6272</v>
      </c>
      <c r="BA488" s="2" t="s">
        <v>6273</v>
      </c>
      <c r="BB488" s="2" t="s">
        <v>79</v>
      </c>
      <c r="BD488" s="2" t="s">
        <v>6274</v>
      </c>
      <c r="BE488" s="2" t="s">
        <v>6275</v>
      </c>
      <c r="BF488" s="2" t="s">
        <v>6276</v>
      </c>
    </row>
    <row r="489" spans="1:58" ht="46.5" customHeight="1">
      <c r="A489" s="1"/>
      <c r="B489" s="1" t="s">
        <v>58</v>
      </c>
      <c r="C489" s="1" t="s">
        <v>59</v>
      </c>
      <c r="D489" s="1" t="s">
        <v>6277</v>
      </c>
      <c r="E489" s="1" t="s">
        <v>6278</v>
      </c>
      <c r="F489" s="1" t="s">
        <v>6279</v>
      </c>
      <c r="H489" s="2" t="s">
        <v>63</v>
      </c>
      <c r="I489" s="2" t="s">
        <v>64</v>
      </c>
      <c r="J489" s="2" t="s">
        <v>63</v>
      </c>
      <c r="K489" s="2" t="s">
        <v>63</v>
      </c>
      <c r="L489" s="2" t="s">
        <v>65</v>
      </c>
      <c r="N489" s="1" t="s">
        <v>6280</v>
      </c>
      <c r="O489" s="2" t="s">
        <v>229</v>
      </c>
      <c r="P489" s="1" t="s">
        <v>157</v>
      </c>
      <c r="Q489" s="2" t="s">
        <v>70</v>
      </c>
      <c r="R489" s="2" t="s">
        <v>470</v>
      </c>
      <c r="T489" s="2" t="s">
        <v>72</v>
      </c>
      <c r="U489" s="3">
        <v>17</v>
      </c>
      <c r="V489" s="3">
        <v>17</v>
      </c>
      <c r="W489" s="4" t="s">
        <v>6281</v>
      </c>
      <c r="X489" s="4" t="s">
        <v>6281</v>
      </c>
      <c r="Y489" s="4" t="s">
        <v>582</v>
      </c>
      <c r="Z489" s="4" t="s">
        <v>582</v>
      </c>
      <c r="AA489" s="3">
        <v>341</v>
      </c>
      <c r="AB489" s="3">
        <v>268</v>
      </c>
      <c r="AC489" s="3">
        <v>274</v>
      </c>
      <c r="AD489" s="3">
        <v>2</v>
      </c>
      <c r="AE489" s="3">
        <v>2</v>
      </c>
      <c r="AF489" s="3">
        <v>4</v>
      </c>
      <c r="AG489" s="3">
        <v>5</v>
      </c>
      <c r="AH489" s="3">
        <v>1</v>
      </c>
      <c r="AI489" s="3">
        <v>1</v>
      </c>
      <c r="AJ489" s="3">
        <v>3</v>
      </c>
      <c r="AK489" s="3">
        <v>4</v>
      </c>
      <c r="AL489" s="3">
        <v>1</v>
      </c>
      <c r="AM489" s="3">
        <v>2</v>
      </c>
      <c r="AN489" s="3">
        <v>0</v>
      </c>
      <c r="AO489" s="3">
        <v>0</v>
      </c>
      <c r="AP489" s="3">
        <v>0</v>
      </c>
      <c r="AQ489" s="3">
        <v>0</v>
      </c>
      <c r="AR489" s="2" t="s">
        <v>63</v>
      </c>
      <c r="AS489" s="2" t="s">
        <v>63</v>
      </c>
      <c r="AU489" s="5" t="str">
        <f>HYPERLINK("https://creighton-primo.hosted.exlibrisgroup.com/primo-explore/search?tab=default_tab&amp;search_scope=EVERYTHING&amp;vid=01CRU&amp;lang=en_US&amp;offset=0&amp;query=any,contains,991000838819702656","Catalog Record")</f>
        <v>Catalog Record</v>
      </c>
      <c r="AV489" s="5" t="str">
        <f>HYPERLINK("http://www.worldcat.org/oclc/34471102","WorldCat Record")</f>
        <v>WorldCat Record</v>
      </c>
      <c r="AW489" s="2" t="s">
        <v>6282</v>
      </c>
      <c r="AX489" s="2" t="s">
        <v>6283</v>
      </c>
      <c r="AY489" s="2" t="s">
        <v>6284</v>
      </c>
      <c r="AZ489" s="2" t="s">
        <v>6284</v>
      </c>
      <c r="BA489" s="2" t="s">
        <v>6285</v>
      </c>
      <c r="BB489" s="2" t="s">
        <v>79</v>
      </c>
      <c r="BD489" s="2" t="s">
        <v>6286</v>
      </c>
      <c r="BE489" s="2" t="s">
        <v>6287</v>
      </c>
      <c r="BF489" s="2" t="s">
        <v>6288</v>
      </c>
    </row>
    <row r="490" spans="1:58" ht="46.5" customHeight="1">
      <c r="A490" s="1"/>
      <c r="B490" s="1" t="s">
        <v>58</v>
      </c>
      <c r="C490" s="1" t="s">
        <v>59</v>
      </c>
      <c r="D490" s="1" t="s">
        <v>6289</v>
      </c>
      <c r="E490" s="1" t="s">
        <v>6290</v>
      </c>
      <c r="F490" s="1" t="s">
        <v>6291</v>
      </c>
      <c r="H490" s="2" t="s">
        <v>63</v>
      </c>
      <c r="I490" s="2" t="s">
        <v>64</v>
      </c>
      <c r="J490" s="2" t="s">
        <v>63</v>
      </c>
      <c r="K490" s="2" t="s">
        <v>63</v>
      </c>
      <c r="L490" s="2" t="s">
        <v>65</v>
      </c>
      <c r="M490" s="1" t="s">
        <v>6292</v>
      </c>
      <c r="N490" s="1" t="s">
        <v>5437</v>
      </c>
      <c r="O490" s="2" t="s">
        <v>1175</v>
      </c>
      <c r="Q490" s="2" t="s">
        <v>70</v>
      </c>
      <c r="R490" s="2" t="s">
        <v>89</v>
      </c>
      <c r="T490" s="2" t="s">
        <v>72</v>
      </c>
      <c r="U490" s="3">
        <v>3</v>
      </c>
      <c r="V490" s="3">
        <v>3</v>
      </c>
      <c r="W490" s="4" t="s">
        <v>5567</v>
      </c>
      <c r="X490" s="4" t="s">
        <v>5567</v>
      </c>
      <c r="Y490" s="4" t="s">
        <v>5022</v>
      </c>
      <c r="Z490" s="4" t="s">
        <v>5022</v>
      </c>
      <c r="AA490" s="3">
        <v>221</v>
      </c>
      <c r="AB490" s="3">
        <v>177</v>
      </c>
      <c r="AC490" s="3">
        <v>186</v>
      </c>
      <c r="AD490" s="3">
        <v>2</v>
      </c>
      <c r="AE490" s="3">
        <v>2</v>
      </c>
      <c r="AF490" s="3">
        <v>4</v>
      </c>
      <c r="AG490" s="3">
        <v>4</v>
      </c>
      <c r="AH490" s="3">
        <v>3</v>
      </c>
      <c r="AI490" s="3">
        <v>3</v>
      </c>
      <c r="AJ490" s="3">
        <v>0</v>
      </c>
      <c r="AK490" s="3">
        <v>0</v>
      </c>
      <c r="AL490" s="3">
        <v>1</v>
      </c>
      <c r="AM490" s="3">
        <v>1</v>
      </c>
      <c r="AN490" s="3">
        <v>1</v>
      </c>
      <c r="AO490" s="3">
        <v>1</v>
      </c>
      <c r="AP490" s="3">
        <v>0</v>
      </c>
      <c r="AQ490" s="3">
        <v>0</v>
      </c>
      <c r="AR490" s="2" t="s">
        <v>63</v>
      </c>
      <c r="AS490" s="2" t="s">
        <v>92</v>
      </c>
      <c r="AT490" s="5" t="str">
        <f>HYPERLINK("http://catalog.hathitrust.org/Record/000101145","HathiTrust Record")</f>
        <v>HathiTrust Record</v>
      </c>
      <c r="AU490" s="5" t="str">
        <f>HYPERLINK("https://creighton-primo.hosted.exlibrisgroup.com/primo-explore/search?tab=default_tab&amp;search_scope=EVERYTHING&amp;vid=01CRU&amp;lang=en_US&amp;offset=0&amp;query=any,contains,991000962709702656","Catalog Record")</f>
        <v>Catalog Record</v>
      </c>
      <c r="AV490" s="5" t="str">
        <f>HYPERLINK("http://www.worldcat.org/oclc/6861807","WorldCat Record")</f>
        <v>WorldCat Record</v>
      </c>
      <c r="AW490" s="2" t="s">
        <v>6293</v>
      </c>
      <c r="AX490" s="2" t="s">
        <v>6294</v>
      </c>
      <c r="AY490" s="2" t="s">
        <v>6295</v>
      </c>
      <c r="AZ490" s="2" t="s">
        <v>6295</v>
      </c>
      <c r="BA490" s="2" t="s">
        <v>6296</v>
      </c>
      <c r="BB490" s="2" t="s">
        <v>79</v>
      </c>
      <c r="BD490" s="2" t="s">
        <v>6297</v>
      </c>
      <c r="BE490" s="2" t="s">
        <v>6298</v>
      </c>
      <c r="BF490" s="2" t="s">
        <v>6299</v>
      </c>
    </row>
    <row r="491" spans="1:58" ht="46.5" customHeight="1">
      <c r="A491" s="1"/>
      <c r="B491" s="1" t="s">
        <v>58</v>
      </c>
      <c r="C491" s="1" t="s">
        <v>59</v>
      </c>
      <c r="D491" s="1" t="s">
        <v>6300</v>
      </c>
      <c r="E491" s="1" t="s">
        <v>6301</v>
      </c>
      <c r="F491" s="1" t="s">
        <v>6302</v>
      </c>
      <c r="H491" s="2" t="s">
        <v>63</v>
      </c>
      <c r="I491" s="2" t="s">
        <v>64</v>
      </c>
      <c r="J491" s="2" t="s">
        <v>63</v>
      </c>
      <c r="K491" s="2" t="s">
        <v>63</v>
      </c>
      <c r="L491" s="2" t="s">
        <v>65</v>
      </c>
      <c r="M491" s="1" t="s">
        <v>6303</v>
      </c>
      <c r="N491" s="1" t="s">
        <v>5981</v>
      </c>
      <c r="O491" s="2" t="s">
        <v>1175</v>
      </c>
      <c r="Q491" s="2" t="s">
        <v>70</v>
      </c>
      <c r="R491" s="2" t="s">
        <v>277</v>
      </c>
      <c r="T491" s="2" t="s">
        <v>72</v>
      </c>
      <c r="U491" s="3">
        <v>14</v>
      </c>
      <c r="V491" s="3">
        <v>14</v>
      </c>
      <c r="W491" s="4" t="s">
        <v>6304</v>
      </c>
      <c r="X491" s="4" t="s">
        <v>6304</v>
      </c>
      <c r="Y491" s="4" t="s">
        <v>6138</v>
      </c>
      <c r="Z491" s="4" t="s">
        <v>6138</v>
      </c>
      <c r="AA491" s="3">
        <v>35</v>
      </c>
      <c r="AB491" s="3">
        <v>29</v>
      </c>
      <c r="AC491" s="3">
        <v>29</v>
      </c>
      <c r="AD491" s="3">
        <v>1</v>
      </c>
      <c r="AE491" s="3">
        <v>1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2" t="s">
        <v>63</v>
      </c>
      <c r="AS491" s="2" t="s">
        <v>63</v>
      </c>
      <c r="AU491" s="5" t="str">
        <f>HYPERLINK("https://creighton-primo.hosted.exlibrisgroup.com/primo-explore/search?tab=default_tab&amp;search_scope=EVERYTHING&amp;vid=01CRU&amp;lang=en_US&amp;offset=0&amp;query=any,contains,991000962669702656","Catalog Record")</f>
        <v>Catalog Record</v>
      </c>
      <c r="AV491" s="5" t="str">
        <f>HYPERLINK("http://www.worldcat.org/oclc/7554508","WorldCat Record")</f>
        <v>WorldCat Record</v>
      </c>
      <c r="AW491" s="2" t="s">
        <v>6305</v>
      </c>
      <c r="AX491" s="2" t="s">
        <v>6306</v>
      </c>
      <c r="AY491" s="2" t="s">
        <v>6307</v>
      </c>
      <c r="AZ491" s="2" t="s">
        <v>6307</v>
      </c>
      <c r="BA491" s="2" t="s">
        <v>6308</v>
      </c>
      <c r="BB491" s="2" t="s">
        <v>79</v>
      </c>
      <c r="BD491" s="2" t="s">
        <v>6309</v>
      </c>
      <c r="BE491" s="2" t="s">
        <v>6310</v>
      </c>
      <c r="BF491" s="2" t="s">
        <v>6311</v>
      </c>
    </row>
    <row r="492" spans="1:58" ht="46.5" customHeight="1">
      <c r="A492" s="1"/>
      <c r="B492" s="1" t="s">
        <v>58</v>
      </c>
      <c r="C492" s="1" t="s">
        <v>59</v>
      </c>
      <c r="D492" s="1" t="s">
        <v>6312</v>
      </c>
      <c r="E492" s="1" t="s">
        <v>6313</v>
      </c>
      <c r="F492" s="1" t="s">
        <v>6314</v>
      </c>
      <c r="H492" s="2" t="s">
        <v>63</v>
      </c>
      <c r="I492" s="2" t="s">
        <v>64</v>
      </c>
      <c r="J492" s="2" t="s">
        <v>63</v>
      </c>
      <c r="K492" s="2" t="s">
        <v>63</v>
      </c>
      <c r="L492" s="2" t="s">
        <v>65</v>
      </c>
      <c r="N492" s="1" t="s">
        <v>6315</v>
      </c>
      <c r="O492" s="2" t="s">
        <v>172</v>
      </c>
      <c r="Q492" s="2" t="s">
        <v>70</v>
      </c>
      <c r="R492" s="2" t="s">
        <v>470</v>
      </c>
      <c r="T492" s="2" t="s">
        <v>72</v>
      </c>
      <c r="U492" s="3">
        <v>7</v>
      </c>
      <c r="V492" s="3">
        <v>7</v>
      </c>
      <c r="W492" s="4" t="s">
        <v>4699</v>
      </c>
      <c r="X492" s="4" t="s">
        <v>4699</v>
      </c>
      <c r="Y492" s="4" t="s">
        <v>5022</v>
      </c>
      <c r="Z492" s="4" t="s">
        <v>5022</v>
      </c>
      <c r="AA492" s="3">
        <v>180</v>
      </c>
      <c r="AB492" s="3">
        <v>162</v>
      </c>
      <c r="AC492" s="3">
        <v>167</v>
      </c>
      <c r="AD492" s="3">
        <v>2</v>
      </c>
      <c r="AE492" s="3">
        <v>2</v>
      </c>
      <c r="AF492" s="3">
        <v>3</v>
      </c>
      <c r="AG492" s="3">
        <v>3</v>
      </c>
      <c r="AH492" s="3">
        <v>1</v>
      </c>
      <c r="AI492" s="3">
        <v>1</v>
      </c>
      <c r="AJ492" s="3">
        <v>1</v>
      </c>
      <c r="AK492" s="3">
        <v>1</v>
      </c>
      <c r="AL492" s="3">
        <v>2</v>
      </c>
      <c r="AM492" s="3">
        <v>2</v>
      </c>
      <c r="AN492" s="3">
        <v>1</v>
      </c>
      <c r="AO492" s="3">
        <v>1</v>
      </c>
      <c r="AP492" s="3">
        <v>0</v>
      </c>
      <c r="AQ492" s="3">
        <v>0</v>
      </c>
      <c r="AR492" s="2" t="s">
        <v>63</v>
      </c>
      <c r="AS492" s="2" t="s">
        <v>63</v>
      </c>
      <c r="AU492" s="5" t="str">
        <f>HYPERLINK("https://creighton-primo.hosted.exlibrisgroup.com/primo-explore/search?tab=default_tab&amp;search_scope=EVERYTHING&amp;vid=01CRU&amp;lang=en_US&amp;offset=0&amp;query=any,contains,991000962639702656","Catalog Record")</f>
        <v>Catalog Record</v>
      </c>
      <c r="AV492" s="5" t="str">
        <f>HYPERLINK("http://www.worldcat.org/oclc/8667547","WorldCat Record")</f>
        <v>WorldCat Record</v>
      </c>
      <c r="AW492" s="2" t="s">
        <v>6316</v>
      </c>
      <c r="AX492" s="2" t="s">
        <v>6317</v>
      </c>
      <c r="AY492" s="2" t="s">
        <v>6318</v>
      </c>
      <c r="AZ492" s="2" t="s">
        <v>6318</v>
      </c>
      <c r="BA492" s="2" t="s">
        <v>6319</v>
      </c>
      <c r="BB492" s="2" t="s">
        <v>79</v>
      </c>
      <c r="BD492" s="2" t="s">
        <v>6320</v>
      </c>
      <c r="BE492" s="2" t="s">
        <v>6321</v>
      </c>
      <c r="BF492" s="2" t="s">
        <v>6322</v>
      </c>
    </row>
    <row r="493" spans="1:58" ht="46.5" customHeight="1">
      <c r="A493" s="1"/>
      <c r="B493" s="1" t="s">
        <v>58</v>
      </c>
      <c r="C493" s="1" t="s">
        <v>59</v>
      </c>
      <c r="D493" s="1" t="s">
        <v>6323</v>
      </c>
      <c r="E493" s="1" t="s">
        <v>6324</v>
      </c>
      <c r="F493" s="1" t="s">
        <v>6325</v>
      </c>
      <c r="H493" s="2" t="s">
        <v>63</v>
      </c>
      <c r="I493" s="2" t="s">
        <v>64</v>
      </c>
      <c r="J493" s="2" t="s">
        <v>63</v>
      </c>
      <c r="K493" s="2" t="s">
        <v>92</v>
      </c>
      <c r="L493" s="2" t="s">
        <v>64</v>
      </c>
      <c r="N493" s="1" t="s">
        <v>6326</v>
      </c>
      <c r="O493" s="2" t="s">
        <v>407</v>
      </c>
      <c r="Q493" s="2" t="s">
        <v>70</v>
      </c>
      <c r="R493" s="2" t="s">
        <v>133</v>
      </c>
      <c r="S493" s="1" t="s">
        <v>6327</v>
      </c>
      <c r="T493" s="2" t="s">
        <v>72</v>
      </c>
      <c r="U493" s="3">
        <v>14</v>
      </c>
      <c r="V493" s="3">
        <v>14</v>
      </c>
      <c r="W493" s="4" t="s">
        <v>2631</v>
      </c>
      <c r="X493" s="4" t="s">
        <v>2631</v>
      </c>
      <c r="Y493" s="4" t="s">
        <v>6328</v>
      </c>
      <c r="Z493" s="4" t="s">
        <v>6328</v>
      </c>
      <c r="AA493" s="3">
        <v>118</v>
      </c>
      <c r="AB493" s="3">
        <v>97</v>
      </c>
      <c r="AC493" s="3">
        <v>988</v>
      </c>
      <c r="AD493" s="3">
        <v>1</v>
      </c>
      <c r="AE493" s="3">
        <v>9</v>
      </c>
      <c r="AF493" s="3">
        <v>0</v>
      </c>
      <c r="AG493" s="3">
        <v>36</v>
      </c>
      <c r="AH493" s="3">
        <v>0</v>
      </c>
      <c r="AI493" s="3">
        <v>10</v>
      </c>
      <c r="AJ493" s="3">
        <v>0</v>
      </c>
      <c r="AK493" s="3">
        <v>7</v>
      </c>
      <c r="AL493" s="3">
        <v>0</v>
      </c>
      <c r="AM493" s="3">
        <v>12</v>
      </c>
      <c r="AN493" s="3">
        <v>0</v>
      </c>
      <c r="AO493" s="3">
        <v>7</v>
      </c>
      <c r="AP493" s="3">
        <v>0</v>
      </c>
      <c r="AQ493" s="3">
        <v>4</v>
      </c>
      <c r="AR493" s="2" t="s">
        <v>63</v>
      </c>
      <c r="AS493" s="2" t="s">
        <v>63</v>
      </c>
      <c r="AU493" s="5" t="str">
        <f>HYPERLINK("https://creighton-primo.hosted.exlibrisgroup.com/primo-explore/search?tab=default_tab&amp;search_scope=EVERYTHING&amp;vid=01CRU&amp;lang=en_US&amp;offset=0&amp;query=any,contains,991000781099702656","Catalog Record")</f>
        <v>Catalog Record</v>
      </c>
      <c r="AV493" s="5" t="str">
        <f>HYPERLINK("http://www.worldcat.org/oclc/26318597","WorldCat Record")</f>
        <v>WorldCat Record</v>
      </c>
      <c r="AW493" s="2" t="s">
        <v>6329</v>
      </c>
      <c r="AX493" s="2" t="s">
        <v>6330</v>
      </c>
      <c r="AY493" s="2" t="s">
        <v>6331</v>
      </c>
      <c r="AZ493" s="2" t="s">
        <v>6331</v>
      </c>
      <c r="BA493" s="2" t="s">
        <v>6332</v>
      </c>
      <c r="BB493" s="2" t="s">
        <v>79</v>
      </c>
      <c r="BD493" s="2" t="s">
        <v>6333</v>
      </c>
      <c r="BE493" s="2" t="s">
        <v>6334</v>
      </c>
      <c r="BF493" s="2" t="s">
        <v>6335</v>
      </c>
    </row>
    <row r="494" spans="1:58" ht="46.5" customHeight="1">
      <c r="A494" s="1"/>
      <c r="B494" s="1" t="s">
        <v>58</v>
      </c>
      <c r="C494" s="1" t="s">
        <v>59</v>
      </c>
      <c r="D494" s="1" t="s">
        <v>6336</v>
      </c>
      <c r="E494" s="1" t="s">
        <v>6337</v>
      </c>
      <c r="F494" s="1" t="s">
        <v>6338</v>
      </c>
      <c r="H494" s="2" t="s">
        <v>63</v>
      </c>
      <c r="I494" s="2" t="s">
        <v>64</v>
      </c>
      <c r="J494" s="2" t="s">
        <v>63</v>
      </c>
      <c r="K494" s="2" t="s">
        <v>63</v>
      </c>
      <c r="L494" s="2" t="s">
        <v>65</v>
      </c>
      <c r="N494" s="1" t="s">
        <v>6339</v>
      </c>
      <c r="O494" s="2" t="s">
        <v>1254</v>
      </c>
      <c r="P494" s="1" t="s">
        <v>230</v>
      </c>
      <c r="Q494" s="2" t="s">
        <v>70</v>
      </c>
      <c r="R494" s="2" t="s">
        <v>260</v>
      </c>
      <c r="T494" s="2" t="s">
        <v>72</v>
      </c>
      <c r="U494" s="3">
        <v>3</v>
      </c>
      <c r="V494" s="3">
        <v>3</v>
      </c>
      <c r="W494" s="4" t="s">
        <v>6340</v>
      </c>
      <c r="X494" s="4" t="s">
        <v>6340</v>
      </c>
      <c r="Y494" s="4" t="s">
        <v>6341</v>
      </c>
      <c r="Z494" s="4" t="s">
        <v>6341</v>
      </c>
      <c r="AA494" s="3">
        <v>242</v>
      </c>
      <c r="AB494" s="3">
        <v>153</v>
      </c>
      <c r="AC494" s="3">
        <v>503</v>
      </c>
      <c r="AD494" s="3">
        <v>1</v>
      </c>
      <c r="AE494" s="3">
        <v>1</v>
      </c>
      <c r="AF494" s="3">
        <v>6</v>
      </c>
      <c r="AG494" s="3">
        <v>14</v>
      </c>
      <c r="AH494" s="3">
        <v>3</v>
      </c>
      <c r="AI494" s="3">
        <v>7</v>
      </c>
      <c r="AJ494" s="3">
        <v>3</v>
      </c>
      <c r="AK494" s="3">
        <v>5</v>
      </c>
      <c r="AL494" s="3">
        <v>1</v>
      </c>
      <c r="AM494" s="3">
        <v>4</v>
      </c>
      <c r="AN494" s="3">
        <v>0</v>
      </c>
      <c r="AO494" s="3">
        <v>0</v>
      </c>
      <c r="AP494" s="3">
        <v>0</v>
      </c>
      <c r="AQ494" s="3">
        <v>0</v>
      </c>
      <c r="AR494" s="2" t="s">
        <v>63</v>
      </c>
      <c r="AS494" s="2" t="s">
        <v>63</v>
      </c>
      <c r="AU494" s="5" t="str">
        <f>HYPERLINK("https://creighton-primo.hosted.exlibrisgroup.com/primo-explore/search?tab=default_tab&amp;search_scope=EVERYTHING&amp;vid=01CRU&amp;lang=en_US&amp;offset=0&amp;query=any,contains,991000344709702656","Catalog Record")</f>
        <v>Catalog Record</v>
      </c>
      <c r="AV494" s="5" t="str">
        <f>HYPERLINK("http://www.worldcat.org/oclc/43800997","WorldCat Record")</f>
        <v>WorldCat Record</v>
      </c>
      <c r="AW494" s="2" t="s">
        <v>6342</v>
      </c>
      <c r="AX494" s="2" t="s">
        <v>6343</v>
      </c>
      <c r="AY494" s="2" t="s">
        <v>6344</v>
      </c>
      <c r="AZ494" s="2" t="s">
        <v>6344</v>
      </c>
      <c r="BA494" s="2" t="s">
        <v>6345</v>
      </c>
      <c r="BB494" s="2" t="s">
        <v>79</v>
      </c>
      <c r="BD494" s="2" t="s">
        <v>6346</v>
      </c>
      <c r="BE494" s="2" t="s">
        <v>6347</v>
      </c>
      <c r="BF494" s="2" t="s">
        <v>6348</v>
      </c>
    </row>
    <row r="495" spans="1:58" ht="46.5" customHeight="1">
      <c r="A495" s="1"/>
      <c r="B495" s="1" t="s">
        <v>58</v>
      </c>
      <c r="C495" s="1" t="s">
        <v>59</v>
      </c>
      <c r="D495" s="1" t="s">
        <v>6349</v>
      </c>
      <c r="E495" s="1" t="s">
        <v>6350</v>
      </c>
      <c r="F495" s="1" t="s">
        <v>6351</v>
      </c>
      <c r="H495" s="2" t="s">
        <v>63</v>
      </c>
      <c r="I495" s="2" t="s">
        <v>64</v>
      </c>
      <c r="J495" s="2" t="s">
        <v>63</v>
      </c>
      <c r="K495" s="2" t="s">
        <v>63</v>
      </c>
      <c r="L495" s="2" t="s">
        <v>65</v>
      </c>
      <c r="N495" s="1" t="s">
        <v>6352</v>
      </c>
      <c r="O495" s="2" t="s">
        <v>215</v>
      </c>
      <c r="Q495" s="2" t="s">
        <v>70</v>
      </c>
      <c r="R495" s="2" t="s">
        <v>277</v>
      </c>
      <c r="S495" s="1" t="s">
        <v>6353</v>
      </c>
      <c r="T495" s="2" t="s">
        <v>72</v>
      </c>
      <c r="U495" s="3">
        <v>4</v>
      </c>
      <c r="V495" s="3">
        <v>4</v>
      </c>
      <c r="W495" s="4" t="s">
        <v>6354</v>
      </c>
      <c r="X495" s="4" t="s">
        <v>6354</v>
      </c>
      <c r="Y495" s="4" t="s">
        <v>5022</v>
      </c>
      <c r="Z495" s="4" t="s">
        <v>5022</v>
      </c>
      <c r="AA495" s="3">
        <v>136</v>
      </c>
      <c r="AB495" s="3">
        <v>105</v>
      </c>
      <c r="AC495" s="3">
        <v>129</v>
      </c>
      <c r="AD495" s="3">
        <v>2</v>
      </c>
      <c r="AE495" s="3">
        <v>2</v>
      </c>
      <c r="AF495" s="3">
        <v>1</v>
      </c>
      <c r="AG495" s="3">
        <v>2</v>
      </c>
      <c r="AH495" s="3">
        <v>0</v>
      </c>
      <c r="AI495" s="3">
        <v>1</v>
      </c>
      <c r="AJ495" s="3">
        <v>0</v>
      </c>
      <c r="AK495" s="3">
        <v>0</v>
      </c>
      <c r="AL495" s="3">
        <v>0</v>
      </c>
      <c r="AM495" s="3">
        <v>1</v>
      </c>
      <c r="AN495" s="3">
        <v>1</v>
      </c>
      <c r="AO495" s="3">
        <v>1</v>
      </c>
      <c r="AP495" s="3">
        <v>0</v>
      </c>
      <c r="AQ495" s="3">
        <v>0</v>
      </c>
      <c r="AR495" s="2" t="s">
        <v>63</v>
      </c>
      <c r="AS495" s="2" t="s">
        <v>92</v>
      </c>
      <c r="AT495" s="5" t="str">
        <f>HYPERLINK("http://catalog.hathitrust.org/Record/009479028","HathiTrust Record")</f>
        <v>HathiTrust Record</v>
      </c>
      <c r="AU495" s="5" t="str">
        <f>HYPERLINK("https://creighton-primo.hosted.exlibrisgroup.com/primo-explore/search?tab=default_tab&amp;search_scope=EVERYTHING&amp;vid=01CRU&amp;lang=en_US&amp;offset=0&amp;query=any,contains,991000962069702656","Catalog Record")</f>
        <v>Catalog Record</v>
      </c>
      <c r="AV495" s="5" t="str">
        <f>HYPERLINK("http://www.worldcat.org/oclc/9645383","WorldCat Record")</f>
        <v>WorldCat Record</v>
      </c>
      <c r="AW495" s="2" t="s">
        <v>6355</v>
      </c>
      <c r="AX495" s="2" t="s">
        <v>6356</v>
      </c>
      <c r="AY495" s="2" t="s">
        <v>6357</v>
      </c>
      <c r="AZ495" s="2" t="s">
        <v>6357</v>
      </c>
      <c r="BA495" s="2" t="s">
        <v>6358</v>
      </c>
      <c r="BB495" s="2" t="s">
        <v>79</v>
      </c>
      <c r="BD495" s="2" t="s">
        <v>6359</v>
      </c>
      <c r="BE495" s="2" t="s">
        <v>6360</v>
      </c>
      <c r="BF495" s="2" t="s">
        <v>6361</v>
      </c>
    </row>
    <row r="496" spans="1:58" ht="46.5" customHeight="1">
      <c r="A496" s="1"/>
      <c r="B496" s="1" t="s">
        <v>58</v>
      </c>
      <c r="C496" s="1" t="s">
        <v>59</v>
      </c>
      <c r="D496" s="1" t="s">
        <v>6362</v>
      </c>
      <c r="E496" s="1" t="s">
        <v>6363</v>
      </c>
      <c r="F496" s="1" t="s">
        <v>6364</v>
      </c>
      <c r="H496" s="2" t="s">
        <v>63</v>
      </c>
      <c r="I496" s="2" t="s">
        <v>64</v>
      </c>
      <c r="J496" s="2" t="s">
        <v>63</v>
      </c>
      <c r="K496" s="2" t="s">
        <v>63</v>
      </c>
      <c r="L496" s="2" t="s">
        <v>65</v>
      </c>
      <c r="M496" s="1" t="s">
        <v>6365</v>
      </c>
      <c r="N496" s="1" t="s">
        <v>6366</v>
      </c>
      <c r="O496" s="2" t="s">
        <v>468</v>
      </c>
      <c r="P496" s="1" t="s">
        <v>105</v>
      </c>
      <c r="Q496" s="2" t="s">
        <v>70</v>
      </c>
      <c r="R496" s="2" t="s">
        <v>260</v>
      </c>
      <c r="T496" s="2" t="s">
        <v>72</v>
      </c>
      <c r="U496" s="3">
        <v>9</v>
      </c>
      <c r="V496" s="3">
        <v>9</v>
      </c>
      <c r="W496" s="4" t="s">
        <v>2483</v>
      </c>
      <c r="X496" s="4" t="s">
        <v>2483</v>
      </c>
      <c r="Y496" s="4" t="s">
        <v>5022</v>
      </c>
      <c r="Z496" s="4" t="s">
        <v>5022</v>
      </c>
      <c r="AA496" s="3">
        <v>274</v>
      </c>
      <c r="AB496" s="3">
        <v>210</v>
      </c>
      <c r="AC496" s="3">
        <v>301</v>
      </c>
      <c r="AD496" s="3">
        <v>2</v>
      </c>
      <c r="AE496" s="3">
        <v>4</v>
      </c>
      <c r="AF496" s="3">
        <v>4</v>
      </c>
      <c r="AG496" s="3">
        <v>10</v>
      </c>
      <c r="AH496" s="3">
        <v>0</v>
      </c>
      <c r="AI496" s="3">
        <v>4</v>
      </c>
      <c r="AJ496" s="3">
        <v>1</v>
      </c>
      <c r="AK496" s="3">
        <v>2</v>
      </c>
      <c r="AL496" s="3">
        <v>2</v>
      </c>
      <c r="AM496" s="3">
        <v>4</v>
      </c>
      <c r="AN496" s="3">
        <v>1</v>
      </c>
      <c r="AO496" s="3">
        <v>3</v>
      </c>
      <c r="AP496" s="3">
        <v>0</v>
      </c>
      <c r="AQ496" s="3">
        <v>0</v>
      </c>
      <c r="AR496" s="2" t="s">
        <v>63</v>
      </c>
      <c r="AS496" s="2" t="s">
        <v>92</v>
      </c>
      <c r="AT496" s="5" t="str">
        <f>HYPERLINK("http://catalog.hathitrust.org/Record/001560555","HathiTrust Record")</f>
        <v>HathiTrust Record</v>
      </c>
      <c r="AU496" s="5" t="str">
        <f>HYPERLINK("https://creighton-primo.hosted.exlibrisgroup.com/primo-explore/search?tab=default_tab&amp;search_scope=EVERYTHING&amp;vid=01CRU&amp;lang=en_US&amp;offset=0&amp;query=any,contains,991000962589702656","Catalog Record")</f>
        <v>Catalog Record</v>
      </c>
      <c r="AV496" s="5" t="str">
        <f>HYPERLINK("http://www.worldcat.org/oclc/16210229","WorldCat Record")</f>
        <v>WorldCat Record</v>
      </c>
      <c r="AW496" s="2" t="s">
        <v>6367</v>
      </c>
      <c r="AX496" s="2" t="s">
        <v>6368</v>
      </c>
      <c r="AY496" s="2" t="s">
        <v>6369</v>
      </c>
      <c r="AZ496" s="2" t="s">
        <v>6369</v>
      </c>
      <c r="BA496" s="2" t="s">
        <v>6370</v>
      </c>
      <c r="BB496" s="2" t="s">
        <v>79</v>
      </c>
      <c r="BD496" s="2" t="s">
        <v>6371</v>
      </c>
      <c r="BE496" s="2" t="s">
        <v>6372</v>
      </c>
      <c r="BF496" s="2" t="s">
        <v>6373</v>
      </c>
    </row>
    <row r="497" spans="1:58" ht="46.5" customHeight="1">
      <c r="A497" s="1"/>
      <c r="B497" s="1" t="s">
        <v>58</v>
      </c>
      <c r="C497" s="1" t="s">
        <v>59</v>
      </c>
      <c r="D497" s="1" t="s">
        <v>6374</v>
      </c>
      <c r="E497" s="1" t="s">
        <v>6375</v>
      </c>
      <c r="F497" s="1" t="s">
        <v>6376</v>
      </c>
      <c r="H497" s="2" t="s">
        <v>63</v>
      </c>
      <c r="I497" s="2" t="s">
        <v>64</v>
      </c>
      <c r="J497" s="2" t="s">
        <v>63</v>
      </c>
      <c r="K497" s="2" t="s">
        <v>63</v>
      </c>
      <c r="L497" s="2" t="s">
        <v>65</v>
      </c>
      <c r="N497" s="1" t="s">
        <v>6377</v>
      </c>
      <c r="O497" s="2" t="s">
        <v>215</v>
      </c>
      <c r="Q497" s="2" t="s">
        <v>70</v>
      </c>
      <c r="R497" s="2" t="s">
        <v>691</v>
      </c>
      <c r="S497" s="1" t="s">
        <v>6378</v>
      </c>
      <c r="T497" s="2" t="s">
        <v>72</v>
      </c>
      <c r="U497" s="3">
        <v>6</v>
      </c>
      <c r="V497" s="3">
        <v>6</v>
      </c>
      <c r="W497" s="4" t="s">
        <v>6379</v>
      </c>
      <c r="X497" s="4" t="s">
        <v>6379</v>
      </c>
      <c r="Y497" s="4" t="s">
        <v>5022</v>
      </c>
      <c r="Z497" s="4" t="s">
        <v>5022</v>
      </c>
      <c r="AA497" s="3">
        <v>99</v>
      </c>
      <c r="AB497" s="3">
        <v>75</v>
      </c>
      <c r="AC497" s="3">
        <v>75</v>
      </c>
      <c r="AD497" s="3">
        <v>1</v>
      </c>
      <c r="AE497" s="3">
        <v>1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2" t="s">
        <v>63</v>
      </c>
      <c r="AS497" s="2" t="s">
        <v>63</v>
      </c>
      <c r="AU497" s="5" t="str">
        <f>HYPERLINK("https://creighton-primo.hosted.exlibrisgroup.com/primo-explore/search?tab=default_tab&amp;search_scope=EVERYTHING&amp;vid=01CRU&amp;lang=en_US&amp;offset=0&amp;query=any,contains,991001091069702656","Catalog Record")</f>
        <v>Catalog Record</v>
      </c>
      <c r="AV497" s="5" t="str">
        <f>HYPERLINK("http://www.worldcat.org/oclc/10695845","WorldCat Record")</f>
        <v>WorldCat Record</v>
      </c>
      <c r="AW497" s="2" t="s">
        <v>6380</v>
      </c>
      <c r="AX497" s="2" t="s">
        <v>6381</v>
      </c>
      <c r="AY497" s="2" t="s">
        <v>6382</v>
      </c>
      <c r="AZ497" s="2" t="s">
        <v>6382</v>
      </c>
      <c r="BA497" s="2" t="s">
        <v>6383</v>
      </c>
      <c r="BB497" s="2" t="s">
        <v>79</v>
      </c>
      <c r="BD497" s="2" t="s">
        <v>6384</v>
      </c>
      <c r="BE497" s="2" t="s">
        <v>6385</v>
      </c>
      <c r="BF497" s="2" t="s">
        <v>6386</v>
      </c>
    </row>
    <row r="498" spans="1:58" ht="46.5" customHeight="1">
      <c r="A498" s="1"/>
      <c r="B498" s="1" t="s">
        <v>58</v>
      </c>
      <c r="C498" s="1" t="s">
        <v>59</v>
      </c>
      <c r="D498" s="1" t="s">
        <v>6387</v>
      </c>
      <c r="E498" s="1" t="s">
        <v>6388</v>
      </c>
      <c r="F498" s="1" t="s">
        <v>6389</v>
      </c>
      <c r="H498" s="2" t="s">
        <v>63</v>
      </c>
      <c r="I498" s="2" t="s">
        <v>64</v>
      </c>
      <c r="J498" s="2" t="s">
        <v>63</v>
      </c>
      <c r="K498" s="2" t="s">
        <v>92</v>
      </c>
      <c r="L498" s="2" t="s">
        <v>64</v>
      </c>
      <c r="M498" s="1" t="s">
        <v>6390</v>
      </c>
      <c r="N498" s="1" t="s">
        <v>6391</v>
      </c>
      <c r="O498" s="2" t="s">
        <v>407</v>
      </c>
      <c r="P498" s="1" t="s">
        <v>230</v>
      </c>
      <c r="Q498" s="2" t="s">
        <v>70</v>
      </c>
      <c r="R498" s="2" t="s">
        <v>133</v>
      </c>
      <c r="T498" s="2" t="s">
        <v>72</v>
      </c>
      <c r="U498" s="3">
        <v>32</v>
      </c>
      <c r="V498" s="3">
        <v>32</v>
      </c>
      <c r="W498" s="4" t="s">
        <v>1628</v>
      </c>
      <c r="X498" s="4" t="s">
        <v>1628</v>
      </c>
      <c r="Y498" s="4" t="s">
        <v>1047</v>
      </c>
      <c r="Z498" s="4" t="s">
        <v>1047</v>
      </c>
      <c r="AA498" s="3">
        <v>178</v>
      </c>
      <c r="AB498" s="3">
        <v>146</v>
      </c>
      <c r="AC498" s="3">
        <v>809</v>
      </c>
      <c r="AD498" s="3">
        <v>1</v>
      </c>
      <c r="AE498" s="3">
        <v>4</v>
      </c>
      <c r="AF498" s="3">
        <v>1</v>
      </c>
      <c r="AG498" s="3">
        <v>19</v>
      </c>
      <c r="AH498" s="3">
        <v>0</v>
      </c>
      <c r="AI498" s="3">
        <v>8</v>
      </c>
      <c r="AJ498" s="3">
        <v>0</v>
      </c>
      <c r="AK498" s="3">
        <v>4</v>
      </c>
      <c r="AL498" s="3">
        <v>1</v>
      </c>
      <c r="AM498" s="3">
        <v>7</v>
      </c>
      <c r="AN498" s="3">
        <v>0</v>
      </c>
      <c r="AO498" s="3">
        <v>2</v>
      </c>
      <c r="AP498" s="3">
        <v>0</v>
      </c>
      <c r="AQ498" s="3">
        <v>1</v>
      </c>
      <c r="AR498" s="2" t="s">
        <v>63</v>
      </c>
      <c r="AS498" s="2" t="s">
        <v>92</v>
      </c>
      <c r="AT498" s="5" t="str">
        <f>HYPERLINK("http://catalog.hathitrust.org/Record/002234990","HathiTrust Record")</f>
        <v>HathiTrust Record</v>
      </c>
      <c r="AU498" s="5" t="str">
        <f>HYPERLINK("https://creighton-primo.hosted.exlibrisgroup.com/primo-explore/search?tab=default_tab&amp;search_scope=EVERYTHING&amp;vid=01CRU&amp;lang=en_US&amp;offset=0&amp;query=any,contains,991000821479702656","Catalog Record")</f>
        <v>Catalog Record</v>
      </c>
      <c r="AV498" s="5" t="str">
        <f>HYPERLINK("http://www.worldcat.org/oclc/20566807","WorldCat Record")</f>
        <v>WorldCat Record</v>
      </c>
      <c r="AW498" s="2" t="s">
        <v>6213</v>
      </c>
      <c r="AX498" s="2" t="s">
        <v>6392</v>
      </c>
      <c r="AY498" s="2" t="s">
        <v>6393</v>
      </c>
      <c r="AZ498" s="2" t="s">
        <v>6393</v>
      </c>
      <c r="BA498" s="2" t="s">
        <v>6394</v>
      </c>
      <c r="BB498" s="2" t="s">
        <v>79</v>
      </c>
      <c r="BE498" s="2" t="s">
        <v>6395</v>
      </c>
      <c r="BF498" s="2" t="s">
        <v>6396</v>
      </c>
    </row>
    <row r="499" spans="1:58" ht="46.5" customHeight="1">
      <c r="A499" s="1"/>
      <c r="B499" s="1" t="s">
        <v>58</v>
      </c>
      <c r="C499" s="1" t="s">
        <v>59</v>
      </c>
      <c r="D499" s="1" t="s">
        <v>6397</v>
      </c>
      <c r="E499" s="1" t="s">
        <v>6398</v>
      </c>
      <c r="F499" s="1" t="s">
        <v>6399</v>
      </c>
      <c r="G499" s="2" t="s">
        <v>6400</v>
      </c>
      <c r="H499" s="2" t="s">
        <v>63</v>
      </c>
      <c r="I499" s="2" t="s">
        <v>64</v>
      </c>
      <c r="J499" s="2" t="s">
        <v>63</v>
      </c>
      <c r="K499" s="2" t="s">
        <v>63</v>
      </c>
      <c r="L499" s="2" t="s">
        <v>65</v>
      </c>
      <c r="N499" s="1" t="s">
        <v>5437</v>
      </c>
      <c r="O499" s="2" t="s">
        <v>1175</v>
      </c>
      <c r="Q499" s="2" t="s">
        <v>70</v>
      </c>
      <c r="R499" s="2" t="s">
        <v>277</v>
      </c>
      <c r="T499" s="2" t="s">
        <v>72</v>
      </c>
      <c r="U499" s="3">
        <v>2</v>
      </c>
      <c r="V499" s="3">
        <v>2</v>
      </c>
      <c r="W499" s="4" t="s">
        <v>6401</v>
      </c>
      <c r="X499" s="4" t="s">
        <v>6401</v>
      </c>
      <c r="Y499" s="4" t="s">
        <v>5022</v>
      </c>
      <c r="Z499" s="4" t="s">
        <v>5022</v>
      </c>
      <c r="AA499" s="3">
        <v>259</v>
      </c>
      <c r="AB499" s="3">
        <v>205</v>
      </c>
      <c r="AC499" s="3">
        <v>207</v>
      </c>
      <c r="AD499" s="3">
        <v>1</v>
      </c>
      <c r="AE499" s="3">
        <v>1</v>
      </c>
      <c r="AF499" s="3">
        <v>3</v>
      </c>
      <c r="AG499" s="3">
        <v>3</v>
      </c>
      <c r="AH499" s="3">
        <v>1</v>
      </c>
      <c r="AI499" s="3">
        <v>1</v>
      </c>
      <c r="AJ499" s="3">
        <v>1</v>
      </c>
      <c r="AK499" s="3">
        <v>1</v>
      </c>
      <c r="AL499" s="3">
        <v>2</v>
      </c>
      <c r="AM499" s="3">
        <v>2</v>
      </c>
      <c r="AN499" s="3">
        <v>0</v>
      </c>
      <c r="AO499" s="3">
        <v>0</v>
      </c>
      <c r="AP499" s="3">
        <v>0</v>
      </c>
      <c r="AQ499" s="3">
        <v>0</v>
      </c>
      <c r="AR499" s="2" t="s">
        <v>63</v>
      </c>
      <c r="AS499" s="2" t="s">
        <v>92</v>
      </c>
      <c r="AT499" s="5" t="str">
        <f>HYPERLINK("http://catalog.hathitrust.org/Record/000185533","HathiTrust Record")</f>
        <v>HathiTrust Record</v>
      </c>
      <c r="AU499" s="5" t="str">
        <f>HYPERLINK("https://creighton-primo.hosted.exlibrisgroup.com/primo-explore/search?tab=default_tab&amp;search_scope=EVERYTHING&amp;vid=01CRU&amp;lang=en_US&amp;offset=0&amp;query=any,contains,991000962549702656","Catalog Record")</f>
        <v>Catalog Record</v>
      </c>
      <c r="AV499" s="5" t="str">
        <f>HYPERLINK("http://www.worldcat.org/oclc/6554790","WorldCat Record")</f>
        <v>WorldCat Record</v>
      </c>
      <c r="AW499" s="2" t="s">
        <v>6402</v>
      </c>
      <c r="AX499" s="2" t="s">
        <v>6403</v>
      </c>
      <c r="AY499" s="2" t="s">
        <v>6404</v>
      </c>
      <c r="AZ499" s="2" t="s">
        <v>6404</v>
      </c>
      <c r="BA499" s="2" t="s">
        <v>6405</v>
      </c>
      <c r="BB499" s="2" t="s">
        <v>79</v>
      </c>
      <c r="BD499" s="2" t="s">
        <v>6406</v>
      </c>
      <c r="BE499" s="2" t="s">
        <v>6407</v>
      </c>
      <c r="BF499" s="2" t="s">
        <v>6408</v>
      </c>
    </row>
    <row r="500" spans="1:58" ht="46.5" customHeight="1">
      <c r="A500" s="1"/>
      <c r="B500" s="1" t="s">
        <v>58</v>
      </c>
      <c r="C500" s="1" t="s">
        <v>59</v>
      </c>
      <c r="D500" s="1" t="s">
        <v>6409</v>
      </c>
      <c r="E500" s="1" t="s">
        <v>6410</v>
      </c>
      <c r="F500" s="1" t="s">
        <v>6411</v>
      </c>
      <c r="H500" s="2" t="s">
        <v>63</v>
      </c>
      <c r="I500" s="2" t="s">
        <v>64</v>
      </c>
      <c r="J500" s="2" t="s">
        <v>63</v>
      </c>
      <c r="K500" s="2" t="s">
        <v>63</v>
      </c>
      <c r="L500" s="2" t="s">
        <v>65</v>
      </c>
      <c r="N500" s="1" t="s">
        <v>6412</v>
      </c>
      <c r="O500" s="2" t="s">
        <v>407</v>
      </c>
      <c r="Q500" s="2" t="s">
        <v>70</v>
      </c>
      <c r="R500" s="2" t="s">
        <v>322</v>
      </c>
      <c r="T500" s="2" t="s">
        <v>72</v>
      </c>
      <c r="U500" s="3">
        <v>4</v>
      </c>
      <c r="V500" s="3">
        <v>4</v>
      </c>
      <c r="W500" s="4" t="s">
        <v>6413</v>
      </c>
      <c r="X500" s="4" t="s">
        <v>6413</v>
      </c>
      <c r="Y500" s="4" t="s">
        <v>6414</v>
      </c>
      <c r="Z500" s="4" t="s">
        <v>6414</v>
      </c>
      <c r="AA500" s="3">
        <v>143</v>
      </c>
      <c r="AB500" s="3">
        <v>108</v>
      </c>
      <c r="AC500" s="3">
        <v>149</v>
      </c>
      <c r="AD500" s="3">
        <v>1</v>
      </c>
      <c r="AE500" s="3">
        <v>1</v>
      </c>
      <c r="AF500" s="3">
        <v>2</v>
      </c>
      <c r="AG500" s="3">
        <v>4</v>
      </c>
      <c r="AH500" s="3">
        <v>1</v>
      </c>
      <c r="AI500" s="3">
        <v>2</v>
      </c>
      <c r="AJ500" s="3">
        <v>1</v>
      </c>
      <c r="AK500" s="3">
        <v>2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2" t="s">
        <v>63</v>
      </c>
      <c r="AS500" s="2" t="s">
        <v>92</v>
      </c>
      <c r="AT500" s="5" t="str">
        <f>HYPERLINK("http://catalog.hathitrust.org/Record/002219005","HathiTrust Record")</f>
        <v>HathiTrust Record</v>
      </c>
      <c r="AU500" s="5" t="str">
        <f>HYPERLINK("https://creighton-primo.hosted.exlibrisgroup.com/primo-explore/search?tab=default_tab&amp;search_scope=EVERYTHING&amp;vid=01CRU&amp;lang=en_US&amp;offset=0&amp;query=any,contains,991000780139702656","Catalog Record")</f>
        <v>Catalog Record</v>
      </c>
      <c r="AV500" s="5" t="str">
        <f>HYPERLINK("http://www.worldcat.org/oclc/20798883","WorldCat Record")</f>
        <v>WorldCat Record</v>
      </c>
      <c r="AW500" s="2" t="s">
        <v>6415</v>
      </c>
      <c r="AX500" s="2" t="s">
        <v>6416</v>
      </c>
      <c r="AY500" s="2" t="s">
        <v>6417</v>
      </c>
      <c r="AZ500" s="2" t="s">
        <v>6417</v>
      </c>
      <c r="BA500" s="2" t="s">
        <v>6418</v>
      </c>
      <c r="BB500" s="2" t="s">
        <v>79</v>
      </c>
      <c r="BD500" s="2" t="s">
        <v>6419</v>
      </c>
      <c r="BE500" s="2" t="s">
        <v>6420</v>
      </c>
      <c r="BF500" s="2" t="s">
        <v>6421</v>
      </c>
    </row>
    <row r="501" spans="1:58" ht="46.5" customHeight="1">
      <c r="A501" s="1"/>
      <c r="B501" s="1" t="s">
        <v>58</v>
      </c>
      <c r="C501" s="1" t="s">
        <v>59</v>
      </c>
      <c r="D501" s="1" t="s">
        <v>6422</v>
      </c>
      <c r="E501" s="1" t="s">
        <v>6423</v>
      </c>
      <c r="F501" s="1" t="s">
        <v>6424</v>
      </c>
      <c r="H501" s="2" t="s">
        <v>63</v>
      </c>
      <c r="I501" s="2" t="s">
        <v>64</v>
      </c>
      <c r="J501" s="2" t="s">
        <v>63</v>
      </c>
      <c r="K501" s="2" t="s">
        <v>63</v>
      </c>
      <c r="L501" s="2" t="s">
        <v>65</v>
      </c>
      <c r="N501" s="1" t="s">
        <v>6425</v>
      </c>
      <c r="O501" s="2" t="s">
        <v>292</v>
      </c>
      <c r="Q501" s="2" t="s">
        <v>70</v>
      </c>
      <c r="R501" s="2" t="s">
        <v>786</v>
      </c>
      <c r="S501" s="1" t="s">
        <v>6426</v>
      </c>
      <c r="T501" s="2" t="s">
        <v>72</v>
      </c>
      <c r="U501" s="3">
        <v>1</v>
      </c>
      <c r="V501" s="3">
        <v>1</v>
      </c>
      <c r="W501" s="4" t="s">
        <v>6401</v>
      </c>
      <c r="X501" s="4" t="s">
        <v>6401</v>
      </c>
      <c r="Y501" s="4" t="s">
        <v>6427</v>
      </c>
      <c r="Z501" s="4" t="s">
        <v>6427</v>
      </c>
      <c r="AA501" s="3">
        <v>81</v>
      </c>
      <c r="AB501" s="3">
        <v>70</v>
      </c>
      <c r="AC501" s="3">
        <v>72</v>
      </c>
      <c r="AD501" s="3">
        <v>2</v>
      </c>
      <c r="AE501" s="3">
        <v>2</v>
      </c>
      <c r="AF501" s="3">
        <v>2</v>
      </c>
      <c r="AG501" s="3">
        <v>2</v>
      </c>
      <c r="AH501" s="3">
        <v>0</v>
      </c>
      <c r="AI501" s="3">
        <v>0</v>
      </c>
      <c r="AJ501" s="3">
        <v>0</v>
      </c>
      <c r="AK501" s="3">
        <v>0</v>
      </c>
      <c r="AL501" s="3">
        <v>1</v>
      </c>
      <c r="AM501" s="3">
        <v>1</v>
      </c>
      <c r="AN501" s="3">
        <v>1</v>
      </c>
      <c r="AO501" s="3">
        <v>1</v>
      </c>
      <c r="AP501" s="3">
        <v>0</v>
      </c>
      <c r="AQ501" s="3">
        <v>0</v>
      </c>
      <c r="AR501" s="2" t="s">
        <v>63</v>
      </c>
      <c r="AS501" s="2" t="s">
        <v>92</v>
      </c>
      <c r="AT501" s="5" t="str">
        <f>HYPERLINK("http://catalog.hathitrust.org/Record/001827779","HathiTrust Record")</f>
        <v>HathiTrust Record</v>
      </c>
      <c r="AU501" s="5" t="str">
        <f>HYPERLINK("https://creighton-primo.hosted.exlibrisgroup.com/primo-explore/search?tab=default_tab&amp;search_scope=EVERYTHING&amp;vid=01CRU&amp;lang=en_US&amp;offset=0&amp;query=any,contains,991001309199702656","Catalog Record")</f>
        <v>Catalog Record</v>
      </c>
      <c r="AV501" s="5" t="str">
        <f>HYPERLINK("http://www.worldcat.org/oclc/20896240","WorldCat Record")</f>
        <v>WorldCat Record</v>
      </c>
      <c r="AW501" s="2" t="s">
        <v>6428</v>
      </c>
      <c r="AX501" s="2" t="s">
        <v>6429</v>
      </c>
      <c r="AY501" s="2" t="s">
        <v>6430</v>
      </c>
      <c r="AZ501" s="2" t="s">
        <v>6430</v>
      </c>
      <c r="BA501" s="2" t="s">
        <v>6431</v>
      </c>
      <c r="BB501" s="2" t="s">
        <v>79</v>
      </c>
      <c r="BD501" s="2" t="s">
        <v>6432</v>
      </c>
      <c r="BE501" s="2" t="s">
        <v>6433</v>
      </c>
      <c r="BF501" s="2" t="s">
        <v>6434</v>
      </c>
    </row>
    <row r="502" spans="1:58" ht="46.5" customHeight="1">
      <c r="A502" s="1"/>
      <c r="B502" s="1" t="s">
        <v>58</v>
      </c>
      <c r="C502" s="1" t="s">
        <v>59</v>
      </c>
      <c r="D502" s="1" t="s">
        <v>6435</v>
      </c>
      <c r="E502" s="1" t="s">
        <v>6436</v>
      </c>
      <c r="F502" s="1" t="s">
        <v>6437</v>
      </c>
      <c r="H502" s="2" t="s">
        <v>63</v>
      </c>
      <c r="I502" s="2" t="s">
        <v>64</v>
      </c>
      <c r="J502" s="2" t="s">
        <v>63</v>
      </c>
      <c r="K502" s="2" t="s">
        <v>63</v>
      </c>
      <c r="L502" s="2" t="s">
        <v>65</v>
      </c>
      <c r="M502" s="1" t="s">
        <v>6438</v>
      </c>
      <c r="N502" s="1" t="s">
        <v>1678</v>
      </c>
      <c r="O502" s="2" t="s">
        <v>1254</v>
      </c>
      <c r="Q502" s="2" t="s">
        <v>70</v>
      </c>
      <c r="R502" s="2" t="s">
        <v>377</v>
      </c>
      <c r="T502" s="2" t="s">
        <v>72</v>
      </c>
      <c r="U502" s="3">
        <v>0</v>
      </c>
      <c r="V502" s="3">
        <v>0</v>
      </c>
      <c r="W502" s="4" t="s">
        <v>6439</v>
      </c>
      <c r="X502" s="4" t="s">
        <v>6439</v>
      </c>
      <c r="Y502" s="4" t="s">
        <v>6440</v>
      </c>
      <c r="Z502" s="4" t="s">
        <v>6440</v>
      </c>
      <c r="AA502" s="3">
        <v>101</v>
      </c>
      <c r="AB502" s="3">
        <v>61</v>
      </c>
      <c r="AC502" s="3">
        <v>405</v>
      </c>
      <c r="AD502" s="3">
        <v>1</v>
      </c>
      <c r="AE502" s="3">
        <v>27</v>
      </c>
      <c r="AF502" s="3">
        <v>0</v>
      </c>
      <c r="AG502" s="3">
        <v>16</v>
      </c>
      <c r="AH502" s="3">
        <v>0</v>
      </c>
      <c r="AI502" s="3">
        <v>3</v>
      </c>
      <c r="AJ502" s="3">
        <v>0</v>
      </c>
      <c r="AK502" s="3">
        <v>0</v>
      </c>
      <c r="AL502" s="3">
        <v>0</v>
      </c>
      <c r="AM502" s="3">
        <v>2</v>
      </c>
      <c r="AN502" s="3">
        <v>0</v>
      </c>
      <c r="AO502" s="3">
        <v>12</v>
      </c>
      <c r="AP502" s="3">
        <v>0</v>
      </c>
      <c r="AQ502" s="3">
        <v>0</v>
      </c>
      <c r="AR502" s="2" t="s">
        <v>63</v>
      </c>
      <c r="AS502" s="2" t="s">
        <v>63</v>
      </c>
      <c r="AU502" s="5" t="str">
        <f>HYPERLINK("https://creighton-primo.hosted.exlibrisgroup.com/primo-explore/search?tab=default_tab&amp;search_scope=EVERYTHING&amp;vid=01CRU&amp;lang=en_US&amp;offset=0&amp;query=any,contains,991000362879702656","Catalog Record")</f>
        <v>Catalog Record</v>
      </c>
      <c r="AV502" s="5" t="str">
        <f>HYPERLINK("http://www.worldcat.org/oclc/47717992","WorldCat Record")</f>
        <v>WorldCat Record</v>
      </c>
      <c r="AW502" s="2" t="s">
        <v>6441</v>
      </c>
      <c r="AX502" s="2" t="s">
        <v>6442</v>
      </c>
      <c r="AY502" s="2" t="s">
        <v>6443</v>
      </c>
      <c r="AZ502" s="2" t="s">
        <v>6443</v>
      </c>
      <c r="BA502" s="2" t="s">
        <v>6444</v>
      </c>
      <c r="BB502" s="2" t="s">
        <v>79</v>
      </c>
      <c r="BD502" s="2" t="s">
        <v>6445</v>
      </c>
      <c r="BE502" s="2" t="s">
        <v>6446</v>
      </c>
      <c r="BF502" s="2" t="s">
        <v>6447</v>
      </c>
    </row>
    <row r="503" spans="1:58" ht="46.5" customHeight="1">
      <c r="A503" s="1"/>
      <c r="B503" s="1" t="s">
        <v>58</v>
      </c>
      <c r="C503" s="1" t="s">
        <v>59</v>
      </c>
      <c r="D503" s="1" t="s">
        <v>6448</v>
      </c>
      <c r="E503" s="1" t="s">
        <v>6449</v>
      </c>
      <c r="F503" s="1" t="s">
        <v>6450</v>
      </c>
      <c r="H503" s="2" t="s">
        <v>63</v>
      </c>
      <c r="I503" s="2" t="s">
        <v>64</v>
      </c>
      <c r="J503" s="2" t="s">
        <v>63</v>
      </c>
      <c r="K503" s="2" t="s">
        <v>63</v>
      </c>
      <c r="L503" s="2" t="s">
        <v>65</v>
      </c>
      <c r="N503" s="1" t="s">
        <v>4482</v>
      </c>
      <c r="O503" s="2" t="s">
        <v>104</v>
      </c>
      <c r="Q503" s="2" t="s">
        <v>70</v>
      </c>
      <c r="R503" s="2" t="s">
        <v>89</v>
      </c>
      <c r="T503" s="2" t="s">
        <v>72</v>
      </c>
      <c r="U503" s="3">
        <v>2</v>
      </c>
      <c r="V503" s="3">
        <v>2</v>
      </c>
      <c r="W503" s="4" t="s">
        <v>4699</v>
      </c>
      <c r="X503" s="4" t="s">
        <v>4699</v>
      </c>
      <c r="Y503" s="4" t="s">
        <v>5022</v>
      </c>
      <c r="Z503" s="4" t="s">
        <v>5022</v>
      </c>
      <c r="AA503" s="3">
        <v>171</v>
      </c>
      <c r="AB503" s="3">
        <v>130</v>
      </c>
      <c r="AC503" s="3">
        <v>133</v>
      </c>
      <c r="AD503" s="3">
        <v>1</v>
      </c>
      <c r="AE503" s="3">
        <v>1</v>
      </c>
      <c r="AF503" s="3">
        <v>3</v>
      </c>
      <c r="AG503" s="3">
        <v>3</v>
      </c>
      <c r="AH503" s="3">
        <v>0</v>
      </c>
      <c r="AI503" s="3">
        <v>0</v>
      </c>
      <c r="AJ503" s="3">
        <v>1</v>
      </c>
      <c r="AK503" s="3">
        <v>1</v>
      </c>
      <c r="AL503" s="3">
        <v>2</v>
      </c>
      <c r="AM503" s="3">
        <v>2</v>
      </c>
      <c r="AN503" s="3">
        <v>0</v>
      </c>
      <c r="AO503" s="3">
        <v>0</v>
      </c>
      <c r="AP503" s="3">
        <v>0</v>
      </c>
      <c r="AQ503" s="3">
        <v>0</v>
      </c>
      <c r="AR503" s="2" t="s">
        <v>63</v>
      </c>
      <c r="AS503" s="2" t="s">
        <v>92</v>
      </c>
      <c r="AT503" s="5" t="str">
        <f>HYPERLINK("http://catalog.hathitrust.org/Record/000648106","HathiTrust Record")</f>
        <v>HathiTrust Record</v>
      </c>
      <c r="AU503" s="5" t="str">
        <f>HYPERLINK("https://creighton-primo.hosted.exlibrisgroup.com/primo-explore/search?tab=default_tab&amp;search_scope=EVERYTHING&amp;vid=01CRU&amp;lang=en_US&amp;offset=0&amp;query=any,contains,991000963109702656","Catalog Record")</f>
        <v>Catalog Record</v>
      </c>
      <c r="AV503" s="5" t="str">
        <f>HYPERLINK("http://www.worldcat.org/oclc/11548383","WorldCat Record")</f>
        <v>WorldCat Record</v>
      </c>
      <c r="AW503" s="2" t="s">
        <v>6451</v>
      </c>
      <c r="AX503" s="2" t="s">
        <v>6452</v>
      </c>
      <c r="AY503" s="2" t="s">
        <v>6453</v>
      </c>
      <c r="AZ503" s="2" t="s">
        <v>6453</v>
      </c>
      <c r="BA503" s="2" t="s">
        <v>6454</v>
      </c>
      <c r="BB503" s="2" t="s">
        <v>79</v>
      </c>
      <c r="BD503" s="2" t="s">
        <v>6455</v>
      </c>
      <c r="BE503" s="2" t="s">
        <v>6456</v>
      </c>
      <c r="BF503" s="2" t="s">
        <v>6457</v>
      </c>
    </row>
    <row r="504" spans="1:58" ht="46.5" customHeight="1">
      <c r="A504" s="1"/>
      <c r="B504" s="1" t="s">
        <v>58</v>
      </c>
      <c r="C504" s="1" t="s">
        <v>59</v>
      </c>
      <c r="D504" s="1" t="s">
        <v>6458</v>
      </c>
      <c r="E504" s="1" t="s">
        <v>6459</v>
      </c>
      <c r="F504" s="1" t="s">
        <v>6460</v>
      </c>
      <c r="H504" s="2" t="s">
        <v>63</v>
      </c>
      <c r="I504" s="2" t="s">
        <v>64</v>
      </c>
      <c r="J504" s="2" t="s">
        <v>63</v>
      </c>
      <c r="K504" s="2" t="s">
        <v>63</v>
      </c>
      <c r="L504" s="2" t="s">
        <v>65</v>
      </c>
      <c r="N504" s="1" t="s">
        <v>6461</v>
      </c>
      <c r="O504" s="2" t="s">
        <v>1501</v>
      </c>
      <c r="P504" s="1" t="s">
        <v>6462</v>
      </c>
      <c r="Q504" s="2" t="s">
        <v>70</v>
      </c>
      <c r="R504" s="2" t="s">
        <v>277</v>
      </c>
      <c r="S504" s="1" t="s">
        <v>6463</v>
      </c>
      <c r="T504" s="2" t="s">
        <v>72</v>
      </c>
      <c r="U504" s="3">
        <v>5</v>
      </c>
      <c r="V504" s="3">
        <v>5</v>
      </c>
      <c r="W504" s="4" t="s">
        <v>4674</v>
      </c>
      <c r="X504" s="4" t="s">
        <v>4674</v>
      </c>
      <c r="Y504" s="4" t="s">
        <v>6464</v>
      </c>
      <c r="Z504" s="4" t="s">
        <v>6464</v>
      </c>
      <c r="AA504" s="3">
        <v>7</v>
      </c>
      <c r="AB504" s="3">
        <v>7</v>
      </c>
      <c r="AC504" s="3">
        <v>35</v>
      </c>
      <c r="AD504" s="3">
        <v>1</v>
      </c>
      <c r="AE504" s="3">
        <v>1</v>
      </c>
      <c r="AF504" s="3">
        <v>0</v>
      </c>
      <c r="AG504" s="3">
        <v>1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1</v>
      </c>
      <c r="AR504" s="2" t="s">
        <v>63</v>
      </c>
      <c r="AS504" s="2" t="s">
        <v>63</v>
      </c>
      <c r="AU504" s="5" t="str">
        <f>HYPERLINK("https://creighton-primo.hosted.exlibrisgroup.com/primo-explore/search?tab=default_tab&amp;search_scope=EVERYTHING&amp;vid=01CRU&amp;lang=en_US&amp;offset=0&amp;query=any,contains,991000963079702656","Catalog Record")</f>
        <v>Catalog Record</v>
      </c>
      <c r="AV504" s="5" t="str">
        <f>HYPERLINK("http://www.worldcat.org/oclc/7489950","WorldCat Record")</f>
        <v>WorldCat Record</v>
      </c>
      <c r="AW504" s="2" t="s">
        <v>6465</v>
      </c>
      <c r="AX504" s="2" t="s">
        <v>6466</v>
      </c>
      <c r="AY504" s="2" t="s">
        <v>6467</v>
      </c>
      <c r="AZ504" s="2" t="s">
        <v>6467</v>
      </c>
      <c r="BA504" s="2" t="s">
        <v>6468</v>
      </c>
      <c r="BB504" s="2" t="s">
        <v>79</v>
      </c>
      <c r="BE504" s="2" t="s">
        <v>6469</v>
      </c>
      <c r="BF504" s="2" t="s">
        <v>6470</v>
      </c>
    </row>
    <row r="505" spans="1:58" ht="46.5" customHeight="1">
      <c r="A505" s="1"/>
      <c r="B505" s="1" t="s">
        <v>58</v>
      </c>
      <c r="C505" s="1" t="s">
        <v>59</v>
      </c>
      <c r="D505" s="1" t="s">
        <v>6471</v>
      </c>
      <c r="E505" s="1" t="s">
        <v>6472</v>
      </c>
      <c r="F505" s="1" t="s">
        <v>6473</v>
      </c>
      <c r="H505" s="2" t="s">
        <v>63</v>
      </c>
      <c r="I505" s="2" t="s">
        <v>64</v>
      </c>
      <c r="J505" s="2" t="s">
        <v>63</v>
      </c>
      <c r="K505" s="2" t="s">
        <v>63</v>
      </c>
      <c r="L505" s="2" t="s">
        <v>64</v>
      </c>
      <c r="N505" s="1" t="s">
        <v>6474</v>
      </c>
      <c r="O505" s="2" t="s">
        <v>1201</v>
      </c>
      <c r="Q505" s="2" t="s">
        <v>70</v>
      </c>
      <c r="R505" s="2" t="s">
        <v>424</v>
      </c>
      <c r="T505" s="2" t="s">
        <v>72</v>
      </c>
      <c r="U505" s="3">
        <v>17</v>
      </c>
      <c r="V505" s="3">
        <v>17</v>
      </c>
      <c r="W505" s="4" t="s">
        <v>2788</v>
      </c>
      <c r="X505" s="4" t="s">
        <v>2788</v>
      </c>
      <c r="Y505" s="4" t="s">
        <v>5022</v>
      </c>
      <c r="Z505" s="4" t="s">
        <v>5022</v>
      </c>
      <c r="AA505" s="3">
        <v>230</v>
      </c>
      <c r="AB505" s="3">
        <v>128</v>
      </c>
      <c r="AC505" s="3">
        <v>938</v>
      </c>
      <c r="AD505" s="3">
        <v>1</v>
      </c>
      <c r="AE505" s="3">
        <v>14</v>
      </c>
      <c r="AF505" s="3">
        <v>2</v>
      </c>
      <c r="AG505" s="3">
        <v>41</v>
      </c>
      <c r="AH505" s="3">
        <v>1</v>
      </c>
      <c r="AI505" s="3">
        <v>13</v>
      </c>
      <c r="AJ505" s="3">
        <v>0</v>
      </c>
      <c r="AK505" s="3">
        <v>9</v>
      </c>
      <c r="AL505" s="3">
        <v>1</v>
      </c>
      <c r="AM505" s="3">
        <v>10</v>
      </c>
      <c r="AN505" s="3">
        <v>0</v>
      </c>
      <c r="AO505" s="3">
        <v>12</v>
      </c>
      <c r="AP505" s="3">
        <v>0</v>
      </c>
      <c r="AQ505" s="3">
        <v>2</v>
      </c>
      <c r="AR505" s="2" t="s">
        <v>63</v>
      </c>
      <c r="AS505" s="2" t="s">
        <v>92</v>
      </c>
      <c r="AT505" s="5" t="str">
        <f>HYPERLINK("http://catalog.hathitrust.org/Record/000033562","HathiTrust Record")</f>
        <v>HathiTrust Record</v>
      </c>
      <c r="AU505" s="5" t="str">
        <f>HYPERLINK("https://creighton-primo.hosted.exlibrisgroup.com/primo-explore/search?tab=default_tab&amp;search_scope=EVERYTHING&amp;vid=01CRU&amp;lang=en_US&amp;offset=0&amp;query=any,contains,991000963019702656","Catalog Record")</f>
        <v>Catalog Record</v>
      </c>
      <c r="AV505" s="5" t="str">
        <f>HYPERLINK("http://www.worldcat.org/oclc/5239756","WorldCat Record")</f>
        <v>WorldCat Record</v>
      </c>
      <c r="AW505" s="2" t="s">
        <v>6475</v>
      </c>
      <c r="AX505" s="2" t="s">
        <v>6476</v>
      </c>
      <c r="AY505" s="2" t="s">
        <v>6477</v>
      </c>
      <c r="AZ505" s="2" t="s">
        <v>6477</v>
      </c>
      <c r="BA505" s="2" t="s">
        <v>6478</v>
      </c>
      <c r="BB505" s="2" t="s">
        <v>79</v>
      </c>
      <c r="BD505" s="2" t="s">
        <v>6479</v>
      </c>
      <c r="BE505" s="2" t="s">
        <v>6480</v>
      </c>
      <c r="BF505" s="2" t="s">
        <v>6481</v>
      </c>
    </row>
    <row r="506" spans="1:58" ht="46.5" customHeight="1">
      <c r="A506" s="1"/>
      <c r="B506" s="1" t="s">
        <v>58</v>
      </c>
      <c r="C506" s="1" t="s">
        <v>59</v>
      </c>
      <c r="D506" s="1" t="s">
        <v>6482</v>
      </c>
      <c r="E506" s="1" t="s">
        <v>6483</v>
      </c>
      <c r="F506" s="1" t="s">
        <v>6484</v>
      </c>
      <c r="H506" s="2" t="s">
        <v>63</v>
      </c>
      <c r="I506" s="2" t="s">
        <v>64</v>
      </c>
      <c r="J506" s="2" t="s">
        <v>63</v>
      </c>
      <c r="K506" s="2" t="s">
        <v>92</v>
      </c>
      <c r="L506" s="2" t="s">
        <v>65</v>
      </c>
      <c r="N506" s="1" t="s">
        <v>6485</v>
      </c>
      <c r="O506" s="2" t="s">
        <v>540</v>
      </c>
      <c r="P506" s="1" t="s">
        <v>230</v>
      </c>
      <c r="Q506" s="2" t="s">
        <v>70</v>
      </c>
      <c r="R506" s="2" t="s">
        <v>470</v>
      </c>
      <c r="T506" s="2" t="s">
        <v>72</v>
      </c>
      <c r="U506" s="3">
        <v>1</v>
      </c>
      <c r="V506" s="3">
        <v>1</v>
      </c>
      <c r="W506" s="4" t="s">
        <v>6486</v>
      </c>
      <c r="X506" s="4" t="s">
        <v>6486</v>
      </c>
      <c r="Y506" s="4" t="s">
        <v>2945</v>
      </c>
      <c r="Z506" s="4" t="s">
        <v>2945</v>
      </c>
      <c r="AA506" s="3">
        <v>232</v>
      </c>
      <c r="AB506" s="3">
        <v>158</v>
      </c>
      <c r="AC506" s="3">
        <v>261</v>
      </c>
      <c r="AD506" s="3">
        <v>2</v>
      </c>
      <c r="AE506" s="3">
        <v>2</v>
      </c>
      <c r="AF506" s="3">
        <v>10</v>
      </c>
      <c r="AG506" s="3">
        <v>11</v>
      </c>
      <c r="AH506" s="3">
        <v>5</v>
      </c>
      <c r="AI506" s="3">
        <v>5</v>
      </c>
      <c r="AJ506" s="3">
        <v>3</v>
      </c>
      <c r="AK506" s="3">
        <v>3</v>
      </c>
      <c r="AL506" s="3">
        <v>3</v>
      </c>
      <c r="AM506" s="3">
        <v>4</v>
      </c>
      <c r="AN506" s="3">
        <v>1</v>
      </c>
      <c r="AO506" s="3">
        <v>1</v>
      </c>
      <c r="AP506" s="3">
        <v>0</v>
      </c>
      <c r="AQ506" s="3">
        <v>0</v>
      </c>
      <c r="AR506" s="2" t="s">
        <v>63</v>
      </c>
      <c r="AS506" s="2" t="s">
        <v>63</v>
      </c>
      <c r="AU506" s="5" t="str">
        <f>HYPERLINK("https://creighton-primo.hosted.exlibrisgroup.com/primo-explore/search?tab=default_tab&amp;search_scope=EVERYTHING&amp;vid=01CRU&amp;lang=en_US&amp;offset=0&amp;query=any,contains,991000562199702656","Catalog Record")</f>
        <v>Catalog Record</v>
      </c>
      <c r="AV506" s="5" t="str">
        <f>HYPERLINK("http://www.worldcat.org/oclc/59148565","WorldCat Record")</f>
        <v>WorldCat Record</v>
      </c>
      <c r="AW506" s="2" t="s">
        <v>6487</v>
      </c>
      <c r="AX506" s="2" t="s">
        <v>6488</v>
      </c>
      <c r="AY506" s="2" t="s">
        <v>6489</v>
      </c>
      <c r="AZ506" s="2" t="s">
        <v>6489</v>
      </c>
      <c r="BA506" s="2" t="s">
        <v>6490</v>
      </c>
      <c r="BB506" s="2" t="s">
        <v>79</v>
      </c>
      <c r="BD506" s="2" t="s">
        <v>6491</v>
      </c>
      <c r="BE506" s="2" t="s">
        <v>6492</v>
      </c>
      <c r="BF506" s="2" t="s">
        <v>6493</v>
      </c>
    </row>
    <row r="507" spans="1:58" ht="46.5" customHeight="1">
      <c r="A507" s="1"/>
      <c r="B507" s="1" t="s">
        <v>58</v>
      </c>
      <c r="C507" s="1" t="s">
        <v>59</v>
      </c>
      <c r="D507" s="1" t="s">
        <v>6494</v>
      </c>
      <c r="E507" s="1" t="s">
        <v>6495</v>
      </c>
      <c r="F507" s="1" t="s">
        <v>6496</v>
      </c>
      <c r="H507" s="2" t="s">
        <v>63</v>
      </c>
      <c r="I507" s="2" t="s">
        <v>64</v>
      </c>
      <c r="J507" s="2" t="s">
        <v>63</v>
      </c>
      <c r="K507" s="2" t="s">
        <v>63</v>
      </c>
      <c r="L507" s="2" t="s">
        <v>65</v>
      </c>
      <c r="M507" s="1" t="s">
        <v>6497</v>
      </c>
      <c r="N507" s="1" t="s">
        <v>6498</v>
      </c>
      <c r="O507" s="2" t="s">
        <v>6499</v>
      </c>
      <c r="Q507" s="2" t="s">
        <v>70</v>
      </c>
      <c r="R507" s="2" t="s">
        <v>133</v>
      </c>
      <c r="T507" s="2" t="s">
        <v>72</v>
      </c>
      <c r="U507" s="3">
        <v>8</v>
      </c>
      <c r="V507" s="3">
        <v>8</v>
      </c>
      <c r="W507" s="4" t="s">
        <v>6500</v>
      </c>
      <c r="X507" s="4" t="s">
        <v>6500</v>
      </c>
      <c r="Y507" s="4" t="s">
        <v>5022</v>
      </c>
      <c r="Z507" s="4" t="s">
        <v>5022</v>
      </c>
      <c r="AA507" s="3">
        <v>123</v>
      </c>
      <c r="AB507" s="3">
        <v>84</v>
      </c>
      <c r="AC507" s="3">
        <v>94</v>
      </c>
      <c r="AD507" s="3">
        <v>2</v>
      </c>
      <c r="AE507" s="3">
        <v>2</v>
      </c>
      <c r="AF507" s="3">
        <v>1</v>
      </c>
      <c r="AG507" s="3">
        <v>1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1</v>
      </c>
      <c r="AO507" s="3">
        <v>1</v>
      </c>
      <c r="AP507" s="3">
        <v>0</v>
      </c>
      <c r="AQ507" s="3">
        <v>0</v>
      </c>
      <c r="AR507" s="2" t="s">
        <v>92</v>
      </c>
      <c r="AS507" s="2" t="s">
        <v>63</v>
      </c>
      <c r="AT507" s="5" t="str">
        <f>HYPERLINK("http://catalog.hathitrust.org/Record/001585227","HathiTrust Record")</f>
        <v>HathiTrust Record</v>
      </c>
      <c r="AU507" s="5" t="str">
        <f>HYPERLINK("https://creighton-primo.hosted.exlibrisgroup.com/primo-explore/search?tab=default_tab&amp;search_scope=EVERYTHING&amp;vid=01CRU&amp;lang=en_US&amp;offset=0&amp;query=any,contains,991000963419702656","Catalog Record")</f>
        <v>Catalog Record</v>
      </c>
      <c r="AV507" s="5" t="str">
        <f>HYPERLINK("http://www.worldcat.org/oclc/729389","WorldCat Record")</f>
        <v>WorldCat Record</v>
      </c>
      <c r="AW507" s="2" t="s">
        <v>6501</v>
      </c>
      <c r="AX507" s="2" t="s">
        <v>6502</v>
      </c>
      <c r="AY507" s="2" t="s">
        <v>6503</v>
      </c>
      <c r="AZ507" s="2" t="s">
        <v>6503</v>
      </c>
      <c r="BA507" s="2" t="s">
        <v>6504</v>
      </c>
      <c r="BB507" s="2" t="s">
        <v>79</v>
      </c>
      <c r="BE507" s="2" t="s">
        <v>6505</v>
      </c>
      <c r="BF507" s="2" t="s">
        <v>6506</v>
      </c>
    </row>
    <row r="508" spans="1:58" ht="46.5" customHeight="1">
      <c r="A508" s="1"/>
      <c r="B508" s="1" t="s">
        <v>58</v>
      </c>
      <c r="C508" s="1" t="s">
        <v>59</v>
      </c>
      <c r="D508" s="1" t="s">
        <v>6507</v>
      </c>
      <c r="E508" s="1" t="s">
        <v>6508</v>
      </c>
      <c r="F508" s="1" t="s">
        <v>6509</v>
      </c>
      <c r="H508" s="2" t="s">
        <v>63</v>
      </c>
      <c r="I508" s="2" t="s">
        <v>64</v>
      </c>
      <c r="J508" s="2" t="s">
        <v>63</v>
      </c>
      <c r="K508" s="2" t="s">
        <v>63</v>
      </c>
      <c r="L508" s="2" t="s">
        <v>64</v>
      </c>
      <c r="N508" s="1" t="s">
        <v>6510</v>
      </c>
      <c r="O508" s="2" t="s">
        <v>454</v>
      </c>
      <c r="P508" s="1" t="s">
        <v>376</v>
      </c>
      <c r="Q508" s="2" t="s">
        <v>70</v>
      </c>
      <c r="R508" s="2" t="s">
        <v>377</v>
      </c>
      <c r="T508" s="2" t="s">
        <v>72</v>
      </c>
      <c r="U508" s="3">
        <v>0</v>
      </c>
      <c r="V508" s="3">
        <v>0</v>
      </c>
      <c r="W508" s="4" t="s">
        <v>3308</v>
      </c>
      <c r="X508" s="4" t="s">
        <v>3308</v>
      </c>
      <c r="Y508" s="4" t="s">
        <v>3309</v>
      </c>
      <c r="Z508" s="4" t="s">
        <v>3309</v>
      </c>
      <c r="AA508" s="3">
        <v>52</v>
      </c>
      <c r="AB508" s="3">
        <v>36</v>
      </c>
      <c r="AC508" s="3">
        <v>883</v>
      </c>
      <c r="AD508" s="3">
        <v>1</v>
      </c>
      <c r="AE508" s="3">
        <v>14</v>
      </c>
      <c r="AF508" s="3">
        <v>0</v>
      </c>
      <c r="AG508" s="3">
        <v>39</v>
      </c>
      <c r="AH508" s="3">
        <v>0</v>
      </c>
      <c r="AI508" s="3">
        <v>11</v>
      </c>
      <c r="AJ508" s="3">
        <v>0</v>
      </c>
      <c r="AK508" s="3">
        <v>9</v>
      </c>
      <c r="AL508" s="3">
        <v>0</v>
      </c>
      <c r="AM508" s="3">
        <v>10</v>
      </c>
      <c r="AN508" s="3">
        <v>0</v>
      </c>
      <c r="AO508" s="3">
        <v>12</v>
      </c>
      <c r="AP508" s="3">
        <v>0</v>
      </c>
      <c r="AQ508" s="3">
        <v>2</v>
      </c>
      <c r="AR508" s="2" t="s">
        <v>63</v>
      </c>
      <c r="AS508" s="2" t="s">
        <v>63</v>
      </c>
      <c r="AU508" s="5" t="str">
        <f>HYPERLINK("https://creighton-primo.hosted.exlibrisgroup.com/primo-explore/search?tab=default_tab&amp;search_scope=EVERYTHING&amp;vid=01CRU&amp;lang=en_US&amp;offset=0&amp;query=any,contains,991001463869702656","Catalog Record")</f>
        <v>Catalog Record</v>
      </c>
      <c r="AV508" s="5" t="str">
        <f>HYPERLINK("http://www.worldcat.org/oclc/317442710","WorldCat Record")</f>
        <v>WorldCat Record</v>
      </c>
      <c r="AW508" s="2" t="s">
        <v>6511</v>
      </c>
      <c r="AX508" s="2" t="s">
        <v>6512</v>
      </c>
      <c r="AY508" s="2" t="s">
        <v>6513</v>
      </c>
      <c r="AZ508" s="2" t="s">
        <v>6513</v>
      </c>
      <c r="BA508" s="2" t="s">
        <v>6514</v>
      </c>
      <c r="BB508" s="2" t="s">
        <v>79</v>
      </c>
      <c r="BD508" s="2" t="s">
        <v>6515</v>
      </c>
      <c r="BE508" s="2" t="s">
        <v>6516</v>
      </c>
      <c r="BF508" s="2" t="s">
        <v>6517</v>
      </c>
    </row>
    <row r="509" spans="1:58" ht="46.5" customHeight="1">
      <c r="A509" s="1"/>
      <c r="B509" s="1" t="s">
        <v>58</v>
      </c>
      <c r="C509" s="1" t="s">
        <v>59</v>
      </c>
      <c r="D509" s="1" t="s">
        <v>6518</v>
      </c>
      <c r="E509" s="1" t="s">
        <v>6519</v>
      </c>
      <c r="F509" s="1" t="s">
        <v>6520</v>
      </c>
      <c r="H509" s="2" t="s">
        <v>63</v>
      </c>
      <c r="I509" s="2" t="s">
        <v>64</v>
      </c>
      <c r="J509" s="2" t="s">
        <v>63</v>
      </c>
      <c r="K509" s="2" t="s">
        <v>63</v>
      </c>
      <c r="L509" s="2" t="s">
        <v>65</v>
      </c>
      <c r="N509" s="1" t="s">
        <v>6521</v>
      </c>
      <c r="O509" s="2" t="s">
        <v>484</v>
      </c>
      <c r="Q509" s="2" t="s">
        <v>70</v>
      </c>
      <c r="R509" s="2" t="s">
        <v>1541</v>
      </c>
      <c r="T509" s="2" t="s">
        <v>72</v>
      </c>
      <c r="U509" s="3">
        <v>1</v>
      </c>
      <c r="V509" s="3">
        <v>1</v>
      </c>
      <c r="W509" s="4" t="s">
        <v>6522</v>
      </c>
      <c r="X509" s="4" t="s">
        <v>6522</v>
      </c>
      <c r="Y509" s="4" t="s">
        <v>6523</v>
      </c>
      <c r="Z509" s="4" t="s">
        <v>6523</v>
      </c>
      <c r="AA509" s="3">
        <v>97</v>
      </c>
      <c r="AB509" s="3">
        <v>74</v>
      </c>
      <c r="AC509" s="3">
        <v>465</v>
      </c>
      <c r="AD509" s="3">
        <v>1</v>
      </c>
      <c r="AE509" s="3">
        <v>27</v>
      </c>
      <c r="AF509" s="3">
        <v>1</v>
      </c>
      <c r="AG509" s="3">
        <v>13</v>
      </c>
      <c r="AH509" s="3">
        <v>0</v>
      </c>
      <c r="AI509" s="3">
        <v>2</v>
      </c>
      <c r="AJ509" s="3">
        <v>1</v>
      </c>
      <c r="AK509" s="3">
        <v>1</v>
      </c>
      <c r="AL509" s="3">
        <v>1</v>
      </c>
      <c r="AM509" s="3">
        <v>3</v>
      </c>
      <c r="AN509" s="3">
        <v>0</v>
      </c>
      <c r="AO509" s="3">
        <v>8</v>
      </c>
      <c r="AP509" s="3">
        <v>0</v>
      </c>
      <c r="AQ509" s="3">
        <v>0</v>
      </c>
      <c r="AR509" s="2" t="s">
        <v>63</v>
      </c>
      <c r="AS509" s="2" t="s">
        <v>63</v>
      </c>
      <c r="AU509" s="5" t="str">
        <f>HYPERLINK("https://creighton-primo.hosted.exlibrisgroup.com/primo-explore/search?tab=default_tab&amp;search_scope=EVERYTHING&amp;vid=01CRU&amp;lang=en_US&amp;offset=0&amp;query=any,contains,991000423149702656","Catalog Record")</f>
        <v>Catalog Record</v>
      </c>
      <c r="AV509" s="5" t="str">
        <f>HYPERLINK("http://www.worldcat.org/oclc/52387988","WorldCat Record")</f>
        <v>WorldCat Record</v>
      </c>
      <c r="AW509" s="2" t="s">
        <v>6524</v>
      </c>
      <c r="AX509" s="2" t="s">
        <v>6525</v>
      </c>
      <c r="AY509" s="2" t="s">
        <v>6526</v>
      </c>
      <c r="AZ509" s="2" t="s">
        <v>6526</v>
      </c>
      <c r="BA509" s="2" t="s">
        <v>6527</v>
      </c>
      <c r="BB509" s="2" t="s">
        <v>79</v>
      </c>
      <c r="BD509" s="2" t="s">
        <v>6528</v>
      </c>
      <c r="BE509" s="2" t="s">
        <v>6529</v>
      </c>
      <c r="BF509" s="2" t="s">
        <v>6530</v>
      </c>
    </row>
    <row r="510" spans="1:58" ht="46.5" customHeight="1">
      <c r="A510" s="1"/>
      <c r="B510" s="1" t="s">
        <v>58</v>
      </c>
      <c r="C510" s="1" t="s">
        <v>59</v>
      </c>
      <c r="D510" s="1" t="s">
        <v>6531</v>
      </c>
      <c r="E510" s="1" t="s">
        <v>6532</v>
      </c>
      <c r="F510" s="1" t="s">
        <v>6533</v>
      </c>
      <c r="H510" s="2" t="s">
        <v>63</v>
      </c>
      <c r="I510" s="2" t="s">
        <v>64</v>
      </c>
      <c r="J510" s="2" t="s">
        <v>63</v>
      </c>
      <c r="K510" s="2" t="s">
        <v>63</v>
      </c>
      <c r="L510" s="2" t="s">
        <v>65</v>
      </c>
      <c r="M510" s="1" t="s">
        <v>6534</v>
      </c>
      <c r="N510" s="1" t="s">
        <v>6535</v>
      </c>
      <c r="O510" s="2" t="s">
        <v>6536</v>
      </c>
      <c r="P510" s="1" t="s">
        <v>376</v>
      </c>
      <c r="Q510" s="2" t="s">
        <v>70</v>
      </c>
      <c r="R510" s="2" t="s">
        <v>277</v>
      </c>
      <c r="T510" s="2" t="s">
        <v>72</v>
      </c>
      <c r="U510" s="3">
        <v>3</v>
      </c>
      <c r="V510" s="3">
        <v>3</v>
      </c>
      <c r="W510" s="4" t="s">
        <v>6537</v>
      </c>
      <c r="X510" s="4" t="s">
        <v>6537</v>
      </c>
      <c r="Y510" s="4" t="s">
        <v>5022</v>
      </c>
      <c r="Z510" s="4" t="s">
        <v>5022</v>
      </c>
      <c r="AA510" s="3">
        <v>216</v>
      </c>
      <c r="AB510" s="3">
        <v>208</v>
      </c>
      <c r="AC510" s="3">
        <v>232</v>
      </c>
      <c r="AD510" s="3">
        <v>3</v>
      </c>
      <c r="AE510" s="3">
        <v>3</v>
      </c>
      <c r="AF510" s="3">
        <v>7</v>
      </c>
      <c r="AG510" s="3">
        <v>7</v>
      </c>
      <c r="AH510" s="3">
        <v>1</v>
      </c>
      <c r="AI510" s="3">
        <v>1</v>
      </c>
      <c r="AJ510" s="3">
        <v>0</v>
      </c>
      <c r="AK510" s="3">
        <v>0</v>
      </c>
      <c r="AL510" s="3">
        <v>5</v>
      </c>
      <c r="AM510" s="3">
        <v>5</v>
      </c>
      <c r="AN510" s="3">
        <v>2</v>
      </c>
      <c r="AO510" s="3">
        <v>2</v>
      </c>
      <c r="AP510" s="3">
        <v>0</v>
      </c>
      <c r="AQ510" s="3">
        <v>0</v>
      </c>
      <c r="AR510" s="2" t="s">
        <v>63</v>
      </c>
      <c r="AS510" s="2" t="s">
        <v>92</v>
      </c>
      <c r="AT510" s="5" t="str">
        <f>HYPERLINK("http://catalog.hathitrust.org/Record/001622159","HathiTrust Record")</f>
        <v>HathiTrust Record</v>
      </c>
      <c r="AU510" s="5" t="str">
        <f>HYPERLINK("https://creighton-primo.hosted.exlibrisgroup.com/primo-explore/search?tab=default_tab&amp;search_scope=EVERYTHING&amp;vid=01CRU&amp;lang=en_US&amp;offset=0&amp;query=any,contains,991000963459702656","Catalog Record")</f>
        <v>Catalog Record</v>
      </c>
      <c r="AV510" s="5" t="str">
        <f>HYPERLINK("http://www.worldcat.org/oclc/14750447","WorldCat Record")</f>
        <v>WorldCat Record</v>
      </c>
      <c r="AW510" s="2" t="s">
        <v>6538</v>
      </c>
      <c r="AX510" s="2" t="s">
        <v>6539</v>
      </c>
      <c r="AY510" s="2" t="s">
        <v>6540</v>
      </c>
      <c r="AZ510" s="2" t="s">
        <v>6540</v>
      </c>
      <c r="BA510" s="2" t="s">
        <v>6541</v>
      </c>
      <c r="BB510" s="2" t="s">
        <v>79</v>
      </c>
      <c r="BE510" s="2" t="s">
        <v>6542</v>
      </c>
      <c r="BF510" s="2" t="s">
        <v>6543</v>
      </c>
    </row>
    <row r="511" spans="1:58" ht="46.5" customHeight="1">
      <c r="A511" s="1"/>
      <c r="B511" s="1" t="s">
        <v>58</v>
      </c>
      <c r="C511" s="1" t="s">
        <v>59</v>
      </c>
      <c r="D511" s="1" t="s">
        <v>6544</v>
      </c>
      <c r="E511" s="1" t="s">
        <v>6545</v>
      </c>
      <c r="F511" s="1" t="s">
        <v>6546</v>
      </c>
      <c r="H511" s="2" t="s">
        <v>63</v>
      </c>
      <c r="I511" s="2" t="s">
        <v>64</v>
      </c>
      <c r="J511" s="2" t="s">
        <v>63</v>
      </c>
      <c r="K511" s="2" t="s">
        <v>63</v>
      </c>
      <c r="L511" s="2" t="s">
        <v>65</v>
      </c>
      <c r="M511" s="1" t="s">
        <v>6547</v>
      </c>
      <c r="N511" s="1" t="s">
        <v>6548</v>
      </c>
      <c r="O511" s="2" t="s">
        <v>594</v>
      </c>
      <c r="P511" s="1" t="s">
        <v>376</v>
      </c>
      <c r="Q511" s="2" t="s">
        <v>70</v>
      </c>
      <c r="R511" s="2" t="s">
        <v>892</v>
      </c>
      <c r="T511" s="2" t="s">
        <v>72</v>
      </c>
      <c r="U511" s="3">
        <v>5</v>
      </c>
      <c r="V511" s="3">
        <v>5</v>
      </c>
      <c r="W511" s="4" t="s">
        <v>6549</v>
      </c>
      <c r="X511" s="4" t="s">
        <v>6549</v>
      </c>
      <c r="Y511" s="4" t="s">
        <v>1696</v>
      </c>
      <c r="Z511" s="4" t="s">
        <v>1696</v>
      </c>
      <c r="AA511" s="3">
        <v>58</v>
      </c>
      <c r="AB511" s="3">
        <v>44</v>
      </c>
      <c r="AC511" s="3">
        <v>46</v>
      </c>
      <c r="AD511" s="3">
        <v>1</v>
      </c>
      <c r="AE511" s="3">
        <v>1</v>
      </c>
      <c r="AF511" s="3">
        <v>2</v>
      </c>
      <c r="AG511" s="3">
        <v>2</v>
      </c>
      <c r="AH511" s="3">
        <v>1</v>
      </c>
      <c r="AI511" s="3">
        <v>1</v>
      </c>
      <c r="AJ511" s="3">
        <v>2</v>
      </c>
      <c r="AK511" s="3">
        <v>2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2" t="s">
        <v>63</v>
      </c>
      <c r="AS511" s="2" t="s">
        <v>92</v>
      </c>
      <c r="AT511" s="5" t="str">
        <f>HYPERLINK("http://catalog.hathitrust.org/Record/000703258","HathiTrust Record")</f>
        <v>HathiTrust Record</v>
      </c>
      <c r="AU511" s="5" t="str">
        <f>HYPERLINK("https://creighton-primo.hosted.exlibrisgroup.com/primo-explore/search?tab=default_tab&amp;search_scope=EVERYTHING&amp;vid=01CRU&amp;lang=en_US&amp;offset=0&amp;query=any,contains,991000963319702656","Catalog Record")</f>
        <v>Catalog Record</v>
      </c>
      <c r="AV511" s="5" t="str">
        <f>HYPERLINK("http://www.worldcat.org/oclc/1949951","WorldCat Record")</f>
        <v>WorldCat Record</v>
      </c>
      <c r="AW511" s="2" t="s">
        <v>6550</v>
      </c>
      <c r="AX511" s="2" t="s">
        <v>6551</v>
      </c>
      <c r="AY511" s="2" t="s">
        <v>6552</v>
      </c>
      <c r="AZ511" s="2" t="s">
        <v>6552</v>
      </c>
      <c r="BA511" s="2" t="s">
        <v>6553</v>
      </c>
      <c r="BB511" s="2" t="s">
        <v>79</v>
      </c>
      <c r="BE511" s="2" t="s">
        <v>6554</v>
      </c>
      <c r="BF511" s="2" t="s">
        <v>6555</v>
      </c>
    </row>
    <row r="512" spans="1:58" ht="46.5" customHeight="1">
      <c r="A512" s="1"/>
      <c r="B512" s="1" t="s">
        <v>58</v>
      </c>
      <c r="C512" s="1" t="s">
        <v>59</v>
      </c>
      <c r="D512" s="1" t="s">
        <v>6556</v>
      </c>
      <c r="E512" s="1" t="s">
        <v>6557</v>
      </c>
      <c r="F512" s="1" t="s">
        <v>6558</v>
      </c>
      <c r="H512" s="2" t="s">
        <v>63</v>
      </c>
      <c r="I512" s="2" t="s">
        <v>64</v>
      </c>
      <c r="J512" s="2" t="s">
        <v>63</v>
      </c>
      <c r="K512" s="2" t="s">
        <v>63</v>
      </c>
      <c r="L512" s="2" t="s">
        <v>65</v>
      </c>
      <c r="M512" s="1" t="s">
        <v>6559</v>
      </c>
      <c r="N512" s="1" t="s">
        <v>6560</v>
      </c>
      <c r="O512" s="2" t="s">
        <v>468</v>
      </c>
      <c r="Q512" s="2" t="s">
        <v>70</v>
      </c>
      <c r="R512" s="2" t="s">
        <v>260</v>
      </c>
      <c r="T512" s="2" t="s">
        <v>72</v>
      </c>
      <c r="U512" s="3">
        <v>3</v>
      </c>
      <c r="V512" s="3">
        <v>3</v>
      </c>
      <c r="W512" s="4" t="s">
        <v>6561</v>
      </c>
      <c r="X512" s="4" t="s">
        <v>6561</v>
      </c>
      <c r="Y512" s="4" t="s">
        <v>4850</v>
      </c>
      <c r="Z512" s="4" t="s">
        <v>4850</v>
      </c>
      <c r="AA512" s="3">
        <v>102</v>
      </c>
      <c r="AB512" s="3">
        <v>75</v>
      </c>
      <c r="AC512" s="3">
        <v>77</v>
      </c>
      <c r="AD512" s="3">
        <v>2</v>
      </c>
      <c r="AE512" s="3">
        <v>2</v>
      </c>
      <c r="AF512" s="3">
        <v>3</v>
      </c>
      <c r="AG512" s="3">
        <v>3</v>
      </c>
      <c r="AH512" s="3">
        <v>2</v>
      </c>
      <c r="AI512" s="3">
        <v>2</v>
      </c>
      <c r="AJ512" s="3">
        <v>0</v>
      </c>
      <c r="AK512" s="3">
        <v>0</v>
      </c>
      <c r="AL512" s="3">
        <v>0</v>
      </c>
      <c r="AM512" s="3">
        <v>0</v>
      </c>
      <c r="AN512" s="3">
        <v>1</v>
      </c>
      <c r="AO512" s="3">
        <v>1</v>
      </c>
      <c r="AP512" s="3">
        <v>0</v>
      </c>
      <c r="AQ512" s="3">
        <v>0</v>
      </c>
      <c r="AR512" s="2" t="s">
        <v>63</v>
      </c>
      <c r="AS512" s="2" t="s">
        <v>92</v>
      </c>
      <c r="AT512" s="5" t="str">
        <f>HYPERLINK("http://catalog.hathitrust.org/Record/001573776","HathiTrust Record")</f>
        <v>HathiTrust Record</v>
      </c>
      <c r="AU512" s="5" t="str">
        <f>HYPERLINK("https://creighton-primo.hosted.exlibrisgroup.com/primo-explore/search?tab=default_tab&amp;search_scope=EVERYTHING&amp;vid=01CRU&amp;lang=en_US&amp;offset=0&amp;query=any,contains,991000964089702656","Catalog Record")</f>
        <v>Catalog Record</v>
      </c>
      <c r="AV512" s="5" t="str">
        <f>HYPERLINK("http://www.worldcat.org/oclc/413012","WorldCat Record")</f>
        <v>WorldCat Record</v>
      </c>
      <c r="AW512" s="2" t="s">
        <v>6562</v>
      </c>
      <c r="AX512" s="2" t="s">
        <v>6563</v>
      </c>
      <c r="AY512" s="2" t="s">
        <v>6564</v>
      </c>
      <c r="AZ512" s="2" t="s">
        <v>6564</v>
      </c>
      <c r="BA512" s="2" t="s">
        <v>6565</v>
      </c>
      <c r="BB512" s="2" t="s">
        <v>79</v>
      </c>
      <c r="BE512" s="2" t="s">
        <v>6566</v>
      </c>
      <c r="BF512" s="2" t="s">
        <v>6567</v>
      </c>
    </row>
    <row r="513" spans="1:58" ht="46.5" customHeight="1">
      <c r="A513" s="1"/>
      <c r="B513" s="1" t="s">
        <v>58</v>
      </c>
      <c r="C513" s="1" t="s">
        <v>59</v>
      </c>
      <c r="D513" s="1" t="s">
        <v>6568</v>
      </c>
      <c r="E513" s="1" t="s">
        <v>6569</v>
      </c>
      <c r="F513" s="1" t="s">
        <v>6570</v>
      </c>
      <c r="H513" s="2" t="s">
        <v>63</v>
      </c>
      <c r="I513" s="2" t="s">
        <v>64</v>
      </c>
      <c r="J513" s="2" t="s">
        <v>63</v>
      </c>
      <c r="K513" s="2" t="s">
        <v>63</v>
      </c>
      <c r="L513" s="2" t="s">
        <v>65</v>
      </c>
      <c r="N513" s="1" t="s">
        <v>6571</v>
      </c>
      <c r="O513" s="2" t="s">
        <v>215</v>
      </c>
      <c r="P513" s="1" t="s">
        <v>6572</v>
      </c>
      <c r="Q513" s="2" t="s">
        <v>70</v>
      </c>
      <c r="R513" s="2" t="s">
        <v>377</v>
      </c>
      <c r="T513" s="2" t="s">
        <v>72</v>
      </c>
      <c r="U513" s="3">
        <v>15</v>
      </c>
      <c r="V513" s="3">
        <v>15</v>
      </c>
      <c r="W513" s="4" t="s">
        <v>4751</v>
      </c>
      <c r="X513" s="4" t="s">
        <v>4751</v>
      </c>
      <c r="Y513" s="4" t="s">
        <v>5022</v>
      </c>
      <c r="Z513" s="4" t="s">
        <v>5022</v>
      </c>
      <c r="AA513" s="3">
        <v>118</v>
      </c>
      <c r="AB513" s="3">
        <v>56</v>
      </c>
      <c r="AC513" s="3">
        <v>86</v>
      </c>
      <c r="AD513" s="3">
        <v>1</v>
      </c>
      <c r="AE513" s="3">
        <v>2</v>
      </c>
      <c r="AF513" s="3">
        <v>0</v>
      </c>
      <c r="AG513" s="3">
        <v>2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1</v>
      </c>
      <c r="AN513" s="3">
        <v>0</v>
      </c>
      <c r="AO513" s="3">
        <v>1</v>
      </c>
      <c r="AP513" s="3">
        <v>0</v>
      </c>
      <c r="AQ513" s="3">
        <v>0</v>
      </c>
      <c r="AR513" s="2" t="s">
        <v>63</v>
      </c>
      <c r="AS513" s="2" t="s">
        <v>92</v>
      </c>
      <c r="AT513" s="5" t="str">
        <f>HYPERLINK("http://catalog.hathitrust.org/Record/000652729","HathiTrust Record")</f>
        <v>HathiTrust Record</v>
      </c>
      <c r="AU513" s="5" t="str">
        <f>HYPERLINK("https://creighton-primo.hosted.exlibrisgroup.com/primo-explore/search?tab=default_tab&amp;search_scope=EVERYTHING&amp;vid=01CRU&amp;lang=en_US&amp;offset=0&amp;query=any,contains,991000963879702656","Catalog Record")</f>
        <v>Catalog Record</v>
      </c>
      <c r="AV513" s="5" t="str">
        <f>HYPERLINK("http://www.worldcat.org/oclc/11497453","WorldCat Record")</f>
        <v>WorldCat Record</v>
      </c>
      <c r="AW513" s="2" t="s">
        <v>6573</v>
      </c>
      <c r="AX513" s="2" t="s">
        <v>6574</v>
      </c>
      <c r="AY513" s="2" t="s">
        <v>6575</v>
      </c>
      <c r="AZ513" s="2" t="s">
        <v>6575</v>
      </c>
      <c r="BA513" s="2" t="s">
        <v>6576</v>
      </c>
      <c r="BB513" s="2" t="s">
        <v>79</v>
      </c>
      <c r="BD513" s="2" t="s">
        <v>6577</v>
      </c>
      <c r="BE513" s="2" t="s">
        <v>6578</v>
      </c>
      <c r="BF513" s="2" t="s">
        <v>6579</v>
      </c>
    </row>
    <row r="514" spans="1:58" ht="46.5" customHeight="1">
      <c r="A514" s="1"/>
      <c r="B514" s="1" t="s">
        <v>58</v>
      </c>
      <c r="C514" s="1" t="s">
        <v>59</v>
      </c>
      <c r="D514" s="1" t="s">
        <v>6580</v>
      </c>
      <c r="E514" s="1" t="s">
        <v>6581</v>
      </c>
      <c r="F514" s="1" t="s">
        <v>6582</v>
      </c>
      <c r="H514" s="2" t="s">
        <v>63</v>
      </c>
      <c r="I514" s="2" t="s">
        <v>64</v>
      </c>
      <c r="J514" s="2" t="s">
        <v>63</v>
      </c>
      <c r="K514" s="2" t="s">
        <v>63</v>
      </c>
      <c r="L514" s="2" t="s">
        <v>65</v>
      </c>
      <c r="M514" s="1" t="s">
        <v>6583</v>
      </c>
      <c r="N514" s="1" t="s">
        <v>6584</v>
      </c>
      <c r="O514" s="2" t="s">
        <v>1175</v>
      </c>
      <c r="Q514" s="2" t="s">
        <v>70</v>
      </c>
      <c r="R514" s="2" t="s">
        <v>424</v>
      </c>
      <c r="T514" s="2" t="s">
        <v>72</v>
      </c>
      <c r="U514" s="3">
        <v>3</v>
      </c>
      <c r="V514" s="3">
        <v>3</v>
      </c>
      <c r="W514" s="4" t="s">
        <v>6561</v>
      </c>
      <c r="X514" s="4" t="s">
        <v>6561</v>
      </c>
      <c r="Y514" s="4" t="s">
        <v>5022</v>
      </c>
      <c r="Z514" s="4" t="s">
        <v>5022</v>
      </c>
      <c r="AA514" s="3">
        <v>83</v>
      </c>
      <c r="AB514" s="3">
        <v>51</v>
      </c>
      <c r="AC514" s="3">
        <v>52</v>
      </c>
      <c r="AD514" s="3">
        <v>2</v>
      </c>
      <c r="AE514" s="3">
        <v>2</v>
      </c>
      <c r="AF514" s="3">
        <v>2</v>
      </c>
      <c r="AG514" s="3">
        <v>2</v>
      </c>
      <c r="AH514" s="3">
        <v>1</v>
      </c>
      <c r="AI514" s="3">
        <v>1</v>
      </c>
      <c r="AJ514" s="3">
        <v>0</v>
      </c>
      <c r="AK514" s="3">
        <v>0</v>
      </c>
      <c r="AL514" s="3">
        <v>0</v>
      </c>
      <c r="AM514" s="3">
        <v>0</v>
      </c>
      <c r="AN514" s="3">
        <v>1</v>
      </c>
      <c r="AO514" s="3">
        <v>1</v>
      </c>
      <c r="AP514" s="3">
        <v>0</v>
      </c>
      <c r="AQ514" s="3">
        <v>0</v>
      </c>
      <c r="AR514" s="2" t="s">
        <v>63</v>
      </c>
      <c r="AS514" s="2" t="s">
        <v>92</v>
      </c>
      <c r="AT514" s="5" t="str">
        <f>HYPERLINK("http://catalog.hathitrust.org/Record/009863485","HathiTrust Record")</f>
        <v>HathiTrust Record</v>
      </c>
      <c r="AU514" s="5" t="str">
        <f>HYPERLINK("https://creighton-primo.hosted.exlibrisgroup.com/primo-explore/search?tab=default_tab&amp;search_scope=EVERYTHING&amp;vid=01CRU&amp;lang=en_US&amp;offset=0&amp;query=any,contains,991000963839702656","Catalog Record")</f>
        <v>Catalog Record</v>
      </c>
      <c r="AV514" s="5" t="str">
        <f>HYPERLINK("http://www.worldcat.org/oclc/8032101","WorldCat Record")</f>
        <v>WorldCat Record</v>
      </c>
      <c r="AW514" s="2" t="s">
        <v>6585</v>
      </c>
      <c r="AX514" s="2" t="s">
        <v>6586</v>
      </c>
      <c r="AY514" s="2" t="s">
        <v>6587</v>
      </c>
      <c r="AZ514" s="2" t="s">
        <v>6587</v>
      </c>
      <c r="BA514" s="2" t="s">
        <v>6588</v>
      </c>
      <c r="BB514" s="2" t="s">
        <v>79</v>
      </c>
      <c r="BD514" s="2" t="s">
        <v>6589</v>
      </c>
      <c r="BE514" s="2" t="s">
        <v>6590</v>
      </c>
      <c r="BF514" s="2" t="s">
        <v>6591</v>
      </c>
    </row>
    <row r="515" spans="1:58" ht="46.5" customHeight="1">
      <c r="A515" s="1"/>
      <c r="B515" s="1" t="s">
        <v>58</v>
      </c>
      <c r="C515" s="1" t="s">
        <v>59</v>
      </c>
      <c r="D515" s="1" t="s">
        <v>6592</v>
      </c>
      <c r="E515" s="1" t="s">
        <v>6593</v>
      </c>
      <c r="F515" s="1" t="s">
        <v>6594</v>
      </c>
      <c r="H515" s="2" t="s">
        <v>63</v>
      </c>
      <c r="I515" s="2" t="s">
        <v>64</v>
      </c>
      <c r="J515" s="2" t="s">
        <v>63</v>
      </c>
      <c r="K515" s="2" t="s">
        <v>63</v>
      </c>
      <c r="L515" s="2" t="s">
        <v>65</v>
      </c>
      <c r="M515" s="1" t="s">
        <v>6595</v>
      </c>
      <c r="N515" s="1" t="s">
        <v>6596</v>
      </c>
      <c r="O515" s="2" t="s">
        <v>1693</v>
      </c>
      <c r="Q515" s="2" t="s">
        <v>70</v>
      </c>
      <c r="R515" s="2" t="s">
        <v>691</v>
      </c>
      <c r="T515" s="2" t="s">
        <v>72</v>
      </c>
      <c r="U515" s="3">
        <v>8</v>
      </c>
      <c r="V515" s="3">
        <v>8</v>
      </c>
      <c r="W515" s="4" t="s">
        <v>6597</v>
      </c>
      <c r="X515" s="4" t="s">
        <v>6597</v>
      </c>
      <c r="Y515" s="4" t="s">
        <v>4850</v>
      </c>
      <c r="Z515" s="4" t="s">
        <v>4850</v>
      </c>
      <c r="AA515" s="3">
        <v>72</v>
      </c>
      <c r="AB515" s="3">
        <v>42</v>
      </c>
      <c r="AC515" s="3">
        <v>56</v>
      </c>
      <c r="AD515" s="3">
        <v>2</v>
      </c>
      <c r="AE515" s="3">
        <v>2</v>
      </c>
      <c r="AF515" s="3">
        <v>4</v>
      </c>
      <c r="AG515" s="3">
        <v>4</v>
      </c>
      <c r="AH515" s="3">
        <v>2</v>
      </c>
      <c r="AI515" s="3">
        <v>2</v>
      </c>
      <c r="AJ515" s="3">
        <v>1</v>
      </c>
      <c r="AK515" s="3">
        <v>1</v>
      </c>
      <c r="AL515" s="3">
        <v>0</v>
      </c>
      <c r="AM515" s="3">
        <v>0</v>
      </c>
      <c r="AN515" s="3">
        <v>1</v>
      </c>
      <c r="AO515" s="3">
        <v>1</v>
      </c>
      <c r="AP515" s="3">
        <v>0</v>
      </c>
      <c r="AQ515" s="3">
        <v>0</v>
      </c>
      <c r="AR515" s="2" t="s">
        <v>63</v>
      </c>
      <c r="AS515" s="2" t="s">
        <v>92</v>
      </c>
      <c r="AT515" s="5" t="str">
        <f>HYPERLINK("http://catalog.hathitrust.org/Record/001573624","HathiTrust Record")</f>
        <v>HathiTrust Record</v>
      </c>
      <c r="AU515" s="5" t="str">
        <f>HYPERLINK("https://creighton-primo.hosted.exlibrisgroup.com/primo-explore/search?tab=default_tab&amp;search_scope=EVERYTHING&amp;vid=01CRU&amp;lang=en_US&amp;offset=0&amp;query=any,contains,991000963799702656","Catalog Record")</f>
        <v>Catalog Record</v>
      </c>
      <c r="AV515" s="5" t="str">
        <f>HYPERLINK("http://www.worldcat.org/oclc/756773","WorldCat Record")</f>
        <v>WorldCat Record</v>
      </c>
      <c r="AW515" s="2" t="s">
        <v>6598</v>
      </c>
      <c r="AX515" s="2" t="s">
        <v>6599</v>
      </c>
      <c r="AY515" s="2" t="s">
        <v>6600</v>
      </c>
      <c r="AZ515" s="2" t="s">
        <v>6600</v>
      </c>
      <c r="BA515" s="2" t="s">
        <v>6601</v>
      </c>
      <c r="BB515" s="2" t="s">
        <v>79</v>
      </c>
      <c r="BE515" s="2" t="s">
        <v>6602</v>
      </c>
      <c r="BF515" s="2" t="s">
        <v>6603</v>
      </c>
    </row>
    <row r="516" spans="1:58" ht="46.5" customHeight="1">
      <c r="A516" s="1"/>
      <c r="B516" s="1" t="s">
        <v>58</v>
      </c>
      <c r="C516" s="1" t="s">
        <v>59</v>
      </c>
      <c r="D516" s="1" t="s">
        <v>6604</v>
      </c>
      <c r="E516" s="1" t="s">
        <v>6605</v>
      </c>
      <c r="F516" s="1" t="s">
        <v>6606</v>
      </c>
      <c r="H516" s="2" t="s">
        <v>63</v>
      </c>
      <c r="I516" s="2" t="s">
        <v>64</v>
      </c>
      <c r="J516" s="2" t="s">
        <v>63</v>
      </c>
      <c r="K516" s="2" t="s">
        <v>63</v>
      </c>
      <c r="L516" s="2" t="s">
        <v>65</v>
      </c>
      <c r="M516" s="1" t="s">
        <v>6607</v>
      </c>
      <c r="N516" s="1" t="s">
        <v>6608</v>
      </c>
      <c r="O516" s="2" t="s">
        <v>6609</v>
      </c>
      <c r="P516" s="1" t="s">
        <v>69</v>
      </c>
      <c r="Q516" s="2" t="s">
        <v>70</v>
      </c>
      <c r="R516" s="2" t="s">
        <v>260</v>
      </c>
      <c r="T516" s="2" t="s">
        <v>72</v>
      </c>
      <c r="U516" s="3">
        <v>13</v>
      </c>
      <c r="V516" s="3">
        <v>13</v>
      </c>
      <c r="W516" s="4" t="s">
        <v>1636</v>
      </c>
      <c r="X516" s="4" t="s">
        <v>1636</v>
      </c>
      <c r="Y516" s="4" t="s">
        <v>6610</v>
      </c>
      <c r="Z516" s="4" t="s">
        <v>6610</v>
      </c>
      <c r="AA516" s="3">
        <v>70</v>
      </c>
      <c r="AB516" s="3">
        <v>46</v>
      </c>
      <c r="AC516" s="3">
        <v>48</v>
      </c>
      <c r="AD516" s="3">
        <v>1</v>
      </c>
      <c r="AE516" s="3">
        <v>1</v>
      </c>
      <c r="AF516" s="3">
        <v>3</v>
      </c>
      <c r="AG516" s="3">
        <v>3</v>
      </c>
      <c r="AH516" s="3">
        <v>2</v>
      </c>
      <c r="AI516" s="3">
        <v>2</v>
      </c>
      <c r="AJ516" s="3">
        <v>2</v>
      </c>
      <c r="AK516" s="3">
        <v>2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2" t="s">
        <v>63</v>
      </c>
      <c r="AS516" s="2" t="s">
        <v>63</v>
      </c>
      <c r="AT516" s="5" t="str">
        <f>HYPERLINK("http://catalog.hathitrust.org/Record/001573927","HathiTrust Record")</f>
        <v>HathiTrust Record</v>
      </c>
      <c r="AU516" s="5" t="str">
        <f>HYPERLINK("https://creighton-primo.hosted.exlibrisgroup.com/primo-explore/search?tab=default_tab&amp;search_scope=EVERYTHING&amp;vid=01CRU&amp;lang=en_US&amp;offset=0&amp;query=any,contains,991000963699702656","Catalog Record")</f>
        <v>Catalog Record</v>
      </c>
      <c r="AV516" s="5" t="str">
        <f>HYPERLINK("http://www.worldcat.org/oclc/2414081","WorldCat Record")</f>
        <v>WorldCat Record</v>
      </c>
      <c r="AW516" s="2" t="s">
        <v>6611</v>
      </c>
      <c r="AX516" s="2" t="s">
        <v>6612</v>
      </c>
      <c r="AY516" s="2" t="s">
        <v>6613</v>
      </c>
      <c r="AZ516" s="2" t="s">
        <v>6613</v>
      </c>
      <c r="BA516" s="2" t="s">
        <v>6614</v>
      </c>
      <c r="BB516" s="2" t="s">
        <v>79</v>
      </c>
      <c r="BE516" s="2" t="s">
        <v>6615</v>
      </c>
      <c r="BF516" s="2" t="s">
        <v>6616</v>
      </c>
    </row>
    <row r="517" spans="1:58" ht="46.5" customHeight="1">
      <c r="A517" s="1"/>
      <c r="B517" s="1" t="s">
        <v>58</v>
      </c>
      <c r="C517" s="1" t="s">
        <v>59</v>
      </c>
      <c r="D517" s="1" t="s">
        <v>6617</v>
      </c>
      <c r="E517" s="1" t="s">
        <v>6618</v>
      </c>
      <c r="F517" s="1" t="s">
        <v>6619</v>
      </c>
      <c r="H517" s="2" t="s">
        <v>63</v>
      </c>
      <c r="I517" s="2" t="s">
        <v>64</v>
      </c>
      <c r="J517" s="2" t="s">
        <v>63</v>
      </c>
      <c r="K517" s="2" t="s">
        <v>63</v>
      </c>
      <c r="L517" s="2" t="s">
        <v>65</v>
      </c>
      <c r="N517" s="1" t="s">
        <v>6620</v>
      </c>
      <c r="O517" s="2" t="s">
        <v>468</v>
      </c>
      <c r="Q517" s="2" t="s">
        <v>70</v>
      </c>
      <c r="R517" s="2" t="s">
        <v>200</v>
      </c>
      <c r="T517" s="2" t="s">
        <v>72</v>
      </c>
      <c r="U517" s="3">
        <v>10</v>
      </c>
      <c r="V517" s="3">
        <v>10</v>
      </c>
      <c r="W517" s="4" t="s">
        <v>6621</v>
      </c>
      <c r="X517" s="4" t="s">
        <v>6621</v>
      </c>
      <c r="Y517" s="4" t="s">
        <v>5022</v>
      </c>
      <c r="Z517" s="4" t="s">
        <v>5022</v>
      </c>
      <c r="AA517" s="3">
        <v>74</v>
      </c>
      <c r="AB517" s="3">
        <v>52</v>
      </c>
      <c r="AC517" s="3">
        <v>54</v>
      </c>
      <c r="AD517" s="3">
        <v>2</v>
      </c>
      <c r="AE517" s="3">
        <v>2</v>
      </c>
      <c r="AF517" s="3">
        <v>2</v>
      </c>
      <c r="AG517" s="3">
        <v>2</v>
      </c>
      <c r="AH517" s="3">
        <v>1</v>
      </c>
      <c r="AI517" s="3">
        <v>1</v>
      </c>
      <c r="AJ517" s="3">
        <v>0</v>
      </c>
      <c r="AK517" s="3">
        <v>0</v>
      </c>
      <c r="AL517" s="3">
        <v>0</v>
      </c>
      <c r="AM517" s="3">
        <v>0</v>
      </c>
      <c r="AN517" s="3">
        <v>1</v>
      </c>
      <c r="AO517" s="3">
        <v>1</v>
      </c>
      <c r="AP517" s="3">
        <v>0</v>
      </c>
      <c r="AQ517" s="3">
        <v>0</v>
      </c>
      <c r="AR517" s="2" t="s">
        <v>63</v>
      </c>
      <c r="AS517" s="2" t="s">
        <v>92</v>
      </c>
      <c r="AT517" s="5" t="str">
        <f>HYPERLINK("http://catalog.hathitrust.org/Record/001573646","HathiTrust Record")</f>
        <v>HathiTrust Record</v>
      </c>
      <c r="AU517" s="5" t="str">
        <f>HYPERLINK("https://creighton-primo.hosted.exlibrisgroup.com/primo-explore/search?tab=default_tab&amp;search_scope=EVERYTHING&amp;vid=01CRU&amp;lang=en_US&amp;offset=0&amp;query=any,contains,991000963649702656","Catalog Record")</f>
        <v>Catalog Record</v>
      </c>
      <c r="AV517" s="5" t="str">
        <f>HYPERLINK("http://www.worldcat.org/oclc/487738","WorldCat Record")</f>
        <v>WorldCat Record</v>
      </c>
      <c r="AW517" s="2" t="s">
        <v>6622</v>
      </c>
      <c r="AX517" s="2" t="s">
        <v>6623</v>
      </c>
      <c r="AY517" s="2" t="s">
        <v>6624</v>
      </c>
      <c r="AZ517" s="2" t="s">
        <v>6624</v>
      </c>
      <c r="BA517" s="2" t="s">
        <v>6625</v>
      </c>
      <c r="BB517" s="2" t="s">
        <v>79</v>
      </c>
      <c r="BD517" s="2" t="s">
        <v>6626</v>
      </c>
      <c r="BE517" s="2" t="s">
        <v>6627</v>
      </c>
      <c r="BF517" s="2" t="s">
        <v>6628</v>
      </c>
    </row>
    <row r="518" spans="1:58" ht="46.5" customHeight="1">
      <c r="A518" s="1"/>
      <c r="B518" s="1" t="s">
        <v>58</v>
      </c>
      <c r="C518" s="1" t="s">
        <v>59</v>
      </c>
      <c r="D518" s="1" t="s">
        <v>6629</v>
      </c>
      <c r="E518" s="1" t="s">
        <v>6630</v>
      </c>
      <c r="F518" s="1" t="s">
        <v>6631</v>
      </c>
      <c r="H518" s="2" t="s">
        <v>63</v>
      </c>
      <c r="I518" s="2" t="s">
        <v>64</v>
      </c>
      <c r="J518" s="2" t="s">
        <v>63</v>
      </c>
      <c r="K518" s="2" t="s">
        <v>63</v>
      </c>
      <c r="L518" s="2" t="s">
        <v>65</v>
      </c>
      <c r="N518" s="1" t="s">
        <v>6632</v>
      </c>
      <c r="O518" s="2" t="s">
        <v>1031</v>
      </c>
      <c r="Q518" s="2" t="s">
        <v>70</v>
      </c>
      <c r="R518" s="2" t="s">
        <v>892</v>
      </c>
      <c r="T518" s="2" t="s">
        <v>72</v>
      </c>
      <c r="U518" s="3">
        <v>2</v>
      </c>
      <c r="V518" s="3">
        <v>2</v>
      </c>
      <c r="W518" s="4" t="s">
        <v>6633</v>
      </c>
      <c r="X518" s="4" t="s">
        <v>6633</v>
      </c>
      <c r="Y518" s="4" t="s">
        <v>5022</v>
      </c>
      <c r="Z518" s="4" t="s">
        <v>5022</v>
      </c>
      <c r="AA518" s="3">
        <v>127</v>
      </c>
      <c r="AB518" s="3">
        <v>110</v>
      </c>
      <c r="AC518" s="3">
        <v>112</v>
      </c>
      <c r="AD518" s="3">
        <v>1</v>
      </c>
      <c r="AE518" s="3">
        <v>1</v>
      </c>
      <c r="AF518" s="3">
        <v>5</v>
      </c>
      <c r="AG518" s="3">
        <v>5</v>
      </c>
      <c r="AH518" s="3">
        <v>2</v>
      </c>
      <c r="AI518" s="3">
        <v>2</v>
      </c>
      <c r="AJ518" s="3">
        <v>1</v>
      </c>
      <c r="AK518" s="3">
        <v>1</v>
      </c>
      <c r="AL518" s="3">
        <v>2</v>
      </c>
      <c r="AM518" s="3">
        <v>2</v>
      </c>
      <c r="AN518" s="3">
        <v>0</v>
      </c>
      <c r="AO518" s="3">
        <v>0</v>
      </c>
      <c r="AP518" s="3">
        <v>0</v>
      </c>
      <c r="AQ518" s="3">
        <v>0</v>
      </c>
      <c r="AR518" s="2" t="s">
        <v>63</v>
      </c>
      <c r="AS518" s="2" t="s">
        <v>92</v>
      </c>
      <c r="AT518" s="5" t="str">
        <f>HYPERLINK("http://catalog.hathitrust.org/Record/000762001","HathiTrust Record")</f>
        <v>HathiTrust Record</v>
      </c>
      <c r="AU518" s="5" t="str">
        <f>HYPERLINK("https://creighton-primo.hosted.exlibrisgroup.com/primo-explore/search?tab=default_tab&amp;search_scope=EVERYTHING&amp;vid=01CRU&amp;lang=en_US&amp;offset=0&amp;query=any,contains,991000964259702656","Catalog Record")</f>
        <v>Catalog Record</v>
      </c>
      <c r="AV518" s="5" t="str">
        <f>HYPERLINK("http://www.worldcat.org/oclc/3332106","WorldCat Record")</f>
        <v>WorldCat Record</v>
      </c>
      <c r="AW518" s="2" t="s">
        <v>6634</v>
      </c>
      <c r="AX518" s="2" t="s">
        <v>6635</v>
      </c>
      <c r="AY518" s="2" t="s">
        <v>6636</v>
      </c>
      <c r="AZ518" s="2" t="s">
        <v>6636</v>
      </c>
      <c r="BA518" s="2" t="s">
        <v>6637</v>
      </c>
      <c r="BB518" s="2" t="s">
        <v>79</v>
      </c>
      <c r="BE518" s="2" t="s">
        <v>6638</v>
      </c>
      <c r="BF518" s="2" t="s">
        <v>6639</v>
      </c>
    </row>
    <row r="519" spans="1:58" ht="46.5" customHeight="1">
      <c r="A519" s="1"/>
      <c r="B519" s="1" t="s">
        <v>58</v>
      </c>
      <c r="C519" s="1" t="s">
        <v>59</v>
      </c>
      <c r="D519" s="1" t="s">
        <v>6640</v>
      </c>
      <c r="E519" s="1" t="s">
        <v>6641</v>
      </c>
      <c r="F519" s="1" t="s">
        <v>6642</v>
      </c>
      <c r="H519" s="2" t="s">
        <v>63</v>
      </c>
      <c r="I519" s="2" t="s">
        <v>64</v>
      </c>
      <c r="J519" s="2" t="s">
        <v>63</v>
      </c>
      <c r="K519" s="2" t="s">
        <v>63</v>
      </c>
      <c r="L519" s="2" t="s">
        <v>65</v>
      </c>
      <c r="M519" s="1" t="s">
        <v>6643</v>
      </c>
      <c r="N519" s="1" t="s">
        <v>6644</v>
      </c>
      <c r="O519" s="2" t="s">
        <v>468</v>
      </c>
      <c r="Q519" s="2" t="s">
        <v>70</v>
      </c>
      <c r="R519" s="2" t="s">
        <v>470</v>
      </c>
      <c r="S519" s="1" t="s">
        <v>6645</v>
      </c>
      <c r="T519" s="2" t="s">
        <v>72</v>
      </c>
      <c r="U519" s="3">
        <v>2</v>
      </c>
      <c r="V519" s="3">
        <v>2</v>
      </c>
      <c r="W519" s="4" t="s">
        <v>6646</v>
      </c>
      <c r="X519" s="4" t="s">
        <v>6646</v>
      </c>
      <c r="Y519" s="4" t="s">
        <v>5022</v>
      </c>
      <c r="Z519" s="4" t="s">
        <v>5022</v>
      </c>
      <c r="AA519" s="3">
        <v>119</v>
      </c>
      <c r="AB519" s="3">
        <v>103</v>
      </c>
      <c r="AC519" s="3">
        <v>112</v>
      </c>
      <c r="AD519" s="3">
        <v>2</v>
      </c>
      <c r="AE519" s="3">
        <v>2</v>
      </c>
      <c r="AF519" s="3">
        <v>5</v>
      </c>
      <c r="AG519" s="3">
        <v>5</v>
      </c>
      <c r="AH519" s="3">
        <v>1</v>
      </c>
      <c r="AI519" s="3">
        <v>1</v>
      </c>
      <c r="AJ519" s="3">
        <v>0</v>
      </c>
      <c r="AK519" s="3">
        <v>0</v>
      </c>
      <c r="AL519" s="3">
        <v>2</v>
      </c>
      <c r="AM519" s="3">
        <v>2</v>
      </c>
      <c r="AN519" s="3">
        <v>1</v>
      </c>
      <c r="AO519" s="3">
        <v>1</v>
      </c>
      <c r="AP519" s="3">
        <v>1</v>
      </c>
      <c r="AQ519" s="3">
        <v>1</v>
      </c>
      <c r="AR519" s="2" t="s">
        <v>92</v>
      </c>
      <c r="AS519" s="2" t="s">
        <v>63</v>
      </c>
      <c r="AT519" s="5" t="str">
        <f>HYPERLINK("http://catalog.hathitrust.org/Record/001579292","HathiTrust Record")</f>
        <v>HathiTrust Record</v>
      </c>
      <c r="AU519" s="5" t="str">
        <f>HYPERLINK("https://creighton-primo.hosted.exlibrisgroup.com/primo-explore/search?tab=default_tab&amp;search_scope=EVERYTHING&amp;vid=01CRU&amp;lang=en_US&amp;offset=0&amp;query=any,contains,991000964129702656","Catalog Record")</f>
        <v>Catalog Record</v>
      </c>
      <c r="AV519" s="5" t="str">
        <f>HYPERLINK("http://www.worldcat.org/oclc/1499660","WorldCat Record")</f>
        <v>WorldCat Record</v>
      </c>
      <c r="AW519" s="2" t="s">
        <v>6647</v>
      </c>
      <c r="AX519" s="2" t="s">
        <v>6648</v>
      </c>
      <c r="AY519" s="2" t="s">
        <v>6649</v>
      </c>
      <c r="AZ519" s="2" t="s">
        <v>6649</v>
      </c>
      <c r="BA519" s="2" t="s">
        <v>6650</v>
      </c>
      <c r="BB519" s="2" t="s">
        <v>79</v>
      </c>
      <c r="BE519" s="2" t="s">
        <v>6651</v>
      </c>
      <c r="BF519" s="2" t="s">
        <v>6652</v>
      </c>
    </row>
    <row r="520" spans="1:58" ht="46.5" customHeight="1">
      <c r="A520" s="1"/>
      <c r="B520" s="1" t="s">
        <v>58</v>
      </c>
      <c r="C520" s="1" t="s">
        <v>59</v>
      </c>
      <c r="D520" s="1" t="s">
        <v>6653</v>
      </c>
      <c r="E520" s="1" t="s">
        <v>6654</v>
      </c>
      <c r="F520" s="1" t="s">
        <v>6655</v>
      </c>
      <c r="H520" s="2" t="s">
        <v>63</v>
      </c>
      <c r="I520" s="2" t="s">
        <v>64</v>
      </c>
      <c r="J520" s="2" t="s">
        <v>63</v>
      </c>
      <c r="K520" s="2" t="s">
        <v>63</v>
      </c>
      <c r="L520" s="2" t="s">
        <v>65</v>
      </c>
      <c r="M520" s="1" t="s">
        <v>6656</v>
      </c>
      <c r="N520" s="1" t="s">
        <v>6657</v>
      </c>
      <c r="O520" s="2" t="s">
        <v>6658</v>
      </c>
      <c r="P520" s="1" t="s">
        <v>6659</v>
      </c>
      <c r="Q520" s="2" t="s">
        <v>70</v>
      </c>
      <c r="R520" s="2" t="s">
        <v>691</v>
      </c>
      <c r="T520" s="2" t="s">
        <v>72</v>
      </c>
      <c r="U520" s="3">
        <v>2</v>
      </c>
      <c r="V520" s="3">
        <v>2</v>
      </c>
      <c r="W520" s="4" t="s">
        <v>6660</v>
      </c>
      <c r="X520" s="4" t="s">
        <v>6660</v>
      </c>
      <c r="Y520" s="4" t="s">
        <v>5022</v>
      </c>
      <c r="Z520" s="4" t="s">
        <v>5022</v>
      </c>
      <c r="AA520" s="3">
        <v>29</v>
      </c>
      <c r="AB520" s="3">
        <v>21</v>
      </c>
      <c r="AC520" s="3">
        <v>76</v>
      </c>
      <c r="AD520" s="3">
        <v>1</v>
      </c>
      <c r="AE520" s="3">
        <v>1</v>
      </c>
      <c r="AF520" s="3">
        <v>0</v>
      </c>
      <c r="AG520" s="3">
        <v>2</v>
      </c>
      <c r="AH520" s="3">
        <v>0</v>
      </c>
      <c r="AI520" s="3">
        <v>2</v>
      </c>
      <c r="AJ520" s="3">
        <v>0</v>
      </c>
      <c r="AK520" s="3">
        <v>1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2" t="s">
        <v>92</v>
      </c>
      <c r="AS520" s="2" t="s">
        <v>63</v>
      </c>
      <c r="AT520" s="5" t="str">
        <f>HYPERLINK("http://catalog.hathitrust.org/Record/008905594","HathiTrust Record")</f>
        <v>HathiTrust Record</v>
      </c>
      <c r="AU520" s="5" t="str">
        <f>HYPERLINK("https://creighton-primo.hosted.exlibrisgroup.com/primo-explore/search?tab=default_tab&amp;search_scope=EVERYTHING&amp;vid=01CRU&amp;lang=en_US&amp;offset=0&amp;query=any,contains,991000964219702656","Catalog Record")</f>
        <v>Catalog Record</v>
      </c>
      <c r="AV520" s="5" t="str">
        <f>HYPERLINK("http://www.worldcat.org/oclc/3740581","WorldCat Record")</f>
        <v>WorldCat Record</v>
      </c>
      <c r="AW520" s="2" t="s">
        <v>6661</v>
      </c>
      <c r="AX520" s="2" t="s">
        <v>6662</v>
      </c>
      <c r="AY520" s="2" t="s">
        <v>6663</v>
      </c>
      <c r="AZ520" s="2" t="s">
        <v>6663</v>
      </c>
      <c r="BA520" s="2" t="s">
        <v>6664</v>
      </c>
      <c r="BB520" s="2" t="s">
        <v>79</v>
      </c>
      <c r="BE520" s="2" t="s">
        <v>6665</v>
      </c>
      <c r="BF520" s="2" t="s">
        <v>6666</v>
      </c>
    </row>
    <row r="521" spans="1:58" ht="46.5" customHeight="1">
      <c r="A521" s="1"/>
      <c r="B521" s="1" t="s">
        <v>58</v>
      </c>
      <c r="C521" s="1" t="s">
        <v>59</v>
      </c>
      <c r="D521" s="1" t="s">
        <v>6667</v>
      </c>
      <c r="E521" s="1" t="s">
        <v>6668</v>
      </c>
      <c r="F521" s="1" t="s">
        <v>6669</v>
      </c>
      <c r="H521" s="2" t="s">
        <v>63</v>
      </c>
      <c r="I521" s="2" t="s">
        <v>64</v>
      </c>
      <c r="J521" s="2" t="s">
        <v>63</v>
      </c>
      <c r="K521" s="2" t="s">
        <v>92</v>
      </c>
      <c r="L521" s="2" t="s">
        <v>65</v>
      </c>
      <c r="M521" s="1" t="s">
        <v>6656</v>
      </c>
      <c r="N521" s="1" t="s">
        <v>6670</v>
      </c>
      <c r="O521" s="2" t="s">
        <v>104</v>
      </c>
      <c r="P521" s="1" t="s">
        <v>6671</v>
      </c>
      <c r="Q521" s="2" t="s">
        <v>70</v>
      </c>
      <c r="R521" s="2" t="s">
        <v>260</v>
      </c>
      <c r="T521" s="2" t="s">
        <v>72</v>
      </c>
      <c r="U521" s="3">
        <v>92</v>
      </c>
      <c r="V521" s="3">
        <v>92</v>
      </c>
      <c r="W521" s="4" t="s">
        <v>6672</v>
      </c>
      <c r="X521" s="4" t="s">
        <v>6672</v>
      </c>
      <c r="Y521" s="4" t="s">
        <v>262</v>
      </c>
      <c r="Z521" s="4" t="s">
        <v>262</v>
      </c>
      <c r="AA521" s="3">
        <v>149</v>
      </c>
      <c r="AB521" s="3">
        <v>105</v>
      </c>
      <c r="AC521" s="3">
        <v>211</v>
      </c>
      <c r="AD521" s="3">
        <v>3</v>
      </c>
      <c r="AE521" s="3">
        <v>3</v>
      </c>
      <c r="AF521" s="3">
        <v>1</v>
      </c>
      <c r="AG521" s="3">
        <v>4</v>
      </c>
      <c r="AH521" s="3">
        <v>1</v>
      </c>
      <c r="AI521" s="3">
        <v>3</v>
      </c>
      <c r="AJ521" s="3">
        <v>0</v>
      </c>
      <c r="AK521" s="3">
        <v>0</v>
      </c>
      <c r="AL521" s="3">
        <v>1</v>
      </c>
      <c r="AM521" s="3">
        <v>3</v>
      </c>
      <c r="AN521" s="3">
        <v>0</v>
      </c>
      <c r="AO521" s="3">
        <v>0</v>
      </c>
      <c r="AP521" s="3">
        <v>0</v>
      </c>
      <c r="AQ521" s="3">
        <v>0</v>
      </c>
      <c r="AR521" s="2" t="s">
        <v>63</v>
      </c>
      <c r="AS521" s="2" t="s">
        <v>63</v>
      </c>
      <c r="AU521" s="5" t="str">
        <f>HYPERLINK("https://creighton-primo.hosted.exlibrisgroup.com/primo-explore/search?tab=default_tab&amp;search_scope=EVERYTHING&amp;vid=01CRU&amp;lang=en_US&amp;offset=0&amp;query=any,contains,991000748089702656","Catalog Record")</f>
        <v>Catalog Record</v>
      </c>
      <c r="AV521" s="5" t="str">
        <f>HYPERLINK("http://www.worldcat.org/oclc/12015935","WorldCat Record")</f>
        <v>WorldCat Record</v>
      </c>
      <c r="AW521" s="2" t="s">
        <v>6673</v>
      </c>
      <c r="AX521" s="2" t="s">
        <v>6674</v>
      </c>
      <c r="AY521" s="2" t="s">
        <v>6675</v>
      </c>
      <c r="AZ521" s="2" t="s">
        <v>6675</v>
      </c>
      <c r="BA521" s="2" t="s">
        <v>6676</v>
      </c>
      <c r="BB521" s="2" t="s">
        <v>79</v>
      </c>
      <c r="BD521" s="2" t="s">
        <v>6677</v>
      </c>
      <c r="BE521" s="2" t="s">
        <v>6678</v>
      </c>
      <c r="BF521" s="2" t="s">
        <v>6679</v>
      </c>
    </row>
    <row r="522" spans="1:58" ht="46.5" customHeight="1">
      <c r="A522" s="1"/>
      <c r="B522" s="1" t="s">
        <v>58</v>
      </c>
      <c r="C522" s="1" t="s">
        <v>59</v>
      </c>
      <c r="D522" s="1" t="s">
        <v>6680</v>
      </c>
      <c r="E522" s="1" t="s">
        <v>6681</v>
      </c>
      <c r="F522" s="1" t="s">
        <v>6682</v>
      </c>
      <c r="H522" s="2" t="s">
        <v>63</v>
      </c>
      <c r="I522" s="2" t="s">
        <v>64</v>
      </c>
      <c r="J522" s="2" t="s">
        <v>63</v>
      </c>
      <c r="K522" s="2" t="s">
        <v>92</v>
      </c>
      <c r="L522" s="2" t="s">
        <v>65</v>
      </c>
      <c r="M522" s="1" t="s">
        <v>6656</v>
      </c>
      <c r="N522" s="1" t="s">
        <v>6683</v>
      </c>
      <c r="O522" s="2" t="s">
        <v>407</v>
      </c>
      <c r="P522" s="1" t="s">
        <v>6684</v>
      </c>
      <c r="Q522" s="2" t="s">
        <v>70</v>
      </c>
      <c r="R522" s="2" t="s">
        <v>260</v>
      </c>
      <c r="T522" s="2" t="s">
        <v>72</v>
      </c>
      <c r="U522" s="3">
        <v>158</v>
      </c>
      <c r="V522" s="3">
        <v>158</v>
      </c>
      <c r="W522" s="4" t="s">
        <v>6685</v>
      </c>
      <c r="X522" s="4" t="s">
        <v>6685</v>
      </c>
      <c r="Y522" s="4" t="s">
        <v>2958</v>
      </c>
      <c r="Z522" s="4" t="s">
        <v>2958</v>
      </c>
      <c r="AA522" s="3">
        <v>143</v>
      </c>
      <c r="AB522" s="3">
        <v>90</v>
      </c>
      <c r="AC522" s="3">
        <v>211</v>
      </c>
      <c r="AD522" s="3">
        <v>1</v>
      </c>
      <c r="AE522" s="3">
        <v>3</v>
      </c>
      <c r="AF522" s="3">
        <v>0</v>
      </c>
      <c r="AG522" s="3">
        <v>4</v>
      </c>
      <c r="AH522" s="3">
        <v>0</v>
      </c>
      <c r="AI522" s="3">
        <v>3</v>
      </c>
      <c r="AJ522" s="3">
        <v>0</v>
      </c>
      <c r="AK522" s="3">
        <v>0</v>
      </c>
      <c r="AL522" s="3">
        <v>0</v>
      </c>
      <c r="AM522" s="3">
        <v>3</v>
      </c>
      <c r="AN522" s="3">
        <v>0</v>
      </c>
      <c r="AO522" s="3">
        <v>0</v>
      </c>
      <c r="AP522" s="3">
        <v>0</v>
      </c>
      <c r="AQ522" s="3">
        <v>0</v>
      </c>
      <c r="AR522" s="2" t="s">
        <v>63</v>
      </c>
      <c r="AS522" s="2" t="s">
        <v>63</v>
      </c>
      <c r="AU522" s="5" t="str">
        <f>HYPERLINK("https://creighton-primo.hosted.exlibrisgroup.com/primo-explore/search?tab=default_tab&amp;search_scope=EVERYTHING&amp;vid=01CRU&amp;lang=en_US&amp;offset=0&amp;query=any,contains,991000501259702656","Catalog Record")</f>
        <v>Catalog Record</v>
      </c>
      <c r="AV522" s="5" t="str">
        <f>HYPERLINK("http://www.worldcat.org/oclc/24381485","WorldCat Record")</f>
        <v>WorldCat Record</v>
      </c>
      <c r="AW522" s="2" t="s">
        <v>6673</v>
      </c>
      <c r="AX522" s="2" t="s">
        <v>6686</v>
      </c>
      <c r="AY522" s="2" t="s">
        <v>6687</v>
      </c>
      <c r="AZ522" s="2" t="s">
        <v>6687</v>
      </c>
      <c r="BA522" s="2" t="s">
        <v>6688</v>
      </c>
      <c r="BB522" s="2" t="s">
        <v>79</v>
      </c>
      <c r="BD522" s="2" t="s">
        <v>6689</v>
      </c>
      <c r="BE522" s="2" t="s">
        <v>6690</v>
      </c>
      <c r="BF522" s="2" t="s">
        <v>6691</v>
      </c>
    </row>
    <row r="523" spans="1:58" ht="46.5" customHeight="1">
      <c r="A523" s="1"/>
      <c r="B523" s="1" t="s">
        <v>58</v>
      </c>
      <c r="C523" s="1" t="s">
        <v>59</v>
      </c>
      <c r="D523" s="1" t="s">
        <v>6692</v>
      </c>
      <c r="E523" s="1" t="s">
        <v>6693</v>
      </c>
      <c r="F523" s="1" t="s">
        <v>6694</v>
      </c>
      <c r="H523" s="2" t="s">
        <v>63</v>
      </c>
      <c r="I523" s="2" t="s">
        <v>64</v>
      </c>
      <c r="J523" s="2" t="s">
        <v>63</v>
      </c>
      <c r="K523" s="2" t="s">
        <v>63</v>
      </c>
      <c r="L523" s="2" t="s">
        <v>65</v>
      </c>
      <c r="M523" s="1" t="s">
        <v>6695</v>
      </c>
      <c r="N523" s="1" t="s">
        <v>6696</v>
      </c>
      <c r="O523" s="2" t="s">
        <v>690</v>
      </c>
      <c r="Q523" s="2" t="s">
        <v>70</v>
      </c>
      <c r="R523" s="2" t="s">
        <v>691</v>
      </c>
      <c r="T523" s="2" t="s">
        <v>72</v>
      </c>
      <c r="U523" s="3">
        <v>10</v>
      </c>
      <c r="V523" s="3">
        <v>10</v>
      </c>
      <c r="W523" s="4" t="s">
        <v>6597</v>
      </c>
      <c r="X523" s="4" t="s">
        <v>6597</v>
      </c>
      <c r="Y523" s="4" t="s">
        <v>4850</v>
      </c>
      <c r="Z523" s="4" t="s">
        <v>4850</v>
      </c>
      <c r="AA523" s="3">
        <v>82</v>
      </c>
      <c r="AB523" s="3">
        <v>48</v>
      </c>
      <c r="AC523" s="3">
        <v>95</v>
      </c>
      <c r="AD523" s="3">
        <v>2</v>
      </c>
      <c r="AE523" s="3">
        <v>2</v>
      </c>
      <c r="AF523" s="3">
        <v>3</v>
      </c>
      <c r="AG523" s="3">
        <v>5</v>
      </c>
      <c r="AH523" s="3">
        <v>1</v>
      </c>
      <c r="AI523" s="3">
        <v>3</v>
      </c>
      <c r="AJ523" s="3">
        <v>2</v>
      </c>
      <c r="AK523" s="3">
        <v>2</v>
      </c>
      <c r="AL523" s="3">
        <v>0</v>
      </c>
      <c r="AM523" s="3">
        <v>0</v>
      </c>
      <c r="AN523" s="3">
        <v>1</v>
      </c>
      <c r="AO523" s="3">
        <v>1</v>
      </c>
      <c r="AP523" s="3">
        <v>0</v>
      </c>
      <c r="AQ523" s="3">
        <v>0</v>
      </c>
      <c r="AR523" s="2" t="s">
        <v>63</v>
      </c>
      <c r="AS523" s="2" t="s">
        <v>63</v>
      </c>
      <c r="AT523" s="5" t="str">
        <f>HYPERLINK("http://catalog.hathitrust.org/Record/001573639","HathiTrust Record")</f>
        <v>HathiTrust Record</v>
      </c>
      <c r="AU523" s="5" t="str">
        <f>HYPERLINK("https://creighton-primo.hosted.exlibrisgroup.com/primo-explore/search?tab=default_tab&amp;search_scope=EVERYTHING&amp;vid=01CRU&amp;lang=en_US&amp;offset=0&amp;query=any,contains,991000964959702656","Catalog Record")</f>
        <v>Catalog Record</v>
      </c>
      <c r="AV523" s="5" t="str">
        <f>HYPERLINK("http://www.worldcat.org/oclc/1620783","WorldCat Record")</f>
        <v>WorldCat Record</v>
      </c>
      <c r="AW523" s="2" t="s">
        <v>6697</v>
      </c>
      <c r="AX523" s="2" t="s">
        <v>6698</v>
      </c>
      <c r="AY523" s="2" t="s">
        <v>6699</v>
      </c>
      <c r="AZ523" s="2" t="s">
        <v>6699</v>
      </c>
      <c r="BA523" s="2" t="s">
        <v>6700</v>
      </c>
      <c r="BB523" s="2" t="s">
        <v>79</v>
      </c>
      <c r="BE523" s="2" t="s">
        <v>6701</v>
      </c>
      <c r="BF523" s="2" t="s">
        <v>6702</v>
      </c>
    </row>
    <row r="524" spans="1:58" ht="46.5" customHeight="1">
      <c r="A524" s="1"/>
      <c r="B524" s="1" t="s">
        <v>58</v>
      </c>
      <c r="C524" s="1" t="s">
        <v>59</v>
      </c>
      <c r="D524" s="1" t="s">
        <v>6703</v>
      </c>
      <c r="E524" s="1" t="s">
        <v>6704</v>
      </c>
      <c r="F524" s="1" t="s">
        <v>6705</v>
      </c>
      <c r="H524" s="2" t="s">
        <v>63</v>
      </c>
      <c r="I524" s="2" t="s">
        <v>64</v>
      </c>
      <c r="J524" s="2" t="s">
        <v>63</v>
      </c>
      <c r="K524" s="2" t="s">
        <v>63</v>
      </c>
      <c r="L524" s="2" t="s">
        <v>65</v>
      </c>
      <c r="M524" s="1" t="s">
        <v>6706</v>
      </c>
      <c r="N524" s="1" t="s">
        <v>6707</v>
      </c>
      <c r="O524" s="2" t="s">
        <v>1585</v>
      </c>
      <c r="Q524" s="2" t="s">
        <v>70</v>
      </c>
      <c r="R524" s="2" t="s">
        <v>470</v>
      </c>
      <c r="T524" s="2" t="s">
        <v>72</v>
      </c>
      <c r="U524" s="3">
        <v>7</v>
      </c>
      <c r="V524" s="3">
        <v>7</v>
      </c>
      <c r="W524" s="4" t="s">
        <v>6633</v>
      </c>
      <c r="X524" s="4" t="s">
        <v>6633</v>
      </c>
      <c r="Y524" s="4" t="s">
        <v>6708</v>
      </c>
      <c r="Z524" s="4" t="s">
        <v>6708</v>
      </c>
      <c r="AA524" s="3">
        <v>132</v>
      </c>
      <c r="AB524" s="3">
        <v>102</v>
      </c>
      <c r="AC524" s="3">
        <v>151</v>
      </c>
      <c r="AD524" s="3">
        <v>1</v>
      </c>
      <c r="AE524" s="3">
        <v>1</v>
      </c>
      <c r="AF524" s="3">
        <v>3</v>
      </c>
      <c r="AG524" s="3">
        <v>5</v>
      </c>
      <c r="AH524" s="3">
        <v>2</v>
      </c>
      <c r="AI524" s="3">
        <v>4</v>
      </c>
      <c r="AJ524" s="3">
        <v>1</v>
      </c>
      <c r="AK524" s="3">
        <v>1</v>
      </c>
      <c r="AL524" s="3">
        <v>0</v>
      </c>
      <c r="AM524" s="3">
        <v>1</v>
      </c>
      <c r="AN524" s="3">
        <v>0</v>
      </c>
      <c r="AO524" s="3">
        <v>0</v>
      </c>
      <c r="AP524" s="3">
        <v>0</v>
      </c>
      <c r="AQ524" s="3">
        <v>0</v>
      </c>
      <c r="AR524" s="2" t="s">
        <v>63</v>
      </c>
      <c r="AS524" s="2" t="s">
        <v>92</v>
      </c>
      <c r="AT524" s="5" t="str">
        <f>HYPERLINK("http://catalog.hathitrust.org/Record/002075378","HathiTrust Record")</f>
        <v>HathiTrust Record</v>
      </c>
      <c r="AU524" s="5" t="str">
        <f>HYPERLINK("https://creighton-primo.hosted.exlibrisgroup.com/primo-explore/search?tab=default_tab&amp;search_scope=EVERYTHING&amp;vid=01CRU&amp;lang=en_US&amp;offset=0&amp;query=any,contains,991000964879702656","Catalog Record")</f>
        <v>Catalog Record</v>
      </c>
      <c r="AV524" s="5" t="str">
        <f>HYPERLINK("http://www.worldcat.org/oclc/1046087","WorldCat Record")</f>
        <v>WorldCat Record</v>
      </c>
      <c r="AW524" s="2" t="s">
        <v>6709</v>
      </c>
      <c r="AX524" s="2" t="s">
        <v>6710</v>
      </c>
      <c r="AY524" s="2" t="s">
        <v>6711</v>
      </c>
      <c r="AZ524" s="2" t="s">
        <v>6711</v>
      </c>
      <c r="BA524" s="2" t="s">
        <v>6712</v>
      </c>
      <c r="BB524" s="2" t="s">
        <v>79</v>
      </c>
      <c r="BE524" s="2" t="s">
        <v>6713</v>
      </c>
      <c r="BF524" s="2" t="s">
        <v>6714</v>
      </c>
    </row>
    <row r="525" spans="1:58" ht="46.5" customHeight="1">
      <c r="A525" s="1"/>
      <c r="B525" s="1" t="s">
        <v>58</v>
      </c>
      <c r="C525" s="1" t="s">
        <v>59</v>
      </c>
      <c r="D525" s="1" t="s">
        <v>6715</v>
      </c>
      <c r="E525" s="1" t="s">
        <v>6716</v>
      </c>
      <c r="F525" s="1" t="s">
        <v>6717</v>
      </c>
      <c r="H525" s="2" t="s">
        <v>63</v>
      </c>
      <c r="I525" s="2" t="s">
        <v>64</v>
      </c>
      <c r="J525" s="2" t="s">
        <v>63</v>
      </c>
      <c r="K525" s="2" t="s">
        <v>63</v>
      </c>
      <c r="L525" s="2" t="s">
        <v>65</v>
      </c>
      <c r="M525" s="1" t="s">
        <v>6718</v>
      </c>
      <c r="N525" s="1" t="s">
        <v>6719</v>
      </c>
      <c r="O525" s="2" t="s">
        <v>1201</v>
      </c>
      <c r="P525" s="1" t="s">
        <v>6720</v>
      </c>
      <c r="Q525" s="2" t="s">
        <v>70</v>
      </c>
      <c r="R525" s="2" t="s">
        <v>200</v>
      </c>
      <c r="T525" s="2" t="s">
        <v>72</v>
      </c>
      <c r="U525" s="3">
        <v>6</v>
      </c>
      <c r="V525" s="3">
        <v>6</v>
      </c>
      <c r="W525" s="4" t="s">
        <v>6721</v>
      </c>
      <c r="X525" s="4" t="s">
        <v>6721</v>
      </c>
      <c r="Y525" s="4" t="s">
        <v>5022</v>
      </c>
      <c r="Z525" s="4" t="s">
        <v>5022</v>
      </c>
      <c r="AA525" s="3">
        <v>59</v>
      </c>
      <c r="AB525" s="3">
        <v>42</v>
      </c>
      <c r="AC525" s="3">
        <v>69</v>
      </c>
      <c r="AD525" s="3">
        <v>2</v>
      </c>
      <c r="AE525" s="3">
        <v>2</v>
      </c>
      <c r="AF525" s="3">
        <v>2</v>
      </c>
      <c r="AG525" s="3">
        <v>4</v>
      </c>
      <c r="AH525" s="3">
        <v>0</v>
      </c>
      <c r="AI525" s="3">
        <v>1</v>
      </c>
      <c r="AJ525" s="3">
        <v>1</v>
      </c>
      <c r="AK525" s="3">
        <v>2</v>
      </c>
      <c r="AL525" s="3">
        <v>0</v>
      </c>
      <c r="AM525" s="3">
        <v>0</v>
      </c>
      <c r="AN525" s="3">
        <v>1</v>
      </c>
      <c r="AO525" s="3">
        <v>1</v>
      </c>
      <c r="AP525" s="3">
        <v>0</v>
      </c>
      <c r="AQ525" s="3">
        <v>0</v>
      </c>
      <c r="AR525" s="2" t="s">
        <v>63</v>
      </c>
      <c r="AS525" s="2" t="s">
        <v>92</v>
      </c>
      <c r="AT525" s="5" t="str">
        <f>HYPERLINK("http://catalog.hathitrust.org/Record/000716431","HathiTrust Record")</f>
        <v>HathiTrust Record</v>
      </c>
      <c r="AU525" s="5" t="str">
        <f>HYPERLINK("https://creighton-primo.hosted.exlibrisgroup.com/primo-explore/search?tab=default_tab&amp;search_scope=EVERYTHING&amp;vid=01CRU&amp;lang=en_US&amp;offset=0&amp;query=any,contains,991000964919702656","Catalog Record")</f>
        <v>Catalog Record</v>
      </c>
      <c r="AV525" s="5" t="str">
        <f>HYPERLINK("http://www.worldcat.org/oclc/4775095","WorldCat Record")</f>
        <v>WorldCat Record</v>
      </c>
      <c r="AW525" s="2" t="s">
        <v>6722</v>
      </c>
      <c r="AX525" s="2" t="s">
        <v>6723</v>
      </c>
      <c r="AY525" s="2" t="s">
        <v>6724</v>
      </c>
      <c r="AZ525" s="2" t="s">
        <v>6724</v>
      </c>
      <c r="BA525" s="2" t="s">
        <v>6725</v>
      </c>
      <c r="BB525" s="2" t="s">
        <v>79</v>
      </c>
      <c r="BD525" s="2" t="s">
        <v>6726</v>
      </c>
      <c r="BE525" s="2" t="s">
        <v>6727</v>
      </c>
      <c r="BF525" s="2" t="s">
        <v>6728</v>
      </c>
    </row>
    <row r="526" spans="1:58" ht="46.5" customHeight="1">
      <c r="A526" s="1"/>
      <c r="B526" s="1" t="s">
        <v>58</v>
      </c>
      <c r="C526" s="1" t="s">
        <v>59</v>
      </c>
      <c r="D526" s="1" t="s">
        <v>6729</v>
      </c>
      <c r="E526" s="1" t="s">
        <v>6730</v>
      </c>
      <c r="F526" s="1" t="s">
        <v>6731</v>
      </c>
      <c r="H526" s="2" t="s">
        <v>63</v>
      </c>
      <c r="I526" s="2" t="s">
        <v>64</v>
      </c>
      <c r="J526" s="2" t="s">
        <v>63</v>
      </c>
      <c r="K526" s="2" t="s">
        <v>63</v>
      </c>
      <c r="L526" s="2" t="s">
        <v>65</v>
      </c>
      <c r="N526" s="1" t="s">
        <v>6732</v>
      </c>
      <c r="O526" s="2" t="s">
        <v>215</v>
      </c>
      <c r="Q526" s="2" t="s">
        <v>70</v>
      </c>
      <c r="R526" s="2" t="s">
        <v>6733</v>
      </c>
      <c r="T526" s="2" t="s">
        <v>72</v>
      </c>
      <c r="U526" s="3">
        <v>2</v>
      </c>
      <c r="V526" s="3">
        <v>2</v>
      </c>
      <c r="W526" s="4" t="s">
        <v>6734</v>
      </c>
      <c r="X526" s="4" t="s">
        <v>6734</v>
      </c>
      <c r="Y526" s="4" t="s">
        <v>5022</v>
      </c>
      <c r="Z526" s="4" t="s">
        <v>5022</v>
      </c>
      <c r="AA526" s="3">
        <v>6</v>
      </c>
      <c r="AB526" s="3">
        <v>6</v>
      </c>
      <c r="AC526" s="3">
        <v>6</v>
      </c>
      <c r="AD526" s="3">
        <v>1</v>
      </c>
      <c r="AE526" s="3">
        <v>1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2" t="s">
        <v>63</v>
      </c>
      <c r="AS526" s="2" t="s">
        <v>63</v>
      </c>
      <c r="AU526" s="5" t="str">
        <f>HYPERLINK("https://creighton-primo.hosted.exlibrisgroup.com/primo-explore/search?tab=default_tab&amp;search_scope=EVERYTHING&amp;vid=01CRU&amp;lang=en_US&amp;offset=0&amp;query=any,contains,991000964819702656","Catalog Record")</f>
        <v>Catalog Record</v>
      </c>
      <c r="AV526" s="5" t="str">
        <f>HYPERLINK("http://www.worldcat.org/oclc/11644085","WorldCat Record")</f>
        <v>WorldCat Record</v>
      </c>
      <c r="AW526" s="2" t="s">
        <v>6735</v>
      </c>
      <c r="AX526" s="2" t="s">
        <v>6736</v>
      </c>
      <c r="AY526" s="2" t="s">
        <v>6737</v>
      </c>
      <c r="AZ526" s="2" t="s">
        <v>6737</v>
      </c>
      <c r="BA526" s="2" t="s">
        <v>6738</v>
      </c>
      <c r="BB526" s="2" t="s">
        <v>79</v>
      </c>
      <c r="BE526" s="2" t="s">
        <v>6739</v>
      </c>
      <c r="BF526" s="2" t="s">
        <v>6740</v>
      </c>
    </row>
    <row r="527" spans="1:58" ht="46.5" customHeight="1">
      <c r="A527" s="1"/>
      <c r="B527" s="1" t="s">
        <v>58</v>
      </c>
      <c r="C527" s="1" t="s">
        <v>59</v>
      </c>
      <c r="D527" s="1" t="s">
        <v>6741</v>
      </c>
      <c r="E527" s="1" t="s">
        <v>6742</v>
      </c>
      <c r="F527" s="1" t="s">
        <v>6743</v>
      </c>
      <c r="H527" s="2" t="s">
        <v>63</v>
      </c>
      <c r="I527" s="2" t="s">
        <v>64</v>
      </c>
      <c r="J527" s="2" t="s">
        <v>63</v>
      </c>
      <c r="K527" s="2" t="s">
        <v>63</v>
      </c>
      <c r="L527" s="2" t="s">
        <v>65</v>
      </c>
      <c r="M527" s="1" t="s">
        <v>6744</v>
      </c>
      <c r="N527" s="1" t="s">
        <v>6745</v>
      </c>
      <c r="O527" s="2" t="s">
        <v>145</v>
      </c>
      <c r="Q527" s="2" t="s">
        <v>70</v>
      </c>
      <c r="R527" s="2" t="s">
        <v>89</v>
      </c>
      <c r="T527" s="2" t="s">
        <v>72</v>
      </c>
      <c r="U527" s="3">
        <v>1</v>
      </c>
      <c r="V527" s="3">
        <v>1</v>
      </c>
      <c r="W527" s="4" t="s">
        <v>6746</v>
      </c>
      <c r="X527" s="4" t="s">
        <v>6746</v>
      </c>
      <c r="Y527" s="4" t="s">
        <v>6747</v>
      </c>
      <c r="Z527" s="4" t="s">
        <v>6747</v>
      </c>
      <c r="AA527" s="3">
        <v>65</v>
      </c>
      <c r="AB527" s="3">
        <v>58</v>
      </c>
      <c r="AC527" s="3">
        <v>60</v>
      </c>
      <c r="AD527" s="3">
        <v>1</v>
      </c>
      <c r="AE527" s="3">
        <v>1</v>
      </c>
      <c r="AF527" s="3">
        <v>2</v>
      </c>
      <c r="AG527" s="3">
        <v>2</v>
      </c>
      <c r="AH527" s="3">
        <v>1</v>
      </c>
      <c r="AI527" s="3">
        <v>1</v>
      </c>
      <c r="AJ527" s="3">
        <v>0</v>
      </c>
      <c r="AK527" s="3">
        <v>0</v>
      </c>
      <c r="AL527" s="3">
        <v>2</v>
      </c>
      <c r="AM527" s="3">
        <v>2</v>
      </c>
      <c r="AN527" s="3">
        <v>0</v>
      </c>
      <c r="AO527" s="3">
        <v>0</v>
      </c>
      <c r="AP527" s="3">
        <v>0</v>
      </c>
      <c r="AQ527" s="3">
        <v>0</v>
      </c>
      <c r="AR527" s="2" t="s">
        <v>63</v>
      </c>
      <c r="AS527" s="2" t="s">
        <v>92</v>
      </c>
      <c r="AT527" s="5" t="str">
        <f>HYPERLINK("http://catalog.hathitrust.org/Record/003097626","HathiTrust Record")</f>
        <v>HathiTrust Record</v>
      </c>
      <c r="AU527" s="5" t="str">
        <f>HYPERLINK("https://creighton-primo.hosted.exlibrisgroup.com/primo-explore/search?tab=default_tab&amp;search_scope=EVERYTHING&amp;vid=01CRU&amp;lang=en_US&amp;offset=0&amp;query=any,contains,991001505299702656","Catalog Record")</f>
        <v>Catalog Record</v>
      </c>
      <c r="AV527" s="5" t="str">
        <f>HYPERLINK("http://www.worldcat.org/oclc/32281553","WorldCat Record")</f>
        <v>WorldCat Record</v>
      </c>
      <c r="AW527" s="2" t="s">
        <v>6748</v>
      </c>
      <c r="AX527" s="2" t="s">
        <v>6749</v>
      </c>
      <c r="AY527" s="2" t="s">
        <v>6750</v>
      </c>
      <c r="AZ527" s="2" t="s">
        <v>6750</v>
      </c>
      <c r="BA527" s="2" t="s">
        <v>6751</v>
      </c>
      <c r="BB527" s="2" t="s">
        <v>79</v>
      </c>
      <c r="BD527" s="2" t="s">
        <v>6752</v>
      </c>
      <c r="BE527" s="2" t="s">
        <v>6753</v>
      </c>
      <c r="BF527" s="2" t="s">
        <v>6754</v>
      </c>
    </row>
    <row r="528" spans="1:58" ht="46.5" customHeight="1">
      <c r="A528" s="1"/>
      <c r="B528" s="1" t="s">
        <v>58</v>
      </c>
      <c r="C528" s="1" t="s">
        <v>59</v>
      </c>
      <c r="D528" s="1" t="s">
        <v>6755</v>
      </c>
      <c r="E528" s="1" t="s">
        <v>6756</v>
      </c>
      <c r="F528" s="1" t="s">
        <v>6757</v>
      </c>
      <c r="H528" s="2" t="s">
        <v>63</v>
      </c>
      <c r="I528" s="2" t="s">
        <v>64</v>
      </c>
      <c r="J528" s="2" t="s">
        <v>63</v>
      </c>
      <c r="K528" s="2" t="s">
        <v>63</v>
      </c>
      <c r="L528" s="2" t="s">
        <v>65</v>
      </c>
      <c r="M528" s="1" t="s">
        <v>6758</v>
      </c>
      <c r="N528" s="1" t="s">
        <v>6759</v>
      </c>
      <c r="O528" s="2" t="s">
        <v>423</v>
      </c>
      <c r="Q528" s="2" t="s">
        <v>70</v>
      </c>
      <c r="R528" s="2" t="s">
        <v>1364</v>
      </c>
      <c r="T528" s="2" t="s">
        <v>72</v>
      </c>
      <c r="U528" s="3">
        <v>3</v>
      </c>
      <c r="V528" s="3">
        <v>3</v>
      </c>
      <c r="W528" s="4" t="s">
        <v>6760</v>
      </c>
      <c r="X528" s="4" t="s">
        <v>6760</v>
      </c>
      <c r="Y528" s="4" t="s">
        <v>6760</v>
      </c>
      <c r="Z528" s="4" t="s">
        <v>6760</v>
      </c>
      <c r="AA528" s="3">
        <v>35</v>
      </c>
      <c r="AB528" s="3">
        <v>35</v>
      </c>
      <c r="AC528" s="3">
        <v>37</v>
      </c>
      <c r="AD528" s="3">
        <v>1</v>
      </c>
      <c r="AE528" s="3">
        <v>1</v>
      </c>
      <c r="AF528" s="3">
        <v>2</v>
      </c>
      <c r="AG528" s="3">
        <v>2</v>
      </c>
      <c r="AH528" s="3">
        <v>0</v>
      </c>
      <c r="AI528" s="3">
        <v>0</v>
      </c>
      <c r="AJ528" s="3">
        <v>1</v>
      </c>
      <c r="AK528" s="3">
        <v>1</v>
      </c>
      <c r="AL528" s="3">
        <v>1</v>
      </c>
      <c r="AM528" s="3">
        <v>1</v>
      </c>
      <c r="AN528" s="3">
        <v>0</v>
      </c>
      <c r="AO528" s="3">
        <v>0</v>
      </c>
      <c r="AP528" s="3">
        <v>0</v>
      </c>
      <c r="AQ528" s="3">
        <v>0</v>
      </c>
      <c r="AR528" s="2" t="s">
        <v>63</v>
      </c>
      <c r="AS528" s="2" t="s">
        <v>92</v>
      </c>
      <c r="AT528" s="5" t="str">
        <f>HYPERLINK("http://catalog.hathitrust.org/Record/002720264","HathiTrust Record")</f>
        <v>HathiTrust Record</v>
      </c>
      <c r="AU528" s="5" t="str">
        <f>HYPERLINK("https://creighton-primo.hosted.exlibrisgroup.com/primo-explore/search?tab=default_tab&amp;search_scope=EVERYTHING&amp;vid=01CRU&amp;lang=en_US&amp;offset=0&amp;query=any,contains,991001386279702656","Catalog Record")</f>
        <v>Catalog Record</v>
      </c>
      <c r="AV528" s="5" t="str">
        <f>HYPERLINK("http://www.worldcat.org/oclc/28345418","WorldCat Record")</f>
        <v>WorldCat Record</v>
      </c>
      <c r="AW528" s="2" t="s">
        <v>6761</v>
      </c>
      <c r="AX528" s="2" t="s">
        <v>6762</v>
      </c>
      <c r="AY528" s="2" t="s">
        <v>6763</v>
      </c>
      <c r="AZ528" s="2" t="s">
        <v>6763</v>
      </c>
      <c r="BA528" s="2" t="s">
        <v>6764</v>
      </c>
      <c r="BB528" s="2" t="s">
        <v>79</v>
      </c>
      <c r="BE528" s="2" t="s">
        <v>6765</v>
      </c>
      <c r="BF528" s="2" t="s">
        <v>6766</v>
      </c>
    </row>
    <row r="529" spans="1:58" ht="46.5" customHeight="1">
      <c r="A529" s="1"/>
      <c r="B529" s="1" t="s">
        <v>58</v>
      </c>
      <c r="C529" s="1" t="s">
        <v>59</v>
      </c>
      <c r="D529" s="1" t="s">
        <v>6767</v>
      </c>
      <c r="E529" s="1" t="s">
        <v>6768</v>
      </c>
      <c r="F529" s="1" t="s">
        <v>6769</v>
      </c>
      <c r="H529" s="2" t="s">
        <v>63</v>
      </c>
      <c r="I529" s="2" t="s">
        <v>64</v>
      </c>
      <c r="J529" s="2" t="s">
        <v>63</v>
      </c>
      <c r="K529" s="2" t="s">
        <v>63</v>
      </c>
      <c r="L529" s="2" t="s">
        <v>65</v>
      </c>
      <c r="M529" s="1" t="s">
        <v>6770</v>
      </c>
      <c r="N529" s="1" t="s">
        <v>6771</v>
      </c>
      <c r="O529" s="2" t="s">
        <v>87</v>
      </c>
      <c r="Q529" s="2" t="s">
        <v>70</v>
      </c>
      <c r="R529" s="2" t="s">
        <v>1389</v>
      </c>
      <c r="S529" s="1" t="s">
        <v>6772</v>
      </c>
      <c r="T529" s="2" t="s">
        <v>72</v>
      </c>
      <c r="U529" s="3">
        <v>4</v>
      </c>
      <c r="V529" s="3">
        <v>4</v>
      </c>
      <c r="W529" s="4" t="s">
        <v>2736</v>
      </c>
      <c r="X529" s="4" t="s">
        <v>2736</v>
      </c>
      <c r="Y529" s="4" t="s">
        <v>5222</v>
      </c>
      <c r="Z529" s="4" t="s">
        <v>5222</v>
      </c>
      <c r="AA529" s="3">
        <v>150</v>
      </c>
      <c r="AB529" s="3">
        <v>119</v>
      </c>
      <c r="AC529" s="3">
        <v>130</v>
      </c>
      <c r="AD529" s="3">
        <v>1</v>
      </c>
      <c r="AE529" s="3">
        <v>2</v>
      </c>
      <c r="AF529" s="3">
        <v>6</v>
      </c>
      <c r="AG529" s="3">
        <v>8</v>
      </c>
      <c r="AH529" s="3">
        <v>3</v>
      </c>
      <c r="AI529" s="3">
        <v>3</v>
      </c>
      <c r="AJ529" s="3">
        <v>1</v>
      </c>
      <c r="AK529" s="3">
        <v>2</v>
      </c>
      <c r="AL529" s="3">
        <v>2</v>
      </c>
      <c r="AM529" s="3">
        <v>2</v>
      </c>
      <c r="AN529" s="3">
        <v>0</v>
      </c>
      <c r="AO529" s="3">
        <v>1</v>
      </c>
      <c r="AP529" s="3">
        <v>0</v>
      </c>
      <c r="AQ529" s="3">
        <v>0</v>
      </c>
      <c r="AR529" s="2" t="s">
        <v>92</v>
      </c>
      <c r="AS529" s="2" t="s">
        <v>63</v>
      </c>
      <c r="AT529" s="5" t="str">
        <f>HYPERLINK("http://catalog.hathitrust.org/Record/000830593","HathiTrust Record")</f>
        <v>HathiTrust Record</v>
      </c>
      <c r="AU529" s="5" t="str">
        <f>HYPERLINK("https://creighton-primo.hosted.exlibrisgroup.com/primo-explore/search?tab=default_tab&amp;search_scope=EVERYTHING&amp;vid=01CRU&amp;lang=en_US&amp;offset=0&amp;query=any,contains,991000770429702656","Catalog Record")</f>
        <v>Catalog Record</v>
      </c>
      <c r="AV529" s="5" t="str">
        <f>HYPERLINK("http://www.worldcat.org/oclc/23148183","WorldCat Record")</f>
        <v>WorldCat Record</v>
      </c>
      <c r="AW529" s="2" t="s">
        <v>6773</v>
      </c>
      <c r="AX529" s="2" t="s">
        <v>6774</v>
      </c>
      <c r="AY529" s="2" t="s">
        <v>6775</v>
      </c>
      <c r="AZ529" s="2" t="s">
        <v>6775</v>
      </c>
      <c r="BA529" s="2" t="s">
        <v>6776</v>
      </c>
      <c r="BB529" s="2" t="s">
        <v>79</v>
      </c>
      <c r="BD529" s="2" t="s">
        <v>6777</v>
      </c>
      <c r="BE529" s="2" t="s">
        <v>6778</v>
      </c>
      <c r="BF529" s="2" t="s">
        <v>6779</v>
      </c>
    </row>
    <row r="530" spans="1:58" ht="46.5" customHeight="1">
      <c r="A530" s="1"/>
      <c r="B530" s="1" t="s">
        <v>58</v>
      </c>
      <c r="C530" s="1" t="s">
        <v>59</v>
      </c>
      <c r="D530" s="1" t="s">
        <v>6780</v>
      </c>
      <c r="E530" s="1" t="s">
        <v>6781</v>
      </c>
      <c r="F530" s="1" t="s">
        <v>6782</v>
      </c>
      <c r="H530" s="2" t="s">
        <v>63</v>
      </c>
      <c r="I530" s="2" t="s">
        <v>64</v>
      </c>
      <c r="J530" s="2" t="s">
        <v>63</v>
      </c>
      <c r="K530" s="2" t="s">
        <v>63</v>
      </c>
      <c r="L530" s="2" t="s">
        <v>65</v>
      </c>
      <c r="M530" s="1" t="s">
        <v>6783</v>
      </c>
      <c r="N530" s="1" t="s">
        <v>6784</v>
      </c>
      <c r="O530" s="2" t="s">
        <v>87</v>
      </c>
      <c r="Q530" s="2" t="s">
        <v>70</v>
      </c>
      <c r="R530" s="2" t="s">
        <v>89</v>
      </c>
      <c r="T530" s="2" t="s">
        <v>72</v>
      </c>
      <c r="U530" s="3">
        <v>1</v>
      </c>
      <c r="V530" s="3">
        <v>1</v>
      </c>
      <c r="W530" s="4" t="s">
        <v>6785</v>
      </c>
      <c r="X530" s="4" t="s">
        <v>6785</v>
      </c>
      <c r="Y530" s="4" t="s">
        <v>6786</v>
      </c>
      <c r="Z530" s="4" t="s">
        <v>6786</v>
      </c>
      <c r="AA530" s="3">
        <v>346</v>
      </c>
      <c r="AB530" s="3">
        <v>313</v>
      </c>
      <c r="AC530" s="3">
        <v>351</v>
      </c>
      <c r="AD530" s="3">
        <v>2</v>
      </c>
      <c r="AE530" s="3">
        <v>3</v>
      </c>
      <c r="AF530" s="3">
        <v>17</v>
      </c>
      <c r="AG530" s="3">
        <v>19</v>
      </c>
      <c r="AH530" s="3">
        <v>3</v>
      </c>
      <c r="AI530" s="3">
        <v>4</v>
      </c>
      <c r="AJ530" s="3">
        <v>5</v>
      </c>
      <c r="AK530" s="3">
        <v>5</v>
      </c>
      <c r="AL530" s="3">
        <v>10</v>
      </c>
      <c r="AM530" s="3">
        <v>11</v>
      </c>
      <c r="AN530" s="3">
        <v>1</v>
      </c>
      <c r="AO530" s="3">
        <v>2</v>
      </c>
      <c r="AP530" s="3">
        <v>1</v>
      </c>
      <c r="AQ530" s="3">
        <v>1</v>
      </c>
      <c r="AR530" s="2" t="s">
        <v>63</v>
      </c>
      <c r="AS530" s="2" t="s">
        <v>92</v>
      </c>
      <c r="AT530" s="5" t="str">
        <f>HYPERLINK("http://catalog.hathitrust.org/Record/000847110","HathiTrust Record")</f>
        <v>HathiTrust Record</v>
      </c>
      <c r="AU530" s="5" t="str">
        <f>HYPERLINK("https://creighton-primo.hosted.exlibrisgroup.com/primo-explore/search?tab=default_tab&amp;search_scope=EVERYTHING&amp;vid=01CRU&amp;lang=en_US&amp;offset=0&amp;query=any,contains,991001187249702656","Catalog Record")</f>
        <v>Catalog Record</v>
      </c>
      <c r="AV530" s="5" t="str">
        <f>HYPERLINK("http://www.worldcat.org/oclc/15017472","WorldCat Record")</f>
        <v>WorldCat Record</v>
      </c>
      <c r="AW530" s="2" t="s">
        <v>6787</v>
      </c>
      <c r="AX530" s="2" t="s">
        <v>6788</v>
      </c>
      <c r="AY530" s="2" t="s">
        <v>6789</v>
      </c>
      <c r="AZ530" s="2" t="s">
        <v>6789</v>
      </c>
      <c r="BA530" s="2" t="s">
        <v>6790</v>
      </c>
      <c r="BB530" s="2" t="s">
        <v>79</v>
      </c>
      <c r="BD530" s="2" t="s">
        <v>6791</v>
      </c>
      <c r="BE530" s="2" t="s">
        <v>6792</v>
      </c>
      <c r="BF530" s="2" t="s">
        <v>6793</v>
      </c>
    </row>
    <row r="531" spans="1:58" ht="46.5" customHeight="1">
      <c r="A531" s="1"/>
      <c r="B531" s="1" t="s">
        <v>58</v>
      </c>
      <c r="C531" s="1" t="s">
        <v>59</v>
      </c>
      <c r="D531" s="1" t="s">
        <v>6794</v>
      </c>
      <c r="E531" s="1" t="s">
        <v>6795</v>
      </c>
      <c r="F531" s="1" t="s">
        <v>6796</v>
      </c>
      <c r="H531" s="2" t="s">
        <v>63</v>
      </c>
      <c r="I531" s="2" t="s">
        <v>64</v>
      </c>
      <c r="J531" s="2" t="s">
        <v>63</v>
      </c>
      <c r="K531" s="2" t="s">
        <v>63</v>
      </c>
      <c r="L531" s="2" t="s">
        <v>65</v>
      </c>
      <c r="N531" s="1" t="s">
        <v>6797</v>
      </c>
      <c r="O531" s="2" t="s">
        <v>4230</v>
      </c>
      <c r="Q531" s="2" t="s">
        <v>70</v>
      </c>
      <c r="R531" s="2" t="s">
        <v>6798</v>
      </c>
      <c r="T531" s="2" t="s">
        <v>72</v>
      </c>
      <c r="U531" s="3">
        <v>5</v>
      </c>
      <c r="V531" s="3">
        <v>5</v>
      </c>
      <c r="W531" s="4" t="s">
        <v>6799</v>
      </c>
      <c r="X531" s="4" t="s">
        <v>6799</v>
      </c>
      <c r="Y531" s="4" t="s">
        <v>5022</v>
      </c>
      <c r="Z531" s="4" t="s">
        <v>5022</v>
      </c>
      <c r="AA531" s="3">
        <v>190</v>
      </c>
      <c r="AB531" s="3">
        <v>180</v>
      </c>
      <c r="AC531" s="3">
        <v>185</v>
      </c>
      <c r="AD531" s="3">
        <v>1</v>
      </c>
      <c r="AE531" s="3">
        <v>1</v>
      </c>
      <c r="AF531" s="3">
        <v>4</v>
      </c>
      <c r="AG531" s="3">
        <v>4</v>
      </c>
      <c r="AH531" s="3">
        <v>2</v>
      </c>
      <c r="AI531" s="3">
        <v>2</v>
      </c>
      <c r="AJ531" s="3">
        <v>2</v>
      </c>
      <c r="AK531" s="3">
        <v>2</v>
      </c>
      <c r="AL531" s="3">
        <v>1</v>
      </c>
      <c r="AM531" s="3">
        <v>1</v>
      </c>
      <c r="AN531" s="3">
        <v>0</v>
      </c>
      <c r="AO531" s="3">
        <v>0</v>
      </c>
      <c r="AP531" s="3">
        <v>0</v>
      </c>
      <c r="AQ531" s="3">
        <v>0</v>
      </c>
      <c r="AR531" s="2" t="s">
        <v>63</v>
      </c>
      <c r="AS531" s="2" t="s">
        <v>92</v>
      </c>
      <c r="AT531" s="5" t="str">
        <f>HYPERLINK("http://catalog.hathitrust.org/Record/001573506","HathiTrust Record")</f>
        <v>HathiTrust Record</v>
      </c>
      <c r="AU531" s="5" t="str">
        <f>HYPERLINK("https://creighton-primo.hosted.exlibrisgroup.com/primo-explore/search?tab=default_tab&amp;search_scope=EVERYTHING&amp;vid=01CRU&amp;lang=en_US&amp;offset=0&amp;query=any,contains,991000964739702656","Catalog Record")</f>
        <v>Catalog Record</v>
      </c>
      <c r="AV531" s="5" t="str">
        <f>HYPERLINK("http://www.worldcat.org/oclc/917999","WorldCat Record")</f>
        <v>WorldCat Record</v>
      </c>
      <c r="AW531" s="2" t="s">
        <v>6800</v>
      </c>
      <c r="AX531" s="2" t="s">
        <v>6801</v>
      </c>
      <c r="AY531" s="2" t="s">
        <v>6802</v>
      </c>
      <c r="AZ531" s="2" t="s">
        <v>6802</v>
      </c>
      <c r="BA531" s="2" t="s">
        <v>6803</v>
      </c>
      <c r="BB531" s="2" t="s">
        <v>79</v>
      </c>
      <c r="BE531" s="2" t="s">
        <v>6804</v>
      </c>
      <c r="BF531" s="2" t="s">
        <v>6805</v>
      </c>
    </row>
    <row r="532" spans="1:58" ht="46.5" customHeight="1">
      <c r="A532" s="1"/>
      <c r="B532" s="1" t="s">
        <v>58</v>
      </c>
      <c r="C532" s="1" t="s">
        <v>59</v>
      </c>
      <c r="D532" s="1" t="s">
        <v>6806</v>
      </c>
      <c r="E532" s="1" t="s">
        <v>6807</v>
      </c>
      <c r="F532" s="1" t="s">
        <v>6808</v>
      </c>
      <c r="H532" s="2" t="s">
        <v>63</v>
      </c>
      <c r="I532" s="2" t="s">
        <v>64</v>
      </c>
      <c r="J532" s="2" t="s">
        <v>63</v>
      </c>
      <c r="K532" s="2" t="s">
        <v>63</v>
      </c>
      <c r="L532" s="2" t="s">
        <v>65</v>
      </c>
      <c r="M532" s="1" t="s">
        <v>6809</v>
      </c>
      <c r="N532" s="1" t="s">
        <v>6810</v>
      </c>
      <c r="O532" s="2" t="s">
        <v>2059</v>
      </c>
      <c r="Q532" s="2" t="s">
        <v>70</v>
      </c>
      <c r="R532" s="2" t="s">
        <v>691</v>
      </c>
      <c r="T532" s="2" t="s">
        <v>72</v>
      </c>
      <c r="U532" s="3">
        <v>11</v>
      </c>
      <c r="V532" s="3">
        <v>11</v>
      </c>
      <c r="W532" s="4" t="s">
        <v>6811</v>
      </c>
      <c r="X532" s="4" t="s">
        <v>6811</v>
      </c>
      <c r="Y532" s="4" t="s">
        <v>6708</v>
      </c>
      <c r="Z532" s="4" t="s">
        <v>6708</v>
      </c>
      <c r="AA532" s="3">
        <v>228</v>
      </c>
      <c r="AB532" s="3">
        <v>134</v>
      </c>
      <c r="AC532" s="3">
        <v>136</v>
      </c>
      <c r="AD532" s="3">
        <v>3</v>
      </c>
      <c r="AE532" s="3">
        <v>3</v>
      </c>
      <c r="AF532" s="3">
        <v>8</v>
      </c>
      <c r="AG532" s="3">
        <v>8</v>
      </c>
      <c r="AH532" s="3">
        <v>3</v>
      </c>
      <c r="AI532" s="3">
        <v>3</v>
      </c>
      <c r="AJ532" s="3">
        <v>1</v>
      </c>
      <c r="AK532" s="3">
        <v>1</v>
      </c>
      <c r="AL532" s="3">
        <v>3</v>
      </c>
      <c r="AM532" s="3">
        <v>3</v>
      </c>
      <c r="AN532" s="3">
        <v>2</v>
      </c>
      <c r="AO532" s="3">
        <v>2</v>
      </c>
      <c r="AP532" s="3">
        <v>0</v>
      </c>
      <c r="AQ532" s="3">
        <v>0</v>
      </c>
      <c r="AR532" s="2" t="s">
        <v>63</v>
      </c>
      <c r="AS532" s="2" t="s">
        <v>92</v>
      </c>
      <c r="AT532" s="5" t="str">
        <f>HYPERLINK("http://catalog.hathitrust.org/Record/001579342","HathiTrust Record")</f>
        <v>HathiTrust Record</v>
      </c>
      <c r="AU532" s="5" t="str">
        <f>HYPERLINK("https://creighton-primo.hosted.exlibrisgroup.com/primo-explore/search?tab=default_tab&amp;search_scope=EVERYTHING&amp;vid=01CRU&amp;lang=en_US&amp;offset=0&amp;query=any,contains,991000964699702656","Catalog Record")</f>
        <v>Catalog Record</v>
      </c>
      <c r="AV532" s="5" t="str">
        <f>HYPERLINK("http://www.worldcat.org/oclc/14618668","WorldCat Record")</f>
        <v>WorldCat Record</v>
      </c>
      <c r="AW532" s="2" t="s">
        <v>6812</v>
      </c>
      <c r="AX532" s="2" t="s">
        <v>6813</v>
      </c>
      <c r="AY532" s="2" t="s">
        <v>6814</v>
      </c>
      <c r="AZ532" s="2" t="s">
        <v>6814</v>
      </c>
      <c r="BA532" s="2" t="s">
        <v>6815</v>
      </c>
      <c r="BB532" s="2" t="s">
        <v>79</v>
      </c>
      <c r="BE532" s="2" t="s">
        <v>6816</v>
      </c>
      <c r="BF532" s="2" t="s">
        <v>6817</v>
      </c>
    </row>
    <row r="533" spans="1:58" ht="46.5" customHeight="1">
      <c r="A533" s="1"/>
      <c r="B533" s="1" t="s">
        <v>58</v>
      </c>
      <c r="C533" s="1" t="s">
        <v>59</v>
      </c>
      <c r="D533" s="1" t="s">
        <v>6818</v>
      </c>
      <c r="E533" s="1" t="s">
        <v>6819</v>
      </c>
      <c r="F533" s="1" t="s">
        <v>6820</v>
      </c>
      <c r="H533" s="2" t="s">
        <v>63</v>
      </c>
      <c r="I533" s="2" t="s">
        <v>64</v>
      </c>
      <c r="J533" s="2" t="s">
        <v>63</v>
      </c>
      <c r="K533" s="2" t="s">
        <v>63</v>
      </c>
      <c r="L533" s="2" t="s">
        <v>65</v>
      </c>
      <c r="M533" s="1" t="s">
        <v>6821</v>
      </c>
      <c r="O533" s="2" t="s">
        <v>1501</v>
      </c>
      <c r="Q533" s="2" t="s">
        <v>70</v>
      </c>
      <c r="R533" s="2" t="s">
        <v>6822</v>
      </c>
      <c r="T533" s="2" t="s">
        <v>72</v>
      </c>
      <c r="U533" s="3">
        <v>5</v>
      </c>
      <c r="V533" s="3">
        <v>5</v>
      </c>
      <c r="W533" s="4" t="s">
        <v>4814</v>
      </c>
      <c r="X533" s="4" t="s">
        <v>4814</v>
      </c>
      <c r="Y533" s="4" t="s">
        <v>5022</v>
      </c>
      <c r="Z533" s="4" t="s">
        <v>5022</v>
      </c>
      <c r="AA533" s="3">
        <v>123</v>
      </c>
      <c r="AB533" s="3">
        <v>116</v>
      </c>
      <c r="AC533" s="3">
        <v>118</v>
      </c>
      <c r="AD533" s="3">
        <v>1</v>
      </c>
      <c r="AE533" s="3">
        <v>1</v>
      </c>
      <c r="AF533" s="3">
        <v>2</v>
      </c>
      <c r="AG533" s="3">
        <v>2</v>
      </c>
      <c r="AH533" s="3">
        <v>1</v>
      </c>
      <c r="AI533" s="3">
        <v>1</v>
      </c>
      <c r="AJ533" s="3">
        <v>1</v>
      </c>
      <c r="AK533" s="3">
        <v>1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2" t="s">
        <v>63</v>
      </c>
      <c r="AS533" s="2" t="s">
        <v>92</v>
      </c>
      <c r="AT533" s="5" t="str">
        <f>HYPERLINK("http://catalog.hathitrust.org/Record/000145105","HathiTrust Record")</f>
        <v>HathiTrust Record</v>
      </c>
      <c r="AU533" s="5" t="str">
        <f>HYPERLINK("https://creighton-primo.hosted.exlibrisgroup.com/primo-explore/search?tab=default_tab&amp;search_scope=EVERYTHING&amp;vid=01CRU&amp;lang=en_US&amp;offset=0&amp;query=any,contains,991000964519702656","Catalog Record")</f>
        <v>Catalog Record</v>
      </c>
      <c r="AV533" s="5" t="str">
        <f>HYPERLINK("http://www.worldcat.org/oclc/794102","WorldCat Record")</f>
        <v>WorldCat Record</v>
      </c>
      <c r="AW533" s="2" t="s">
        <v>6823</v>
      </c>
      <c r="AX533" s="2" t="s">
        <v>6824</v>
      </c>
      <c r="AY533" s="2" t="s">
        <v>6825</v>
      </c>
      <c r="AZ533" s="2" t="s">
        <v>6825</v>
      </c>
      <c r="BA533" s="2" t="s">
        <v>6826</v>
      </c>
      <c r="BB533" s="2" t="s">
        <v>79</v>
      </c>
      <c r="BE533" s="2" t="s">
        <v>6827</v>
      </c>
      <c r="BF533" s="2" t="s">
        <v>6828</v>
      </c>
    </row>
    <row r="534" spans="1:58" ht="46.5" customHeight="1">
      <c r="A534" s="1"/>
      <c r="B534" s="1" t="s">
        <v>58</v>
      </c>
      <c r="C534" s="1" t="s">
        <v>59</v>
      </c>
      <c r="D534" s="1" t="s">
        <v>6829</v>
      </c>
      <c r="E534" s="1" t="s">
        <v>6830</v>
      </c>
      <c r="F534" s="1" t="s">
        <v>6831</v>
      </c>
      <c r="H534" s="2" t="s">
        <v>63</v>
      </c>
      <c r="I534" s="2" t="s">
        <v>64</v>
      </c>
      <c r="J534" s="2" t="s">
        <v>63</v>
      </c>
      <c r="K534" s="2" t="s">
        <v>63</v>
      </c>
      <c r="L534" s="2" t="s">
        <v>65</v>
      </c>
      <c r="M534" s="1" t="s">
        <v>6832</v>
      </c>
      <c r="N534" s="1" t="s">
        <v>6833</v>
      </c>
      <c r="O534" s="2" t="s">
        <v>6834</v>
      </c>
      <c r="Q534" s="2" t="s">
        <v>70</v>
      </c>
      <c r="R534" s="2" t="s">
        <v>277</v>
      </c>
      <c r="T534" s="2" t="s">
        <v>72</v>
      </c>
      <c r="U534" s="3">
        <v>1</v>
      </c>
      <c r="V534" s="3">
        <v>1</v>
      </c>
      <c r="W534" s="4" t="s">
        <v>705</v>
      </c>
      <c r="X534" s="4" t="s">
        <v>705</v>
      </c>
      <c r="Y534" s="4" t="s">
        <v>6708</v>
      </c>
      <c r="Z534" s="4" t="s">
        <v>6708</v>
      </c>
      <c r="AA534" s="3">
        <v>325</v>
      </c>
      <c r="AB534" s="3">
        <v>310</v>
      </c>
      <c r="AC534" s="3">
        <v>554</v>
      </c>
      <c r="AD534" s="3">
        <v>4</v>
      </c>
      <c r="AE534" s="3">
        <v>7</v>
      </c>
      <c r="AF534" s="3">
        <v>13</v>
      </c>
      <c r="AG534" s="3">
        <v>24</v>
      </c>
      <c r="AH534" s="3">
        <v>5</v>
      </c>
      <c r="AI534" s="3">
        <v>9</v>
      </c>
      <c r="AJ534" s="3">
        <v>3</v>
      </c>
      <c r="AK534" s="3">
        <v>3</v>
      </c>
      <c r="AL534" s="3">
        <v>7</v>
      </c>
      <c r="AM534" s="3">
        <v>12</v>
      </c>
      <c r="AN534" s="3">
        <v>3</v>
      </c>
      <c r="AO534" s="3">
        <v>6</v>
      </c>
      <c r="AP534" s="3">
        <v>0</v>
      </c>
      <c r="AQ534" s="3">
        <v>0</v>
      </c>
      <c r="AR534" s="2" t="s">
        <v>63</v>
      </c>
      <c r="AS534" s="2" t="s">
        <v>92</v>
      </c>
      <c r="AT534" s="5" t="str">
        <f>HYPERLINK("http://catalog.hathitrust.org/Record/001573558","HathiTrust Record")</f>
        <v>HathiTrust Record</v>
      </c>
      <c r="AU534" s="5" t="str">
        <f>HYPERLINK("https://creighton-primo.hosted.exlibrisgroup.com/primo-explore/search?tab=default_tab&amp;search_scope=EVERYTHING&amp;vid=01CRU&amp;lang=en_US&amp;offset=0&amp;query=any,contains,991000964449702656","Catalog Record")</f>
        <v>Catalog Record</v>
      </c>
      <c r="AV534" s="5" t="str">
        <f>HYPERLINK("http://www.worldcat.org/oclc/992904","WorldCat Record")</f>
        <v>WorldCat Record</v>
      </c>
      <c r="AW534" s="2" t="s">
        <v>6835</v>
      </c>
      <c r="AX534" s="2" t="s">
        <v>6836</v>
      </c>
      <c r="AY534" s="2" t="s">
        <v>6837</v>
      </c>
      <c r="AZ534" s="2" t="s">
        <v>6837</v>
      </c>
      <c r="BA534" s="2" t="s">
        <v>6838</v>
      </c>
      <c r="BB534" s="2" t="s">
        <v>79</v>
      </c>
      <c r="BE534" s="2" t="s">
        <v>6839</v>
      </c>
      <c r="BF534" s="2" t="s">
        <v>6840</v>
      </c>
    </row>
    <row r="535" spans="1:58" ht="46.5" customHeight="1">
      <c r="A535" s="1"/>
      <c r="B535" s="1" t="s">
        <v>58</v>
      </c>
      <c r="C535" s="1" t="s">
        <v>59</v>
      </c>
      <c r="D535" s="1" t="s">
        <v>6841</v>
      </c>
      <c r="E535" s="1" t="s">
        <v>6842</v>
      </c>
      <c r="F535" s="1" t="s">
        <v>6843</v>
      </c>
      <c r="H535" s="2" t="s">
        <v>63</v>
      </c>
      <c r="I535" s="2" t="s">
        <v>64</v>
      </c>
      <c r="J535" s="2" t="s">
        <v>63</v>
      </c>
      <c r="K535" s="2" t="s">
        <v>63</v>
      </c>
      <c r="L535" s="2" t="s">
        <v>65</v>
      </c>
      <c r="N535" s="1" t="s">
        <v>6844</v>
      </c>
      <c r="O535" s="2" t="s">
        <v>6845</v>
      </c>
      <c r="P535" s="1" t="s">
        <v>376</v>
      </c>
      <c r="Q535" s="2" t="s">
        <v>70</v>
      </c>
      <c r="R535" s="2" t="s">
        <v>6733</v>
      </c>
      <c r="T535" s="2" t="s">
        <v>72</v>
      </c>
      <c r="U535" s="3">
        <v>2</v>
      </c>
      <c r="V535" s="3">
        <v>2</v>
      </c>
      <c r="W535" s="4" t="s">
        <v>2736</v>
      </c>
      <c r="X535" s="4" t="s">
        <v>2736</v>
      </c>
      <c r="Y535" s="4" t="s">
        <v>5022</v>
      </c>
      <c r="Z535" s="4" t="s">
        <v>5022</v>
      </c>
      <c r="AA535" s="3">
        <v>33</v>
      </c>
      <c r="AB535" s="3">
        <v>30</v>
      </c>
      <c r="AC535" s="3">
        <v>32</v>
      </c>
      <c r="AD535" s="3">
        <v>1</v>
      </c>
      <c r="AE535" s="3">
        <v>1</v>
      </c>
      <c r="AF535" s="3">
        <v>1</v>
      </c>
      <c r="AG535" s="3">
        <v>1</v>
      </c>
      <c r="AH535" s="3">
        <v>0</v>
      </c>
      <c r="AI535" s="3">
        <v>0</v>
      </c>
      <c r="AJ535" s="3">
        <v>1</v>
      </c>
      <c r="AK535" s="3">
        <v>1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2" t="s">
        <v>63</v>
      </c>
      <c r="AS535" s="2" t="s">
        <v>92</v>
      </c>
      <c r="AT535" s="5" t="str">
        <f>HYPERLINK("http://catalog.hathitrust.org/Record/001573545","HathiTrust Record")</f>
        <v>HathiTrust Record</v>
      </c>
      <c r="AU535" s="5" t="str">
        <f>HYPERLINK("https://creighton-primo.hosted.exlibrisgroup.com/primo-explore/search?tab=default_tab&amp;search_scope=EVERYTHING&amp;vid=01CRU&amp;lang=en_US&amp;offset=0&amp;query=any,contains,991000965269702656","Catalog Record")</f>
        <v>Catalog Record</v>
      </c>
      <c r="AV535" s="5" t="str">
        <f>HYPERLINK("http://www.worldcat.org/oclc/5813193","WorldCat Record")</f>
        <v>WorldCat Record</v>
      </c>
      <c r="AW535" s="2" t="s">
        <v>6846</v>
      </c>
      <c r="AX535" s="2" t="s">
        <v>6847</v>
      </c>
      <c r="AY535" s="2" t="s">
        <v>6848</v>
      </c>
      <c r="AZ535" s="2" t="s">
        <v>6848</v>
      </c>
      <c r="BA535" s="2" t="s">
        <v>6849</v>
      </c>
      <c r="BB535" s="2" t="s">
        <v>79</v>
      </c>
      <c r="BE535" s="2" t="s">
        <v>6850</v>
      </c>
      <c r="BF535" s="2" t="s">
        <v>6851</v>
      </c>
    </row>
    <row r="536" spans="1:58" ht="46.5" customHeight="1">
      <c r="A536" s="1"/>
      <c r="B536" s="1" t="s">
        <v>58</v>
      </c>
      <c r="C536" s="1" t="s">
        <v>59</v>
      </c>
      <c r="D536" s="1" t="s">
        <v>6852</v>
      </c>
      <c r="E536" s="1" t="s">
        <v>6853</v>
      </c>
      <c r="F536" s="1" t="s">
        <v>6854</v>
      </c>
      <c r="H536" s="2" t="s">
        <v>63</v>
      </c>
      <c r="I536" s="2" t="s">
        <v>64</v>
      </c>
      <c r="J536" s="2" t="s">
        <v>63</v>
      </c>
      <c r="K536" s="2" t="s">
        <v>63</v>
      </c>
      <c r="L536" s="2" t="s">
        <v>65</v>
      </c>
      <c r="N536" s="1" t="s">
        <v>6855</v>
      </c>
      <c r="O536" s="2" t="s">
        <v>145</v>
      </c>
      <c r="Q536" s="2" t="s">
        <v>70</v>
      </c>
      <c r="R536" s="2" t="s">
        <v>133</v>
      </c>
      <c r="T536" s="2" t="s">
        <v>72</v>
      </c>
      <c r="U536" s="3">
        <v>6</v>
      </c>
      <c r="V536" s="3">
        <v>6</v>
      </c>
      <c r="W536" s="4" t="s">
        <v>6856</v>
      </c>
      <c r="X536" s="4" t="s">
        <v>6856</v>
      </c>
      <c r="Y536" s="4" t="s">
        <v>6857</v>
      </c>
      <c r="Z536" s="4" t="s">
        <v>6857</v>
      </c>
      <c r="AA536" s="3">
        <v>21</v>
      </c>
      <c r="AB536" s="3">
        <v>21</v>
      </c>
      <c r="AC536" s="3">
        <v>43</v>
      </c>
      <c r="AD536" s="3">
        <v>1</v>
      </c>
      <c r="AE536" s="3">
        <v>1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2" t="s">
        <v>63</v>
      </c>
      <c r="AS536" s="2" t="s">
        <v>63</v>
      </c>
      <c r="AU536" s="5" t="str">
        <f>HYPERLINK("https://creighton-primo.hosted.exlibrisgroup.com/primo-explore/search?tab=default_tab&amp;search_scope=EVERYTHING&amp;vid=01CRU&amp;lang=en_US&amp;offset=0&amp;query=any,contains,991001335839702656","Catalog Record")</f>
        <v>Catalog Record</v>
      </c>
      <c r="AV536" s="5" t="str">
        <f>HYPERLINK("http://www.worldcat.org/oclc/31733205","WorldCat Record")</f>
        <v>WorldCat Record</v>
      </c>
      <c r="AW536" s="2" t="s">
        <v>6858</v>
      </c>
      <c r="AX536" s="2" t="s">
        <v>6859</v>
      </c>
      <c r="AY536" s="2" t="s">
        <v>6860</v>
      </c>
      <c r="AZ536" s="2" t="s">
        <v>6860</v>
      </c>
      <c r="BA536" s="2" t="s">
        <v>6861</v>
      </c>
      <c r="BB536" s="2" t="s">
        <v>79</v>
      </c>
      <c r="BE536" s="2" t="s">
        <v>6862</v>
      </c>
      <c r="BF536" s="2" t="s">
        <v>6863</v>
      </c>
    </row>
    <row r="537" spans="1:58" ht="46.5" customHeight="1">
      <c r="A537" s="1"/>
      <c r="B537" s="1" t="s">
        <v>58</v>
      </c>
      <c r="C537" s="1" t="s">
        <v>59</v>
      </c>
      <c r="D537" s="1" t="s">
        <v>6864</v>
      </c>
      <c r="E537" s="1" t="s">
        <v>6865</v>
      </c>
      <c r="F537" s="1" t="s">
        <v>6866</v>
      </c>
      <c r="H537" s="2" t="s">
        <v>63</v>
      </c>
      <c r="I537" s="2" t="s">
        <v>64</v>
      </c>
      <c r="J537" s="2" t="s">
        <v>63</v>
      </c>
      <c r="K537" s="2" t="s">
        <v>63</v>
      </c>
      <c r="L537" s="2" t="s">
        <v>65</v>
      </c>
      <c r="N537" s="1" t="s">
        <v>6867</v>
      </c>
      <c r="O537" s="2" t="s">
        <v>608</v>
      </c>
      <c r="Q537" s="2" t="s">
        <v>70</v>
      </c>
      <c r="R537" s="2" t="s">
        <v>6868</v>
      </c>
      <c r="T537" s="2" t="s">
        <v>72</v>
      </c>
      <c r="U537" s="3">
        <v>23</v>
      </c>
      <c r="V537" s="3">
        <v>23</v>
      </c>
      <c r="W537" s="4" t="s">
        <v>6869</v>
      </c>
      <c r="X537" s="4" t="s">
        <v>6869</v>
      </c>
      <c r="Y537" s="4" t="s">
        <v>979</v>
      </c>
      <c r="Z537" s="4" t="s">
        <v>979</v>
      </c>
      <c r="AA537" s="3">
        <v>46</v>
      </c>
      <c r="AB537" s="3">
        <v>38</v>
      </c>
      <c r="AC537" s="3">
        <v>43</v>
      </c>
      <c r="AD537" s="3">
        <v>1</v>
      </c>
      <c r="AE537" s="3">
        <v>1</v>
      </c>
      <c r="AF537" s="3">
        <v>2</v>
      </c>
      <c r="AG537" s="3">
        <v>2</v>
      </c>
      <c r="AH537" s="3">
        <v>2</v>
      </c>
      <c r="AI537" s="3">
        <v>2</v>
      </c>
      <c r="AJ537" s="3">
        <v>1</v>
      </c>
      <c r="AK537" s="3">
        <v>1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2" t="s">
        <v>63</v>
      </c>
      <c r="AS537" s="2" t="s">
        <v>63</v>
      </c>
      <c r="AU537" s="5" t="str">
        <f>HYPERLINK("https://creighton-primo.hosted.exlibrisgroup.com/primo-explore/search?tab=default_tab&amp;search_scope=EVERYTHING&amp;vid=01CRU&amp;lang=en_US&amp;offset=0&amp;query=any,contains,991001511869702656","Catalog Record")</f>
        <v>Catalog Record</v>
      </c>
      <c r="AV537" s="5" t="str">
        <f>HYPERLINK("http://www.worldcat.org/oclc/27097639","WorldCat Record")</f>
        <v>WorldCat Record</v>
      </c>
      <c r="AW537" s="2" t="s">
        <v>6870</v>
      </c>
      <c r="AX537" s="2" t="s">
        <v>6871</v>
      </c>
      <c r="AY537" s="2" t="s">
        <v>6872</v>
      </c>
      <c r="AZ537" s="2" t="s">
        <v>6872</v>
      </c>
      <c r="BA537" s="2" t="s">
        <v>6873</v>
      </c>
      <c r="BB537" s="2" t="s">
        <v>79</v>
      </c>
      <c r="BD537" s="2" t="s">
        <v>6874</v>
      </c>
      <c r="BE537" s="2" t="s">
        <v>6875</v>
      </c>
      <c r="BF537" s="2" t="s">
        <v>6876</v>
      </c>
    </row>
    <row r="538" spans="1:58" ht="46.5" customHeight="1">
      <c r="A538" s="1"/>
      <c r="B538" s="1" t="s">
        <v>58</v>
      </c>
      <c r="C538" s="1" t="s">
        <v>59</v>
      </c>
      <c r="D538" s="1" t="s">
        <v>6877</v>
      </c>
      <c r="E538" s="1" t="s">
        <v>6878</v>
      </c>
      <c r="F538" s="1" t="s">
        <v>6879</v>
      </c>
      <c r="H538" s="2" t="s">
        <v>63</v>
      </c>
      <c r="I538" s="2" t="s">
        <v>64</v>
      </c>
      <c r="J538" s="2" t="s">
        <v>63</v>
      </c>
      <c r="K538" s="2" t="s">
        <v>63</v>
      </c>
      <c r="L538" s="2" t="s">
        <v>65</v>
      </c>
      <c r="N538" s="1" t="s">
        <v>6880</v>
      </c>
      <c r="O538" s="2" t="s">
        <v>1254</v>
      </c>
      <c r="P538" s="1" t="s">
        <v>157</v>
      </c>
      <c r="Q538" s="2" t="s">
        <v>70</v>
      </c>
      <c r="R538" s="2" t="s">
        <v>470</v>
      </c>
      <c r="T538" s="2" t="s">
        <v>72</v>
      </c>
      <c r="U538" s="3">
        <v>9</v>
      </c>
      <c r="V538" s="3">
        <v>9</v>
      </c>
      <c r="W538" s="4" t="s">
        <v>6881</v>
      </c>
      <c r="X538" s="4" t="s">
        <v>6881</v>
      </c>
      <c r="Y538" s="4" t="s">
        <v>6882</v>
      </c>
      <c r="Z538" s="4" t="s">
        <v>6882</v>
      </c>
      <c r="AA538" s="3">
        <v>75</v>
      </c>
      <c r="AB538" s="3">
        <v>43</v>
      </c>
      <c r="AC538" s="3">
        <v>48</v>
      </c>
      <c r="AD538" s="3">
        <v>1</v>
      </c>
      <c r="AE538" s="3">
        <v>1</v>
      </c>
      <c r="AF538" s="3">
        <v>4</v>
      </c>
      <c r="AG538" s="3">
        <v>4</v>
      </c>
      <c r="AH538" s="3">
        <v>3</v>
      </c>
      <c r="AI538" s="3">
        <v>3</v>
      </c>
      <c r="AJ538" s="3">
        <v>2</v>
      </c>
      <c r="AK538" s="3">
        <v>2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2" t="s">
        <v>63</v>
      </c>
      <c r="AS538" s="2" t="s">
        <v>63</v>
      </c>
      <c r="AU538" s="5" t="str">
        <f>HYPERLINK("https://creighton-primo.hosted.exlibrisgroup.com/primo-explore/search?tab=default_tab&amp;search_scope=EVERYTHING&amp;vid=01CRU&amp;lang=en_US&amp;offset=0&amp;query=any,contains,991000335669702656","Catalog Record")</f>
        <v>Catalog Record</v>
      </c>
      <c r="AV538" s="5" t="str">
        <f>HYPERLINK("http://www.worldcat.org/oclc/45420291","WorldCat Record")</f>
        <v>WorldCat Record</v>
      </c>
      <c r="AW538" s="2" t="s">
        <v>6883</v>
      </c>
      <c r="AX538" s="2" t="s">
        <v>6884</v>
      </c>
      <c r="AY538" s="2" t="s">
        <v>6885</v>
      </c>
      <c r="AZ538" s="2" t="s">
        <v>6885</v>
      </c>
      <c r="BA538" s="2" t="s">
        <v>6886</v>
      </c>
      <c r="BB538" s="2" t="s">
        <v>79</v>
      </c>
      <c r="BD538" s="2" t="s">
        <v>6887</v>
      </c>
      <c r="BE538" s="2" t="s">
        <v>6888</v>
      </c>
      <c r="BF538" s="2" t="s">
        <v>6889</v>
      </c>
    </row>
    <row r="539" spans="1:58" ht="46.5" customHeight="1">
      <c r="A539" s="1"/>
      <c r="B539" s="1" t="s">
        <v>58</v>
      </c>
      <c r="C539" s="1" t="s">
        <v>59</v>
      </c>
      <c r="D539" s="1" t="s">
        <v>6890</v>
      </c>
      <c r="E539" s="1" t="s">
        <v>6891</v>
      </c>
      <c r="F539" s="1" t="s">
        <v>6892</v>
      </c>
      <c r="H539" s="2" t="s">
        <v>63</v>
      </c>
      <c r="I539" s="2" t="s">
        <v>64</v>
      </c>
      <c r="J539" s="2" t="s">
        <v>63</v>
      </c>
      <c r="K539" s="2" t="s">
        <v>92</v>
      </c>
      <c r="L539" s="2" t="s">
        <v>65</v>
      </c>
      <c r="M539" s="1" t="s">
        <v>6893</v>
      </c>
      <c r="N539" s="1" t="s">
        <v>6894</v>
      </c>
      <c r="O539" s="2" t="s">
        <v>1884</v>
      </c>
      <c r="P539" s="1" t="s">
        <v>6895</v>
      </c>
      <c r="Q539" s="2" t="s">
        <v>70</v>
      </c>
      <c r="R539" s="2" t="s">
        <v>2644</v>
      </c>
      <c r="T539" s="2" t="s">
        <v>72</v>
      </c>
      <c r="U539" s="3">
        <v>44</v>
      </c>
      <c r="V539" s="3">
        <v>44</v>
      </c>
      <c r="W539" s="4" t="s">
        <v>6896</v>
      </c>
      <c r="X539" s="4" t="s">
        <v>6896</v>
      </c>
      <c r="Y539" s="4" t="s">
        <v>6897</v>
      </c>
      <c r="Z539" s="4" t="s">
        <v>6897</v>
      </c>
      <c r="AA539" s="3">
        <v>35</v>
      </c>
      <c r="AB539" s="3">
        <v>29</v>
      </c>
      <c r="AC539" s="3">
        <v>301</v>
      </c>
      <c r="AD539" s="3">
        <v>1</v>
      </c>
      <c r="AE539" s="3">
        <v>2</v>
      </c>
      <c r="AF539" s="3">
        <v>1</v>
      </c>
      <c r="AG539" s="3">
        <v>9</v>
      </c>
      <c r="AH539" s="3">
        <v>0</v>
      </c>
      <c r="AI539" s="3">
        <v>4</v>
      </c>
      <c r="AJ539" s="3">
        <v>1</v>
      </c>
      <c r="AK539" s="3">
        <v>3</v>
      </c>
      <c r="AL539" s="3">
        <v>0</v>
      </c>
      <c r="AM539" s="3">
        <v>2</v>
      </c>
      <c r="AN539" s="3">
        <v>0</v>
      </c>
      <c r="AO539" s="3">
        <v>1</v>
      </c>
      <c r="AP539" s="3">
        <v>0</v>
      </c>
      <c r="AQ539" s="3">
        <v>0</v>
      </c>
      <c r="AR539" s="2" t="s">
        <v>63</v>
      </c>
      <c r="AS539" s="2" t="s">
        <v>92</v>
      </c>
      <c r="AT539" s="5" t="str">
        <f>HYPERLINK("http://catalog.hathitrust.org/Record/004064787","HathiTrust Record")</f>
        <v>HathiTrust Record</v>
      </c>
      <c r="AU539" s="5" t="str">
        <f>HYPERLINK("https://creighton-primo.hosted.exlibrisgroup.com/primo-explore/search?tab=default_tab&amp;search_scope=EVERYTHING&amp;vid=01CRU&amp;lang=en_US&amp;offset=0&amp;query=any,contains,991001410399702656","Catalog Record")</f>
        <v>Catalog Record</v>
      </c>
      <c r="AV539" s="5" t="str">
        <f>HYPERLINK("http://www.worldcat.org/oclc/43273376","WorldCat Record")</f>
        <v>WorldCat Record</v>
      </c>
      <c r="AW539" s="2" t="s">
        <v>6898</v>
      </c>
      <c r="AX539" s="2" t="s">
        <v>6899</v>
      </c>
      <c r="AY539" s="2" t="s">
        <v>6900</v>
      </c>
      <c r="AZ539" s="2" t="s">
        <v>6900</v>
      </c>
      <c r="BA539" s="2" t="s">
        <v>6901</v>
      </c>
      <c r="BB539" s="2" t="s">
        <v>79</v>
      </c>
      <c r="BD539" s="2" t="s">
        <v>6902</v>
      </c>
      <c r="BE539" s="2" t="s">
        <v>6903</v>
      </c>
      <c r="BF539" s="2" t="s">
        <v>6904</v>
      </c>
    </row>
    <row r="540" spans="1:58" ht="46.5" customHeight="1">
      <c r="A540" s="1"/>
      <c r="B540" s="1" t="s">
        <v>58</v>
      </c>
      <c r="C540" s="1" t="s">
        <v>59</v>
      </c>
      <c r="D540" s="1" t="s">
        <v>6905</v>
      </c>
      <c r="E540" s="1" t="s">
        <v>6906</v>
      </c>
      <c r="F540" s="1" t="s">
        <v>6907</v>
      </c>
      <c r="H540" s="2" t="s">
        <v>63</v>
      </c>
      <c r="I540" s="2" t="s">
        <v>64</v>
      </c>
      <c r="J540" s="2" t="s">
        <v>63</v>
      </c>
      <c r="K540" s="2" t="s">
        <v>92</v>
      </c>
      <c r="L540" s="2" t="s">
        <v>65</v>
      </c>
      <c r="M540" s="1" t="s">
        <v>6908</v>
      </c>
      <c r="N540" s="1" t="s">
        <v>1791</v>
      </c>
      <c r="O540" s="2" t="s">
        <v>348</v>
      </c>
      <c r="P540" s="1" t="s">
        <v>376</v>
      </c>
      <c r="Q540" s="2" t="s">
        <v>70</v>
      </c>
      <c r="R540" s="2" t="s">
        <v>470</v>
      </c>
      <c r="T540" s="2" t="s">
        <v>72</v>
      </c>
      <c r="U540" s="3">
        <v>10</v>
      </c>
      <c r="V540" s="3">
        <v>10</v>
      </c>
      <c r="W540" s="4" t="s">
        <v>6909</v>
      </c>
      <c r="X540" s="4" t="s">
        <v>6909</v>
      </c>
      <c r="Y540" s="4" t="s">
        <v>2343</v>
      </c>
      <c r="Z540" s="4" t="s">
        <v>2343</v>
      </c>
      <c r="AA540" s="3">
        <v>61</v>
      </c>
      <c r="AB540" s="3">
        <v>40</v>
      </c>
      <c r="AC540" s="3">
        <v>142</v>
      </c>
      <c r="AD540" s="3">
        <v>1</v>
      </c>
      <c r="AE540" s="3">
        <v>2</v>
      </c>
      <c r="AF540" s="3">
        <v>2</v>
      </c>
      <c r="AG540" s="3">
        <v>9</v>
      </c>
      <c r="AH540" s="3">
        <v>1</v>
      </c>
      <c r="AI540" s="3">
        <v>5</v>
      </c>
      <c r="AJ540" s="3">
        <v>1</v>
      </c>
      <c r="AK540" s="3">
        <v>3</v>
      </c>
      <c r="AL540" s="3">
        <v>0</v>
      </c>
      <c r="AM540" s="3">
        <v>2</v>
      </c>
      <c r="AN540" s="3">
        <v>0</v>
      </c>
      <c r="AO540" s="3">
        <v>1</v>
      </c>
      <c r="AP540" s="3">
        <v>0</v>
      </c>
      <c r="AQ540" s="3">
        <v>0</v>
      </c>
      <c r="AR540" s="2" t="s">
        <v>63</v>
      </c>
      <c r="AS540" s="2" t="s">
        <v>92</v>
      </c>
      <c r="AT540" s="5" t="str">
        <f>HYPERLINK("http://catalog.hathitrust.org/Record/004012994","HathiTrust Record")</f>
        <v>HathiTrust Record</v>
      </c>
      <c r="AU540" s="5" t="str">
        <f>HYPERLINK("https://creighton-primo.hosted.exlibrisgroup.com/primo-explore/search?tab=default_tab&amp;search_scope=EVERYTHING&amp;vid=01CRU&amp;lang=en_US&amp;offset=0&amp;query=any,contains,991001440489702656","Catalog Record")</f>
        <v>Catalog Record</v>
      </c>
      <c r="AV540" s="5" t="str">
        <f>HYPERLINK("http://www.worldcat.org/oclc/38562176","WorldCat Record")</f>
        <v>WorldCat Record</v>
      </c>
      <c r="AW540" s="2" t="s">
        <v>6910</v>
      </c>
      <c r="AX540" s="2" t="s">
        <v>6911</v>
      </c>
      <c r="AY540" s="2" t="s">
        <v>6912</v>
      </c>
      <c r="AZ540" s="2" t="s">
        <v>6912</v>
      </c>
      <c r="BA540" s="2" t="s">
        <v>6913</v>
      </c>
      <c r="BB540" s="2" t="s">
        <v>79</v>
      </c>
      <c r="BD540" s="2" t="s">
        <v>6914</v>
      </c>
      <c r="BE540" s="2" t="s">
        <v>6915</v>
      </c>
      <c r="BF540" s="2" t="s">
        <v>6916</v>
      </c>
    </row>
    <row r="541" spans="1:58" ht="46.5" customHeight="1">
      <c r="A541" s="1"/>
      <c r="B541" s="1" t="s">
        <v>58</v>
      </c>
      <c r="C541" s="1" t="s">
        <v>59</v>
      </c>
      <c r="D541" s="1" t="s">
        <v>6917</v>
      </c>
      <c r="E541" s="1" t="s">
        <v>6918</v>
      </c>
      <c r="F541" s="1" t="s">
        <v>6919</v>
      </c>
      <c r="H541" s="2" t="s">
        <v>63</v>
      </c>
      <c r="I541" s="2" t="s">
        <v>64</v>
      </c>
      <c r="J541" s="2" t="s">
        <v>63</v>
      </c>
      <c r="K541" s="2" t="s">
        <v>63</v>
      </c>
      <c r="L541" s="2" t="s">
        <v>65</v>
      </c>
      <c r="M541" s="1" t="s">
        <v>6920</v>
      </c>
      <c r="N541" s="1" t="s">
        <v>5437</v>
      </c>
      <c r="O541" s="2" t="s">
        <v>1175</v>
      </c>
      <c r="Q541" s="2" t="s">
        <v>70</v>
      </c>
      <c r="R541" s="2" t="s">
        <v>89</v>
      </c>
      <c r="T541" s="2" t="s">
        <v>72</v>
      </c>
      <c r="U541" s="3">
        <v>4</v>
      </c>
      <c r="V541" s="3">
        <v>4</v>
      </c>
      <c r="W541" s="4" t="s">
        <v>6811</v>
      </c>
      <c r="X541" s="4" t="s">
        <v>6811</v>
      </c>
      <c r="Y541" s="4" t="s">
        <v>5022</v>
      </c>
      <c r="Z541" s="4" t="s">
        <v>5022</v>
      </c>
      <c r="AA541" s="3">
        <v>9</v>
      </c>
      <c r="AB541" s="3">
        <v>7</v>
      </c>
      <c r="AC541" s="3">
        <v>188</v>
      </c>
      <c r="AD541" s="3">
        <v>1</v>
      </c>
      <c r="AE541" s="3">
        <v>2</v>
      </c>
      <c r="AF541" s="3">
        <v>0</v>
      </c>
      <c r="AG541" s="3">
        <v>5</v>
      </c>
      <c r="AH541" s="3">
        <v>0</v>
      </c>
      <c r="AI541" s="3">
        <v>2</v>
      </c>
      <c r="AJ541" s="3">
        <v>0</v>
      </c>
      <c r="AK541" s="3">
        <v>1</v>
      </c>
      <c r="AL541" s="3">
        <v>0</v>
      </c>
      <c r="AM541" s="3">
        <v>1</v>
      </c>
      <c r="AN541" s="3">
        <v>0</v>
      </c>
      <c r="AO541" s="3">
        <v>1</v>
      </c>
      <c r="AP541" s="3">
        <v>0</v>
      </c>
      <c r="AQ541" s="3">
        <v>1</v>
      </c>
      <c r="AR541" s="2" t="s">
        <v>63</v>
      </c>
      <c r="AS541" s="2" t="s">
        <v>63</v>
      </c>
      <c r="AU541" s="5" t="str">
        <f>HYPERLINK("https://creighton-primo.hosted.exlibrisgroup.com/primo-explore/search?tab=default_tab&amp;search_scope=EVERYTHING&amp;vid=01CRU&amp;lang=en_US&amp;offset=0&amp;query=any,contains,991000965199702656","Catalog Record")</f>
        <v>Catalog Record</v>
      </c>
      <c r="AV541" s="5" t="str">
        <f>HYPERLINK("http://www.worldcat.org/oclc/7716894","WorldCat Record")</f>
        <v>WorldCat Record</v>
      </c>
      <c r="AW541" s="2" t="s">
        <v>6921</v>
      </c>
      <c r="AX541" s="2" t="s">
        <v>6922</v>
      </c>
      <c r="AY541" s="2" t="s">
        <v>6923</v>
      </c>
      <c r="AZ541" s="2" t="s">
        <v>6923</v>
      </c>
      <c r="BA541" s="2" t="s">
        <v>6924</v>
      </c>
      <c r="BB541" s="2" t="s">
        <v>79</v>
      </c>
      <c r="BD541" s="2" t="s">
        <v>6925</v>
      </c>
      <c r="BE541" s="2" t="s">
        <v>6926</v>
      </c>
      <c r="BF541" s="2" t="s">
        <v>6927</v>
      </c>
    </row>
    <row r="542" spans="1:58" ht="46.5" customHeight="1">
      <c r="A542" s="1"/>
      <c r="B542" s="1" t="s">
        <v>58</v>
      </c>
      <c r="C542" s="1" t="s">
        <v>59</v>
      </c>
      <c r="D542" s="1" t="s">
        <v>6928</v>
      </c>
      <c r="E542" s="1" t="s">
        <v>6929</v>
      </c>
      <c r="F542" s="1" t="s">
        <v>6930</v>
      </c>
      <c r="H542" s="2" t="s">
        <v>63</v>
      </c>
      <c r="I542" s="2" t="s">
        <v>64</v>
      </c>
      <c r="J542" s="2" t="s">
        <v>63</v>
      </c>
      <c r="K542" s="2" t="s">
        <v>63</v>
      </c>
      <c r="L542" s="2" t="s">
        <v>65</v>
      </c>
      <c r="M542" s="1" t="s">
        <v>6931</v>
      </c>
      <c r="N542" s="1" t="s">
        <v>6932</v>
      </c>
      <c r="O542" s="2" t="s">
        <v>608</v>
      </c>
      <c r="Q542" s="2" t="s">
        <v>70</v>
      </c>
      <c r="R542" s="2" t="s">
        <v>555</v>
      </c>
      <c r="T542" s="2" t="s">
        <v>72</v>
      </c>
      <c r="U542" s="3">
        <v>3</v>
      </c>
      <c r="V542" s="3">
        <v>3</v>
      </c>
      <c r="W542" s="4" t="s">
        <v>1135</v>
      </c>
      <c r="X542" s="4" t="s">
        <v>1135</v>
      </c>
      <c r="Y542" s="4" t="s">
        <v>1135</v>
      </c>
      <c r="Z542" s="4" t="s">
        <v>1135</v>
      </c>
      <c r="AA542" s="3">
        <v>53</v>
      </c>
      <c r="AB542" s="3">
        <v>51</v>
      </c>
      <c r="AC542" s="3">
        <v>83</v>
      </c>
      <c r="AD542" s="3">
        <v>1</v>
      </c>
      <c r="AE542" s="3">
        <v>1</v>
      </c>
      <c r="AF542" s="3">
        <v>2</v>
      </c>
      <c r="AG542" s="3">
        <v>3</v>
      </c>
      <c r="AH542" s="3">
        <v>0</v>
      </c>
      <c r="AI542" s="3">
        <v>1</v>
      </c>
      <c r="AJ542" s="3">
        <v>1</v>
      </c>
      <c r="AK542" s="3">
        <v>1</v>
      </c>
      <c r="AL542" s="3">
        <v>0</v>
      </c>
      <c r="AM542" s="3">
        <v>0</v>
      </c>
      <c r="AN542" s="3">
        <v>0</v>
      </c>
      <c r="AO542" s="3">
        <v>0</v>
      </c>
      <c r="AP542" s="3">
        <v>1</v>
      </c>
      <c r="AQ542" s="3">
        <v>1</v>
      </c>
      <c r="AR542" s="2" t="s">
        <v>63</v>
      </c>
      <c r="AS542" s="2" t="s">
        <v>63</v>
      </c>
      <c r="AU542" s="5" t="str">
        <f>HYPERLINK("https://creighton-primo.hosted.exlibrisgroup.com/primo-explore/search?tab=default_tab&amp;search_scope=EVERYTHING&amp;vid=01CRU&amp;lang=en_US&amp;offset=0&amp;query=any,contains,991001515439702656","Catalog Record")</f>
        <v>Catalog Record</v>
      </c>
      <c r="AV542" s="5" t="str">
        <f>HYPERLINK("http://www.worldcat.org/oclc/28923860","WorldCat Record")</f>
        <v>WorldCat Record</v>
      </c>
      <c r="AW542" s="2" t="s">
        <v>6933</v>
      </c>
      <c r="AX542" s="2" t="s">
        <v>6934</v>
      </c>
      <c r="AY542" s="2" t="s">
        <v>6935</v>
      </c>
      <c r="AZ542" s="2" t="s">
        <v>6935</v>
      </c>
      <c r="BA542" s="2" t="s">
        <v>6936</v>
      </c>
      <c r="BB542" s="2" t="s">
        <v>79</v>
      </c>
      <c r="BE542" s="2" t="s">
        <v>6937</v>
      </c>
      <c r="BF542" s="2" t="s">
        <v>6938</v>
      </c>
    </row>
    <row r="543" spans="1:58" ht="46.5" customHeight="1">
      <c r="A543" s="1"/>
      <c r="B543" s="1" t="s">
        <v>58</v>
      </c>
      <c r="C543" s="1" t="s">
        <v>59</v>
      </c>
      <c r="D543" s="1" t="s">
        <v>6939</v>
      </c>
      <c r="E543" s="1" t="s">
        <v>6940</v>
      </c>
      <c r="F543" s="1" t="s">
        <v>6941</v>
      </c>
      <c r="H543" s="2" t="s">
        <v>63</v>
      </c>
      <c r="I543" s="2" t="s">
        <v>64</v>
      </c>
      <c r="J543" s="2" t="s">
        <v>63</v>
      </c>
      <c r="K543" s="2" t="s">
        <v>63</v>
      </c>
      <c r="L543" s="2" t="s">
        <v>65</v>
      </c>
      <c r="M543" s="1" t="s">
        <v>6942</v>
      </c>
      <c r="N543" s="1" t="s">
        <v>853</v>
      </c>
      <c r="O543" s="2" t="s">
        <v>198</v>
      </c>
      <c r="Q543" s="2" t="s">
        <v>70</v>
      </c>
      <c r="R543" s="2" t="s">
        <v>260</v>
      </c>
      <c r="T543" s="2" t="s">
        <v>72</v>
      </c>
      <c r="U543" s="3">
        <v>4</v>
      </c>
      <c r="V543" s="3">
        <v>4</v>
      </c>
      <c r="W543" s="4" t="s">
        <v>6943</v>
      </c>
      <c r="X543" s="4" t="s">
        <v>6943</v>
      </c>
      <c r="Y543" s="4" t="s">
        <v>6943</v>
      </c>
      <c r="Z543" s="4" t="s">
        <v>6943</v>
      </c>
      <c r="AA543" s="3">
        <v>46</v>
      </c>
      <c r="AB543" s="3">
        <v>32</v>
      </c>
      <c r="AC543" s="3">
        <v>88</v>
      </c>
      <c r="AD543" s="3">
        <v>1</v>
      </c>
      <c r="AE543" s="3">
        <v>1</v>
      </c>
      <c r="AF543" s="3">
        <v>2</v>
      </c>
      <c r="AG543" s="3">
        <v>6</v>
      </c>
      <c r="AH543" s="3">
        <v>2</v>
      </c>
      <c r="AI543" s="3">
        <v>5</v>
      </c>
      <c r="AJ543" s="3">
        <v>0</v>
      </c>
      <c r="AK543" s="3">
        <v>1</v>
      </c>
      <c r="AL543" s="3">
        <v>0</v>
      </c>
      <c r="AM543" s="3">
        <v>1</v>
      </c>
      <c r="AN543" s="3">
        <v>0</v>
      </c>
      <c r="AO543" s="3">
        <v>0</v>
      </c>
      <c r="AP543" s="3">
        <v>0</v>
      </c>
      <c r="AQ543" s="3">
        <v>0</v>
      </c>
      <c r="AR543" s="2" t="s">
        <v>63</v>
      </c>
      <c r="AS543" s="2" t="s">
        <v>92</v>
      </c>
      <c r="AT543" s="5" t="str">
        <f>HYPERLINK("http://catalog.hathitrust.org/Record/002235191","HathiTrust Record")</f>
        <v>HathiTrust Record</v>
      </c>
      <c r="AU543" s="5" t="str">
        <f>HYPERLINK("https://creighton-primo.hosted.exlibrisgroup.com/primo-explore/search?tab=default_tab&amp;search_scope=EVERYTHING&amp;vid=01CRU&amp;lang=en_US&amp;offset=0&amp;query=any,contains,991000772139702656","Catalog Record")</f>
        <v>Catalog Record</v>
      </c>
      <c r="AV543" s="5" t="str">
        <f>HYPERLINK("http://www.worldcat.org/oclc/21336618","WorldCat Record")</f>
        <v>WorldCat Record</v>
      </c>
      <c r="AW543" s="2" t="s">
        <v>6944</v>
      </c>
      <c r="AX543" s="2" t="s">
        <v>6945</v>
      </c>
      <c r="AY543" s="2" t="s">
        <v>6946</v>
      </c>
      <c r="AZ543" s="2" t="s">
        <v>6946</v>
      </c>
      <c r="BA543" s="2" t="s">
        <v>6947</v>
      </c>
      <c r="BB543" s="2" t="s">
        <v>79</v>
      </c>
      <c r="BD543" s="2" t="s">
        <v>6948</v>
      </c>
      <c r="BE543" s="2" t="s">
        <v>6949</v>
      </c>
      <c r="BF543" s="2" t="s">
        <v>6950</v>
      </c>
    </row>
    <row r="544" spans="1:58" ht="46.5" customHeight="1">
      <c r="A544" s="1"/>
      <c r="B544" s="1" t="s">
        <v>58</v>
      </c>
      <c r="C544" s="1" t="s">
        <v>59</v>
      </c>
      <c r="D544" s="1" t="s">
        <v>6951</v>
      </c>
      <c r="E544" s="1" t="s">
        <v>6952</v>
      </c>
      <c r="F544" s="1" t="s">
        <v>6953</v>
      </c>
      <c r="H544" s="2" t="s">
        <v>63</v>
      </c>
      <c r="I544" s="2" t="s">
        <v>64</v>
      </c>
      <c r="J544" s="2" t="s">
        <v>63</v>
      </c>
      <c r="K544" s="2" t="s">
        <v>63</v>
      </c>
      <c r="L544" s="2" t="s">
        <v>65</v>
      </c>
      <c r="N544" s="1" t="s">
        <v>6954</v>
      </c>
      <c r="O544" s="2" t="s">
        <v>608</v>
      </c>
      <c r="Q544" s="2" t="s">
        <v>70</v>
      </c>
      <c r="R544" s="2" t="s">
        <v>555</v>
      </c>
      <c r="T544" s="2" t="s">
        <v>72</v>
      </c>
      <c r="U544" s="3">
        <v>4</v>
      </c>
      <c r="V544" s="3">
        <v>4</v>
      </c>
      <c r="W544" s="4" t="s">
        <v>349</v>
      </c>
      <c r="X544" s="4" t="s">
        <v>349</v>
      </c>
      <c r="Y544" s="4" t="s">
        <v>6955</v>
      </c>
      <c r="Z544" s="4" t="s">
        <v>6955</v>
      </c>
      <c r="AA544" s="3">
        <v>147</v>
      </c>
      <c r="AB544" s="3">
        <v>144</v>
      </c>
      <c r="AC544" s="3">
        <v>144</v>
      </c>
      <c r="AD544" s="3">
        <v>1</v>
      </c>
      <c r="AE544" s="3">
        <v>1</v>
      </c>
      <c r="AF544" s="3">
        <v>12</v>
      </c>
      <c r="AG544" s="3">
        <v>12</v>
      </c>
      <c r="AH544" s="3">
        <v>3</v>
      </c>
      <c r="AI544" s="3">
        <v>3</v>
      </c>
      <c r="AJ544" s="3">
        <v>3</v>
      </c>
      <c r="AK544" s="3">
        <v>3</v>
      </c>
      <c r="AL544" s="3">
        <v>4</v>
      </c>
      <c r="AM544" s="3">
        <v>4</v>
      </c>
      <c r="AN544" s="3">
        <v>0</v>
      </c>
      <c r="AO544" s="3">
        <v>0</v>
      </c>
      <c r="AP544" s="3">
        <v>4</v>
      </c>
      <c r="AQ544" s="3">
        <v>4</v>
      </c>
      <c r="AR544" s="2" t="s">
        <v>63</v>
      </c>
      <c r="AS544" s="2" t="s">
        <v>63</v>
      </c>
      <c r="AU544" s="5" t="str">
        <f>HYPERLINK("https://creighton-primo.hosted.exlibrisgroup.com/primo-explore/search?tab=default_tab&amp;search_scope=EVERYTHING&amp;vid=01CRU&amp;lang=en_US&amp;offset=0&amp;query=any,contains,991001508909702656","Catalog Record")</f>
        <v>Catalog Record</v>
      </c>
      <c r="AV544" s="5" t="str">
        <f>HYPERLINK("http://www.worldcat.org/oclc/28132018","WorldCat Record")</f>
        <v>WorldCat Record</v>
      </c>
      <c r="AW544" s="2" t="s">
        <v>6956</v>
      </c>
      <c r="AX544" s="2" t="s">
        <v>6957</v>
      </c>
      <c r="AY544" s="2" t="s">
        <v>6958</v>
      </c>
      <c r="AZ544" s="2" t="s">
        <v>6958</v>
      </c>
      <c r="BA544" s="2" t="s">
        <v>6959</v>
      </c>
      <c r="BB544" s="2" t="s">
        <v>79</v>
      </c>
      <c r="BE544" s="2" t="s">
        <v>6960</v>
      </c>
      <c r="BF544" s="2" t="s">
        <v>6961</v>
      </c>
    </row>
    <row r="545" spans="1:58" ht="46.5" customHeight="1">
      <c r="A545" s="1"/>
      <c r="B545" s="1" t="s">
        <v>58</v>
      </c>
      <c r="C545" s="1" t="s">
        <v>59</v>
      </c>
      <c r="D545" s="1" t="s">
        <v>6962</v>
      </c>
      <c r="E545" s="1" t="s">
        <v>6963</v>
      </c>
      <c r="F545" s="1" t="s">
        <v>6964</v>
      </c>
      <c r="H545" s="2" t="s">
        <v>63</v>
      </c>
      <c r="I545" s="2" t="s">
        <v>64</v>
      </c>
      <c r="J545" s="2" t="s">
        <v>63</v>
      </c>
      <c r="K545" s="2" t="s">
        <v>63</v>
      </c>
      <c r="L545" s="2" t="s">
        <v>65</v>
      </c>
      <c r="M545" s="1" t="s">
        <v>6965</v>
      </c>
      <c r="N545" s="1" t="s">
        <v>6966</v>
      </c>
      <c r="O545" s="2" t="s">
        <v>1175</v>
      </c>
      <c r="Q545" s="2" t="s">
        <v>70</v>
      </c>
      <c r="R545" s="2" t="s">
        <v>6967</v>
      </c>
      <c r="T545" s="2" t="s">
        <v>72</v>
      </c>
      <c r="U545" s="3">
        <v>3</v>
      </c>
      <c r="V545" s="3">
        <v>3</v>
      </c>
      <c r="W545" s="4" t="s">
        <v>1476</v>
      </c>
      <c r="X545" s="4" t="s">
        <v>1476</v>
      </c>
      <c r="Y545" s="4" t="s">
        <v>5022</v>
      </c>
      <c r="Z545" s="4" t="s">
        <v>5022</v>
      </c>
      <c r="AA545" s="3">
        <v>32</v>
      </c>
      <c r="AB545" s="3">
        <v>27</v>
      </c>
      <c r="AC545" s="3">
        <v>29</v>
      </c>
      <c r="AD545" s="3">
        <v>1</v>
      </c>
      <c r="AE545" s="3">
        <v>1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2" t="s">
        <v>63</v>
      </c>
      <c r="AS545" s="2" t="s">
        <v>92</v>
      </c>
      <c r="AT545" s="5" t="str">
        <f>HYPERLINK("http://catalog.hathitrust.org/Record/000486286","HathiTrust Record")</f>
        <v>HathiTrust Record</v>
      </c>
      <c r="AU545" s="5" t="str">
        <f>HYPERLINK("https://creighton-primo.hosted.exlibrisgroup.com/primo-explore/search?tab=default_tab&amp;search_scope=EVERYTHING&amp;vid=01CRU&amp;lang=en_US&amp;offset=0&amp;query=any,contains,991000965119702656","Catalog Record")</f>
        <v>Catalog Record</v>
      </c>
      <c r="AV545" s="5" t="str">
        <f>HYPERLINK("http://www.worldcat.org/oclc/9206403","WorldCat Record")</f>
        <v>WorldCat Record</v>
      </c>
      <c r="AW545" s="2" t="s">
        <v>6968</v>
      </c>
      <c r="AX545" s="2" t="s">
        <v>6969</v>
      </c>
      <c r="AY545" s="2" t="s">
        <v>6970</v>
      </c>
      <c r="AZ545" s="2" t="s">
        <v>6970</v>
      </c>
      <c r="BA545" s="2" t="s">
        <v>6971</v>
      </c>
      <c r="BB545" s="2" t="s">
        <v>79</v>
      </c>
      <c r="BE545" s="2" t="s">
        <v>6972</v>
      </c>
      <c r="BF545" s="2" t="s">
        <v>6973</v>
      </c>
    </row>
    <row r="546" spans="1:58" ht="46.5" customHeight="1">
      <c r="A546" s="1"/>
      <c r="B546" s="1" t="s">
        <v>58</v>
      </c>
      <c r="C546" s="1" t="s">
        <v>59</v>
      </c>
      <c r="D546" s="1" t="s">
        <v>6974</v>
      </c>
      <c r="E546" s="1" t="s">
        <v>6975</v>
      </c>
      <c r="F546" s="1" t="s">
        <v>6976</v>
      </c>
      <c r="H546" s="2" t="s">
        <v>63</v>
      </c>
      <c r="I546" s="2" t="s">
        <v>64</v>
      </c>
      <c r="J546" s="2" t="s">
        <v>63</v>
      </c>
      <c r="K546" s="2" t="s">
        <v>63</v>
      </c>
      <c r="L546" s="2" t="s">
        <v>64</v>
      </c>
      <c r="M546" s="1" t="s">
        <v>3605</v>
      </c>
      <c r="N546" s="1" t="s">
        <v>6977</v>
      </c>
      <c r="O546" s="2" t="s">
        <v>440</v>
      </c>
      <c r="Q546" s="2" t="s">
        <v>70</v>
      </c>
      <c r="R546" s="2" t="s">
        <v>470</v>
      </c>
      <c r="T546" s="2" t="s">
        <v>72</v>
      </c>
      <c r="U546" s="3">
        <v>0</v>
      </c>
      <c r="V546" s="3">
        <v>0</v>
      </c>
      <c r="W546" s="4" t="s">
        <v>6340</v>
      </c>
      <c r="X546" s="4" t="s">
        <v>6340</v>
      </c>
      <c r="Y546" s="4" t="s">
        <v>6340</v>
      </c>
      <c r="Z546" s="4" t="s">
        <v>6340</v>
      </c>
      <c r="AA546" s="3">
        <v>347</v>
      </c>
      <c r="AB546" s="3">
        <v>309</v>
      </c>
      <c r="AC546" s="3">
        <v>777</v>
      </c>
      <c r="AD546" s="3">
        <v>1</v>
      </c>
      <c r="AE546" s="3">
        <v>12</v>
      </c>
      <c r="AF546" s="3">
        <v>10</v>
      </c>
      <c r="AG546" s="3">
        <v>32</v>
      </c>
      <c r="AH546" s="3">
        <v>5</v>
      </c>
      <c r="AI546" s="3">
        <v>11</v>
      </c>
      <c r="AJ546" s="3">
        <v>3</v>
      </c>
      <c r="AK546" s="3">
        <v>8</v>
      </c>
      <c r="AL546" s="3">
        <v>6</v>
      </c>
      <c r="AM546" s="3">
        <v>9</v>
      </c>
      <c r="AN546" s="3">
        <v>0</v>
      </c>
      <c r="AO546" s="3">
        <v>10</v>
      </c>
      <c r="AP546" s="3">
        <v>1</v>
      </c>
      <c r="AQ546" s="3">
        <v>2</v>
      </c>
      <c r="AR546" s="2" t="s">
        <v>63</v>
      </c>
      <c r="AS546" s="2" t="s">
        <v>92</v>
      </c>
      <c r="AT546" s="5" t="str">
        <f>HYPERLINK("http://catalog.hathitrust.org/Record/004324306","HathiTrust Record")</f>
        <v>HathiTrust Record</v>
      </c>
      <c r="AU546" s="5" t="str">
        <f>HYPERLINK("https://creighton-primo.hosted.exlibrisgroup.com/primo-explore/search?tab=default_tab&amp;search_scope=EVERYTHING&amp;vid=01CRU&amp;lang=en_US&amp;offset=0&amp;query=any,contains,991000395799702656","Catalog Record")</f>
        <v>Catalog Record</v>
      </c>
      <c r="AV546" s="5" t="str">
        <f>HYPERLINK("http://www.worldcat.org/oclc/51216484","WorldCat Record")</f>
        <v>WorldCat Record</v>
      </c>
      <c r="AW546" s="2" t="s">
        <v>6978</v>
      </c>
      <c r="AX546" s="2" t="s">
        <v>6979</v>
      </c>
      <c r="AY546" s="2" t="s">
        <v>6980</v>
      </c>
      <c r="AZ546" s="2" t="s">
        <v>6980</v>
      </c>
      <c r="BA546" s="2" t="s">
        <v>6981</v>
      </c>
      <c r="BB546" s="2" t="s">
        <v>79</v>
      </c>
      <c r="BD546" s="2" t="s">
        <v>6982</v>
      </c>
      <c r="BE546" s="2" t="s">
        <v>6983</v>
      </c>
      <c r="BF546" s="2" t="s">
        <v>6984</v>
      </c>
    </row>
    <row r="547" spans="1:58" ht="46.5" customHeight="1">
      <c r="A547" s="1"/>
      <c r="B547" s="1" t="s">
        <v>58</v>
      </c>
      <c r="C547" s="1" t="s">
        <v>59</v>
      </c>
      <c r="D547" s="1" t="s">
        <v>6985</v>
      </c>
      <c r="E547" s="1" t="s">
        <v>6986</v>
      </c>
      <c r="F547" s="1" t="s">
        <v>6987</v>
      </c>
      <c r="H547" s="2" t="s">
        <v>63</v>
      </c>
      <c r="I547" s="2" t="s">
        <v>64</v>
      </c>
      <c r="J547" s="2" t="s">
        <v>63</v>
      </c>
      <c r="K547" s="2" t="s">
        <v>63</v>
      </c>
      <c r="L547" s="2" t="s">
        <v>65</v>
      </c>
      <c r="M547" s="1" t="s">
        <v>6988</v>
      </c>
      <c r="N547" s="1" t="s">
        <v>6989</v>
      </c>
      <c r="O547" s="2" t="s">
        <v>1856</v>
      </c>
      <c r="Q547" s="2" t="s">
        <v>70</v>
      </c>
      <c r="R547" s="2" t="s">
        <v>89</v>
      </c>
      <c r="T547" s="2" t="s">
        <v>72</v>
      </c>
      <c r="U547" s="3">
        <v>7</v>
      </c>
      <c r="V547" s="3">
        <v>7</v>
      </c>
      <c r="W547" s="4" t="s">
        <v>6990</v>
      </c>
      <c r="X547" s="4" t="s">
        <v>6990</v>
      </c>
      <c r="Y547" s="4" t="s">
        <v>262</v>
      </c>
      <c r="Z547" s="4" t="s">
        <v>262</v>
      </c>
      <c r="AA547" s="3">
        <v>92</v>
      </c>
      <c r="AB547" s="3">
        <v>70</v>
      </c>
      <c r="AC547" s="3">
        <v>74</v>
      </c>
      <c r="AD547" s="3">
        <v>1</v>
      </c>
      <c r="AE547" s="3">
        <v>1</v>
      </c>
      <c r="AF547" s="3">
        <v>3</v>
      </c>
      <c r="AG547" s="3">
        <v>3</v>
      </c>
      <c r="AH547" s="3">
        <v>1</v>
      </c>
      <c r="AI547" s="3">
        <v>1</v>
      </c>
      <c r="AJ547" s="3">
        <v>1</v>
      </c>
      <c r="AK547" s="3">
        <v>1</v>
      </c>
      <c r="AL547" s="3">
        <v>1</v>
      </c>
      <c r="AM547" s="3">
        <v>1</v>
      </c>
      <c r="AN547" s="3">
        <v>0</v>
      </c>
      <c r="AO547" s="3">
        <v>0</v>
      </c>
      <c r="AP547" s="3">
        <v>0</v>
      </c>
      <c r="AQ547" s="3">
        <v>0</v>
      </c>
      <c r="AR547" s="2" t="s">
        <v>63</v>
      </c>
      <c r="AS547" s="2" t="s">
        <v>92</v>
      </c>
      <c r="AT547" s="5" t="str">
        <f>HYPERLINK("http://catalog.hathitrust.org/Record/000740517","HathiTrust Record")</f>
        <v>HathiTrust Record</v>
      </c>
      <c r="AU547" s="5" t="str">
        <f>HYPERLINK("https://creighton-primo.hosted.exlibrisgroup.com/primo-explore/search?tab=default_tab&amp;search_scope=EVERYTHING&amp;vid=01CRU&amp;lang=en_US&amp;offset=0&amp;query=any,contains,991000748209702656","Catalog Record")</f>
        <v>Catalog Record</v>
      </c>
      <c r="AV547" s="5" t="str">
        <f>HYPERLINK("http://www.worldcat.org/oclc/5353409","WorldCat Record")</f>
        <v>WorldCat Record</v>
      </c>
      <c r="AW547" s="2" t="s">
        <v>6991</v>
      </c>
      <c r="AX547" s="2" t="s">
        <v>6992</v>
      </c>
      <c r="AY547" s="2" t="s">
        <v>6993</v>
      </c>
      <c r="AZ547" s="2" t="s">
        <v>6993</v>
      </c>
      <c r="BA547" s="2" t="s">
        <v>6994</v>
      </c>
      <c r="BB547" s="2" t="s">
        <v>79</v>
      </c>
      <c r="BD547" s="2" t="s">
        <v>6995</v>
      </c>
      <c r="BE547" s="2" t="s">
        <v>6996</v>
      </c>
      <c r="BF547" s="2" t="s">
        <v>6997</v>
      </c>
    </row>
    <row r="548" spans="1:58" ht="46.5" customHeight="1">
      <c r="A548" s="1"/>
      <c r="B548" s="1" t="s">
        <v>58</v>
      </c>
      <c r="C548" s="1" t="s">
        <v>59</v>
      </c>
      <c r="D548" s="1" t="s">
        <v>6998</v>
      </c>
      <c r="E548" s="1" t="s">
        <v>6999</v>
      </c>
      <c r="F548" s="1" t="s">
        <v>7000</v>
      </c>
      <c r="H548" s="2" t="s">
        <v>63</v>
      </c>
      <c r="I548" s="2" t="s">
        <v>64</v>
      </c>
      <c r="J548" s="2" t="s">
        <v>63</v>
      </c>
      <c r="K548" s="2" t="s">
        <v>63</v>
      </c>
      <c r="L548" s="2" t="s">
        <v>65</v>
      </c>
      <c r="M548" s="1" t="s">
        <v>7001</v>
      </c>
      <c r="N548" s="1" t="s">
        <v>7002</v>
      </c>
      <c r="O548" s="2" t="s">
        <v>6834</v>
      </c>
      <c r="P548" s="1" t="s">
        <v>376</v>
      </c>
      <c r="Q548" s="2" t="s">
        <v>70</v>
      </c>
      <c r="R548" s="2" t="s">
        <v>277</v>
      </c>
      <c r="T548" s="2" t="s">
        <v>72</v>
      </c>
      <c r="U548" s="3">
        <v>1</v>
      </c>
      <c r="V548" s="3">
        <v>1</v>
      </c>
      <c r="W548" s="4" t="s">
        <v>7003</v>
      </c>
      <c r="X548" s="4" t="s">
        <v>7003</v>
      </c>
      <c r="Y548" s="4" t="s">
        <v>5022</v>
      </c>
      <c r="Z548" s="4" t="s">
        <v>5022</v>
      </c>
      <c r="AA548" s="3">
        <v>119</v>
      </c>
      <c r="AB548" s="3">
        <v>104</v>
      </c>
      <c r="AC548" s="3">
        <v>112</v>
      </c>
      <c r="AD548" s="3">
        <v>1</v>
      </c>
      <c r="AE548" s="3">
        <v>1</v>
      </c>
      <c r="AF548" s="3">
        <v>3</v>
      </c>
      <c r="AG548" s="3">
        <v>3</v>
      </c>
      <c r="AH548" s="3">
        <v>1</v>
      </c>
      <c r="AI548" s="3">
        <v>1</v>
      </c>
      <c r="AJ548" s="3">
        <v>1</v>
      </c>
      <c r="AK548" s="3">
        <v>1</v>
      </c>
      <c r="AL548" s="3">
        <v>2</v>
      </c>
      <c r="AM548" s="3">
        <v>2</v>
      </c>
      <c r="AN548" s="3">
        <v>0</v>
      </c>
      <c r="AO548" s="3">
        <v>0</v>
      </c>
      <c r="AP548" s="3">
        <v>0</v>
      </c>
      <c r="AQ548" s="3">
        <v>0</v>
      </c>
      <c r="AR548" s="2" t="s">
        <v>92</v>
      </c>
      <c r="AS548" s="2" t="s">
        <v>63</v>
      </c>
      <c r="AT548" s="5" t="str">
        <f>HYPERLINK("http://catalog.hathitrust.org/Record/001573684","HathiTrust Record")</f>
        <v>HathiTrust Record</v>
      </c>
      <c r="AU548" s="5" t="str">
        <f>HYPERLINK("https://creighton-primo.hosted.exlibrisgroup.com/primo-explore/search?tab=default_tab&amp;search_scope=EVERYTHING&amp;vid=01CRU&amp;lang=en_US&amp;offset=0&amp;query=any,contains,991000965299702656","Catalog Record")</f>
        <v>Catalog Record</v>
      </c>
      <c r="AV548" s="5" t="str">
        <f>HYPERLINK("http://www.worldcat.org/oclc/2545598","WorldCat Record")</f>
        <v>WorldCat Record</v>
      </c>
      <c r="AW548" s="2" t="s">
        <v>7004</v>
      </c>
      <c r="AX548" s="2" t="s">
        <v>7005</v>
      </c>
      <c r="AY548" s="2" t="s">
        <v>7006</v>
      </c>
      <c r="AZ548" s="2" t="s">
        <v>7006</v>
      </c>
      <c r="BA548" s="2" t="s">
        <v>7007</v>
      </c>
      <c r="BB548" s="2" t="s">
        <v>79</v>
      </c>
      <c r="BE548" s="2" t="s">
        <v>7008</v>
      </c>
      <c r="BF548" s="2" t="s">
        <v>7009</v>
      </c>
    </row>
    <row r="549" spans="1:58" ht="46.5" customHeight="1">
      <c r="A549" s="1"/>
      <c r="B549" s="1" t="s">
        <v>58</v>
      </c>
      <c r="C549" s="1" t="s">
        <v>59</v>
      </c>
      <c r="D549" s="1" t="s">
        <v>7010</v>
      </c>
      <c r="E549" s="1" t="s">
        <v>7011</v>
      </c>
      <c r="F549" s="1" t="s">
        <v>7012</v>
      </c>
      <c r="H549" s="2" t="s">
        <v>63</v>
      </c>
      <c r="I549" s="2" t="s">
        <v>64</v>
      </c>
      <c r="J549" s="2" t="s">
        <v>63</v>
      </c>
      <c r="K549" s="2" t="s">
        <v>63</v>
      </c>
      <c r="L549" s="2" t="s">
        <v>65</v>
      </c>
      <c r="M549" s="1" t="s">
        <v>7013</v>
      </c>
      <c r="N549" s="1" t="s">
        <v>7014</v>
      </c>
      <c r="O549" s="2" t="s">
        <v>362</v>
      </c>
      <c r="Q549" s="2" t="s">
        <v>70</v>
      </c>
      <c r="R549" s="2" t="s">
        <v>277</v>
      </c>
      <c r="T549" s="2" t="s">
        <v>72</v>
      </c>
      <c r="U549" s="3">
        <v>0</v>
      </c>
      <c r="V549" s="3">
        <v>0</v>
      </c>
      <c r="W549" s="4" t="s">
        <v>7015</v>
      </c>
      <c r="X549" s="4" t="s">
        <v>7015</v>
      </c>
      <c r="Y549" s="4" t="s">
        <v>7016</v>
      </c>
      <c r="Z549" s="4" t="s">
        <v>7016</v>
      </c>
      <c r="AA549" s="3">
        <v>96</v>
      </c>
      <c r="AB549" s="3">
        <v>69</v>
      </c>
      <c r="AC549" s="3">
        <v>96</v>
      </c>
      <c r="AD549" s="3">
        <v>2</v>
      </c>
      <c r="AE549" s="3">
        <v>2</v>
      </c>
      <c r="AF549" s="3">
        <v>2</v>
      </c>
      <c r="AG549" s="3">
        <v>2</v>
      </c>
      <c r="AH549" s="3">
        <v>0</v>
      </c>
      <c r="AI549" s="3">
        <v>0</v>
      </c>
      <c r="AJ549" s="3">
        <v>1</v>
      </c>
      <c r="AK549" s="3">
        <v>1</v>
      </c>
      <c r="AL549" s="3">
        <v>1</v>
      </c>
      <c r="AM549" s="3">
        <v>1</v>
      </c>
      <c r="AN549" s="3">
        <v>1</v>
      </c>
      <c r="AO549" s="3">
        <v>1</v>
      </c>
      <c r="AP549" s="3">
        <v>0</v>
      </c>
      <c r="AQ549" s="3">
        <v>0</v>
      </c>
      <c r="AR549" s="2" t="s">
        <v>63</v>
      </c>
      <c r="AS549" s="2" t="s">
        <v>63</v>
      </c>
      <c r="AU549" s="5" t="str">
        <f>HYPERLINK("https://creighton-primo.hosted.exlibrisgroup.com/primo-explore/search?tab=default_tab&amp;search_scope=EVERYTHING&amp;vid=01CRU&amp;lang=en_US&amp;offset=0&amp;query=any,contains,991000462989702656","Catalog Record")</f>
        <v>Catalog Record</v>
      </c>
      <c r="AV549" s="5" t="str">
        <f>HYPERLINK("http://www.worldcat.org/oclc/56068953","WorldCat Record")</f>
        <v>WorldCat Record</v>
      </c>
      <c r="AW549" s="2" t="s">
        <v>7017</v>
      </c>
      <c r="AX549" s="2" t="s">
        <v>7018</v>
      </c>
      <c r="AY549" s="2" t="s">
        <v>7019</v>
      </c>
      <c r="AZ549" s="2" t="s">
        <v>7019</v>
      </c>
      <c r="BA549" s="2" t="s">
        <v>7020</v>
      </c>
      <c r="BB549" s="2" t="s">
        <v>79</v>
      </c>
      <c r="BD549" s="2" t="s">
        <v>7021</v>
      </c>
      <c r="BE549" s="2" t="s">
        <v>7022</v>
      </c>
      <c r="BF549" s="2" t="s">
        <v>7023</v>
      </c>
    </row>
    <row r="550" spans="1:58" ht="46.5" customHeight="1">
      <c r="A550" s="1"/>
      <c r="B550" s="1" t="s">
        <v>58</v>
      </c>
      <c r="C550" s="1" t="s">
        <v>59</v>
      </c>
      <c r="D550" s="1" t="s">
        <v>7024</v>
      </c>
      <c r="E550" s="1" t="s">
        <v>7025</v>
      </c>
      <c r="F550" s="1" t="s">
        <v>7026</v>
      </c>
      <c r="H550" s="2" t="s">
        <v>63</v>
      </c>
      <c r="I550" s="2" t="s">
        <v>64</v>
      </c>
      <c r="J550" s="2" t="s">
        <v>63</v>
      </c>
      <c r="K550" s="2" t="s">
        <v>63</v>
      </c>
      <c r="L550" s="2" t="s">
        <v>65</v>
      </c>
      <c r="M550" s="1" t="s">
        <v>7027</v>
      </c>
      <c r="N550" s="1" t="s">
        <v>7028</v>
      </c>
      <c r="O550" s="2" t="s">
        <v>7029</v>
      </c>
      <c r="Q550" s="2" t="s">
        <v>70</v>
      </c>
      <c r="R550" s="2" t="s">
        <v>260</v>
      </c>
      <c r="T550" s="2" t="s">
        <v>72</v>
      </c>
      <c r="U550" s="3">
        <v>3</v>
      </c>
      <c r="V550" s="3">
        <v>3</v>
      </c>
      <c r="W550" s="4" t="s">
        <v>1476</v>
      </c>
      <c r="X550" s="4" t="s">
        <v>1476</v>
      </c>
      <c r="Y550" s="4" t="s">
        <v>6708</v>
      </c>
      <c r="Z550" s="4" t="s">
        <v>6708</v>
      </c>
      <c r="AA550" s="3">
        <v>24</v>
      </c>
      <c r="AB550" s="3">
        <v>20</v>
      </c>
      <c r="AC550" s="3">
        <v>47</v>
      </c>
      <c r="AD550" s="3">
        <v>1</v>
      </c>
      <c r="AE550" s="3">
        <v>1</v>
      </c>
      <c r="AF550" s="3">
        <v>0</v>
      </c>
      <c r="AG550" s="3">
        <v>1</v>
      </c>
      <c r="AH550" s="3">
        <v>0</v>
      </c>
      <c r="AI550" s="3">
        <v>1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2" t="s">
        <v>92</v>
      </c>
      <c r="AS550" s="2" t="s">
        <v>63</v>
      </c>
      <c r="AT550" s="5" t="str">
        <f>HYPERLINK("http://catalog.hathitrust.org/Record/001573685","HathiTrust Record")</f>
        <v>HathiTrust Record</v>
      </c>
      <c r="AU550" s="5" t="str">
        <f>HYPERLINK("https://creighton-primo.hosted.exlibrisgroup.com/primo-explore/search?tab=default_tab&amp;search_scope=EVERYTHING&amp;vid=01CRU&amp;lang=en_US&amp;offset=0&amp;query=any,contains,991000965329702656","Catalog Record")</f>
        <v>Catalog Record</v>
      </c>
      <c r="AV550" s="5" t="str">
        <f>HYPERLINK("http://www.worldcat.org/oclc/3734394","WorldCat Record")</f>
        <v>WorldCat Record</v>
      </c>
      <c r="AW550" s="2" t="s">
        <v>7030</v>
      </c>
      <c r="AX550" s="2" t="s">
        <v>7031</v>
      </c>
      <c r="AY550" s="2" t="s">
        <v>7032</v>
      </c>
      <c r="AZ550" s="2" t="s">
        <v>7032</v>
      </c>
      <c r="BA550" s="2" t="s">
        <v>7033</v>
      </c>
      <c r="BB550" s="2" t="s">
        <v>79</v>
      </c>
      <c r="BE550" s="2" t="s">
        <v>7034</v>
      </c>
      <c r="BF550" s="2" t="s">
        <v>7035</v>
      </c>
    </row>
    <row r="551" spans="1:58" ht="46.5" customHeight="1">
      <c r="A551" s="1"/>
      <c r="B551" s="1" t="s">
        <v>58</v>
      </c>
      <c r="C551" s="1" t="s">
        <v>59</v>
      </c>
      <c r="D551" s="1" t="s">
        <v>7036</v>
      </c>
      <c r="E551" s="1" t="s">
        <v>7037</v>
      </c>
      <c r="F551" s="1" t="s">
        <v>7038</v>
      </c>
      <c r="H551" s="2" t="s">
        <v>63</v>
      </c>
      <c r="I551" s="2" t="s">
        <v>64</v>
      </c>
      <c r="J551" s="2" t="s">
        <v>63</v>
      </c>
      <c r="K551" s="2" t="s">
        <v>63</v>
      </c>
      <c r="L551" s="2" t="s">
        <v>65</v>
      </c>
      <c r="N551" s="1" t="s">
        <v>7039</v>
      </c>
      <c r="O551" s="2" t="s">
        <v>407</v>
      </c>
      <c r="Q551" s="2" t="s">
        <v>70</v>
      </c>
      <c r="R551" s="2" t="s">
        <v>1364</v>
      </c>
      <c r="T551" s="2" t="s">
        <v>72</v>
      </c>
      <c r="U551" s="3">
        <v>1</v>
      </c>
      <c r="V551" s="3">
        <v>1</v>
      </c>
      <c r="W551" s="4" t="s">
        <v>7040</v>
      </c>
      <c r="X551" s="4" t="s">
        <v>7040</v>
      </c>
      <c r="Y551" s="4" t="s">
        <v>7040</v>
      </c>
      <c r="Z551" s="4" t="s">
        <v>7040</v>
      </c>
      <c r="AA551" s="3">
        <v>7</v>
      </c>
      <c r="AB551" s="3">
        <v>7</v>
      </c>
      <c r="AC551" s="3">
        <v>7</v>
      </c>
      <c r="AD551" s="3">
        <v>1</v>
      </c>
      <c r="AE551" s="3">
        <v>1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2" t="s">
        <v>63</v>
      </c>
      <c r="AS551" s="2" t="s">
        <v>63</v>
      </c>
      <c r="AU551" s="5" t="str">
        <f>HYPERLINK("https://creighton-primo.hosted.exlibrisgroup.com/primo-explore/search?tab=default_tab&amp;search_scope=EVERYTHING&amp;vid=01CRU&amp;lang=en_US&amp;offset=0&amp;query=any,contains,991000767269702656","Catalog Record")</f>
        <v>Catalog Record</v>
      </c>
      <c r="AV551" s="5" t="str">
        <f>HYPERLINK("http://www.worldcat.org/oclc/22174943","WorldCat Record")</f>
        <v>WorldCat Record</v>
      </c>
      <c r="AW551" s="2" t="s">
        <v>7041</v>
      </c>
      <c r="AX551" s="2" t="s">
        <v>7042</v>
      </c>
      <c r="AY551" s="2" t="s">
        <v>7043</v>
      </c>
      <c r="AZ551" s="2" t="s">
        <v>7043</v>
      </c>
      <c r="BA551" s="2" t="s">
        <v>7044</v>
      </c>
      <c r="BB551" s="2" t="s">
        <v>79</v>
      </c>
      <c r="BE551" s="2" t="s">
        <v>7045</v>
      </c>
      <c r="BF551" s="2" t="s">
        <v>7046</v>
      </c>
    </row>
    <row r="552" spans="1:58" ht="46.5" customHeight="1">
      <c r="A552" s="1"/>
      <c r="B552" s="1" t="s">
        <v>58</v>
      </c>
      <c r="C552" s="1" t="s">
        <v>59</v>
      </c>
      <c r="D552" s="1" t="s">
        <v>7047</v>
      </c>
      <c r="E552" s="1" t="s">
        <v>7048</v>
      </c>
      <c r="F552" s="1" t="s">
        <v>7049</v>
      </c>
      <c r="H552" s="2" t="s">
        <v>63</v>
      </c>
      <c r="I552" s="2" t="s">
        <v>64</v>
      </c>
      <c r="J552" s="2" t="s">
        <v>63</v>
      </c>
      <c r="K552" s="2" t="s">
        <v>63</v>
      </c>
      <c r="L552" s="2" t="s">
        <v>65</v>
      </c>
      <c r="N552" s="1" t="s">
        <v>7050</v>
      </c>
      <c r="O552" s="2" t="s">
        <v>172</v>
      </c>
      <c r="Q552" s="2" t="s">
        <v>70</v>
      </c>
      <c r="R552" s="2" t="s">
        <v>89</v>
      </c>
      <c r="T552" s="2" t="s">
        <v>72</v>
      </c>
      <c r="U552" s="3">
        <v>7</v>
      </c>
      <c r="V552" s="3">
        <v>7</v>
      </c>
      <c r="W552" s="4" t="s">
        <v>349</v>
      </c>
      <c r="X552" s="4" t="s">
        <v>349</v>
      </c>
      <c r="Y552" s="4" t="s">
        <v>5022</v>
      </c>
      <c r="Z552" s="4" t="s">
        <v>5022</v>
      </c>
      <c r="AA552" s="3">
        <v>222</v>
      </c>
      <c r="AB552" s="3">
        <v>196</v>
      </c>
      <c r="AC552" s="3">
        <v>198</v>
      </c>
      <c r="AD552" s="3">
        <v>1</v>
      </c>
      <c r="AE552" s="3">
        <v>1</v>
      </c>
      <c r="AF552" s="3">
        <v>7</v>
      </c>
      <c r="AG552" s="3">
        <v>7</v>
      </c>
      <c r="AH552" s="3">
        <v>3</v>
      </c>
      <c r="AI552" s="3">
        <v>3</v>
      </c>
      <c r="AJ552" s="3">
        <v>3</v>
      </c>
      <c r="AK552" s="3">
        <v>3</v>
      </c>
      <c r="AL552" s="3">
        <v>2</v>
      </c>
      <c r="AM552" s="3">
        <v>2</v>
      </c>
      <c r="AN552" s="3">
        <v>0</v>
      </c>
      <c r="AO552" s="3">
        <v>0</v>
      </c>
      <c r="AP552" s="3">
        <v>1</v>
      </c>
      <c r="AQ552" s="3">
        <v>1</v>
      </c>
      <c r="AR552" s="2" t="s">
        <v>63</v>
      </c>
      <c r="AS552" s="2" t="s">
        <v>92</v>
      </c>
      <c r="AT552" s="5" t="str">
        <f>HYPERLINK("http://catalog.hathitrust.org/Record/000245654","HathiTrust Record")</f>
        <v>HathiTrust Record</v>
      </c>
      <c r="AU552" s="5" t="str">
        <f>HYPERLINK("https://creighton-primo.hosted.exlibrisgroup.com/primo-explore/search?tab=default_tab&amp;search_scope=EVERYTHING&amp;vid=01CRU&amp;lang=en_US&amp;offset=0&amp;query=any,contains,991000965159702656","Catalog Record")</f>
        <v>Catalog Record</v>
      </c>
      <c r="AV552" s="5" t="str">
        <f>HYPERLINK("http://www.worldcat.org/oclc/9442036","WorldCat Record")</f>
        <v>WorldCat Record</v>
      </c>
      <c r="AW552" s="2" t="s">
        <v>7051</v>
      </c>
      <c r="AX552" s="2" t="s">
        <v>7052</v>
      </c>
      <c r="AY552" s="2" t="s">
        <v>7053</v>
      </c>
      <c r="AZ552" s="2" t="s">
        <v>7053</v>
      </c>
      <c r="BA552" s="2" t="s">
        <v>7054</v>
      </c>
      <c r="BB552" s="2" t="s">
        <v>79</v>
      </c>
      <c r="BE552" s="2" t="s">
        <v>7055</v>
      </c>
      <c r="BF552" s="2" t="s">
        <v>7056</v>
      </c>
    </row>
    <row r="553" spans="1:58" ht="46.5" customHeight="1">
      <c r="A553" s="1"/>
      <c r="B553" s="1" t="s">
        <v>58</v>
      </c>
      <c r="C553" s="1" t="s">
        <v>59</v>
      </c>
      <c r="D553" s="1" t="s">
        <v>7057</v>
      </c>
      <c r="E553" s="1" t="s">
        <v>7058</v>
      </c>
      <c r="F553" s="1" t="s">
        <v>7059</v>
      </c>
      <c r="H553" s="2" t="s">
        <v>63</v>
      </c>
      <c r="I553" s="2" t="s">
        <v>64</v>
      </c>
      <c r="J553" s="2" t="s">
        <v>63</v>
      </c>
      <c r="K553" s="2" t="s">
        <v>63</v>
      </c>
      <c r="L553" s="2" t="s">
        <v>65</v>
      </c>
      <c r="M553" s="1" t="s">
        <v>7060</v>
      </c>
      <c r="N553" s="1" t="s">
        <v>7061</v>
      </c>
      <c r="O553" s="2" t="s">
        <v>7062</v>
      </c>
      <c r="Q553" s="2" t="s">
        <v>70</v>
      </c>
      <c r="R553" s="2" t="s">
        <v>260</v>
      </c>
      <c r="T553" s="2" t="s">
        <v>72</v>
      </c>
      <c r="U553" s="3">
        <v>4</v>
      </c>
      <c r="V553" s="3">
        <v>4</v>
      </c>
      <c r="W553" s="4" t="s">
        <v>7063</v>
      </c>
      <c r="X553" s="4" t="s">
        <v>7063</v>
      </c>
      <c r="Y553" s="4" t="s">
        <v>6708</v>
      </c>
      <c r="Z553" s="4" t="s">
        <v>6708</v>
      </c>
      <c r="AA553" s="3">
        <v>167</v>
      </c>
      <c r="AB553" s="3">
        <v>135</v>
      </c>
      <c r="AC553" s="3">
        <v>285</v>
      </c>
      <c r="AD553" s="3">
        <v>2</v>
      </c>
      <c r="AE553" s="3">
        <v>2</v>
      </c>
      <c r="AF553" s="3">
        <v>5</v>
      </c>
      <c r="AG553" s="3">
        <v>9</v>
      </c>
      <c r="AH553" s="3">
        <v>2</v>
      </c>
      <c r="AI553" s="3">
        <v>2</v>
      </c>
      <c r="AJ553" s="3">
        <v>2</v>
      </c>
      <c r="AK553" s="3">
        <v>4</v>
      </c>
      <c r="AL553" s="3">
        <v>2</v>
      </c>
      <c r="AM553" s="3">
        <v>5</v>
      </c>
      <c r="AN553" s="3">
        <v>1</v>
      </c>
      <c r="AO553" s="3">
        <v>1</v>
      </c>
      <c r="AP553" s="3">
        <v>0</v>
      </c>
      <c r="AQ553" s="3">
        <v>0</v>
      </c>
      <c r="AR553" s="2" t="s">
        <v>63</v>
      </c>
      <c r="AS553" s="2" t="s">
        <v>92</v>
      </c>
      <c r="AT553" s="5" t="str">
        <f>HYPERLINK("http://catalog.hathitrust.org/Record/006703256","HathiTrust Record")</f>
        <v>HathiTrust Record</v>
      </c>
      <c r="AU553" s="5" t="str">
        <f>HYPERLINK("https://creighton-primo.hosted.exlibrisgroup.com/primo-explore/search?tab=default_tab&amp;search_scope=EVERYTHING&amp;vid=01CRU&amp;lang=en_US&amp;offset=0&amp;query=any,contains,991000965369702656","Catalog Record")</f>
        <v>Catalog Record</v>
      </c>
      <c r="AV553" s="5" t="str">
        <f>HYPERLINK("http://www.worldcat.org/oclc/546665","WorldCat Record")</f>
        <v>WorldCat Record</v>
      </c>
      <c r="AW553" s="2" t="s">
        <v>7064</v>
      </c>
      <c r="AX553" s="2" t="s">
        <v>7065</v>
      </c>
      <c r="AY553" s="2" t="s">
        <v>7066</v>
      </c>
      <c r="AZ553" s="2" t="s">
        <v>7066</v>
      </c>
      <c r="BA553" s="2" t="s">
        <v>7067</v>
      </c>
      <c r="BB553" s="2" t="s">
        <v>79</v>
      </c>
      <c r="BE553" s="2" t="s">
        <v>7068</v>
      </c>
      <c r="BF553" s="2" t="s">
        <v>7069</v>
      </c>
    </row>
    <row r="554" spans="1:58" ht="46.5" customHeight="1">
      <c r="A554" s="1"/>
      <c r="B554" s="1" t="s">
        <v>58</v>
      </c>
      <c r="C554" s="1" t="s">
        <v>59</v>
      </c>
      <c r="D554" s="1" t="s">
        <v>7070</v>
      </c>
      <c r="E554" s="1" t="s">
        <v>7071</v>
      </c>
      <c r="F554" s="1" t="s">
        <v>7072</v>
      </c>
      <c r="H554" s="2" t="s">
        <v>63</v>
      </c>
      <c r="I554" s="2" t="s">
        <v>64</v>
      </c>
      <c r="J554" s="2" t="s">
        <v>63</v>
      </c>
      <c r="K554" s="2" t="s">
        <v>63</v>
      </c>
      <c r="L554" s="2" t="s">
        <v>65</v>
      </c>
      <c r="M554" s="1" t="s">
        <v>7060</v>
      </c>
      <c r="N554" s="1" t="s">
        <v>7073</v>
      </c>
      <c r="O554" s="2" t="s">
        <v>1175</v>
      </c>
      <c r="P554" s="1" t="s">
        <v>5076</v>
      </c>
      <c r="Q554" s="2" t="s">
        <v>70</v>
      </c>
      <c r="R554" s="2" t="s">
        <v>89</v>
      </c>
      <c r="T554" s="2" t="s">
        <v>72</v>
      </c>
      <c r="U554" s="3">
        <v>2</v>
      </c>
      <c r="V554" s="3">
        <v>2</v>
      </c>
      <c r="W554" s="4" t="s">
        <v>7074</v>
      </c>
      <c r="X554" s="4" t="s">
        <v>7074</v>
      </c>
      <c r="Y554" s="4" t="s">
        <v>5022</v>
      </c>
      <c r="Z554" s="4" t="s">
        <v>5022</v>
      </c>
      <c r="AA554" s="3">
        <v>85</v>
      </c>
      <c r="AB554" s="3">
        <v>61</v>
      </c>
      <c r="AC554" s="3">
        <v>207</v>
      </c>
      <c r="AD554" s="3">
        <v>1</v>
      </c>
      <c r="AE554" s="3">
        <v>3</v>
      </c>
      <c r="AF554" s="3">
        <v>1</v>
      </c>
      <c r="AG554" s="3">
        <v>6</v>
      </c>
      <c r="AH554" s="3">
        <v>0</v>
      </c>
      <c r="AI554" s="3">
        <v>3</v>
      </c>
      <c r="AJ554" s="3">
        <v>1</v>
      </c>
      <c r="AK554" s="3">
        <v>1</v>
      </c>
      <c r="AL554" s="3">
        <v>0</v>
      </c>
      <c r="AM554" s="3">
        <v>1</v>
      </c>
      <c r="AN554" s="3">
        <v>0</v>
      </c>
      <c r="AO554" s="3">
        <v>2</v>
      </c>
      <c r="AP554" s="3">
        <v>0</v>
      </c>
      <c r="AQ554" s="3">
        <v>0</v>
      </c>
      <c r="AR554" s="2" t="s">
        <v>63</v>
      </c>
      <c r="AS554" s="2" t="s">
        <v>92</v>
      </c>
      <c r="AT554" s="5" t="str">
        <f>HYPERLINK("http://catalog.hathitrust.org/Record/000303758","HathiTrust Record")</f>
        <v>HathiTrust Record</v>
      </c>
      <c r="AU554" s="5" t="str">
        <f>HYPERLINK("https://creighton-primo.hosted.exlibrisgroup.com/primo-explore/search?tab=default_tab&amp;search_scope=EVERYTHING&amp;vid=01CRU&amp;lang=en_US&amp;offset=0&amp;query=any,contains,991000965399702656","Catalog Record")</f>
        <v>Catalog Record</v>
      </c>
      <c r="AV554" s="5" t="str">
        <f>HYPERLINK("http://www.worldcat.org/oclc/6889343","WorldCat Record")</f>
        <v>WorldCat Record</v>
      </c>
      <c r="AW554" s="2" t="s">
        <v>7075</v>
      </c>
      <c r="AX554" s="2" t="s">
        <v>7076</v>
      </c>
      <c r="AY554" s="2" t="s">
        <v>7077</v>
      </c>
      <c r="AZ554" s="2" t="s">
        <v>7077</v>
      </c>
      <c r="BA554" s="2" t="s">
        <v>7078</v>
      </c>
      <c r="BB554" s="2" t="s">
        <v>79</v>
      </c>
      <c r="BD554" s="2" t="s">
        <v>7079</v>
      </c>
      <c r="BE554" s="2" t="s">
        <v>7080</v>
      </c>
      <c r="BF554" s="2" t="s">
        <v>7081</v>
      </c>
    </row>
    <row r="555" spans="1:58" ht="46.5" customHeight="1">
      <c r="A555" s="1"/>
      <c r="B555" s="1" t="s">
        <v>58</v>
      </c>
      <c r="C555" s="1" t="s">
        <v>59</v>
      </c>
      <c r="D555" s="1" t="s">
        <v>7082</v>
      </c>
      <c r="E555" s="1" t="s">
        <v>7083</v>
      </c>
      <c r="F555" s="1" t="s">
        <v>7084</v>
      </c>
      <c r="H555" s="2" t="s">
        <v>63</v>
      </c>
      <c r="I555" s="2" t="s">
        <v>64</v>
      </c>
      <c r="J555" s="2" t="s">
        <v>63</v>
      </c>
      <c r="K555" s="2" t="s">
        <v>63</v>
      </c>
      <c r="L555" s="2" t="s">
        <v>65</v>
      </c>
      <c r="M555" s="1" t="s">
        <v>7085</v>
      </c>
      <c r="N555" s="1" t="s">
        <v>6224</v>
      </c>
      <c r="O555" s="2" t="s">
        <v>554</v>
      </c>
      <c r="P555" s="1" t="s">
        <v>157</v>
      </c>
      <c r="Q555" s="2" t="s">
        <v>70</v>
      </c>
      <c r="R555" s="2" t="s">
        <v>277</v>
      </c>
      <c r="T555" s="2" t="s">
        <v>72</v>
      </c>
      <c r="U555" s="3">
        <v>12</v>
      </c>
      <c r="V555" s="3">
        <v>12</v>
      </c>
      <c r="W555" s="4" t="s">
        <v>349</v>
      </c>
      <c r="X555" s="4" t="s">
        <v>349</v>
      </c>
      <c r="Y555" s="4" t="s">
        <v>7086</v>
      </c>
      <c r="Z555" s="4" t="s">
        <v>7086</v>
      </c>
      <c r="AA555" s="3">
        <v>173</v>
      </c>
      <c r="AB555" s="3">
        <v>128</v>
      </c>
      <c r="AC555" s="3">
        <v>131</v>
      </c>
      <c r="AD555" s="3">
        <v>2</v>
      </c>
      <c r="AE555" s="3">
        <v>2</v>
      </c>
      <c r="AF555" s="3">
        <v>7</v>
      </c>
      <c r="AG555" s="3">
        <v>7</v>
      </c>
      <c r="AH555" s="3">
        <v>3</v>
      </c>
      <c r="AI555" s="3">
        <v>3</v>
      </c>
      <c r="AJ555" s="3">
        <v>3</v>
      </c>
      <c r="AK555" s="3">
        <v>3</v>
      </c>
      <c r="AL555" s="3">
        <v>3</v>
      </c>
      <c r="AM555" s="3">
        <v>3</v>
      </c>
      <c r="AN555" s="3">
        <v>1</v>
      </c>
      <c r="AO555" s="3">
        <v>1</v>
      </c>
      <c r="AP555" s="3">
        <v>0</v>
      </c>
      <c r="AQ555" s="3">
        <v>0</v>
      </c>
      <c r="AR555" s="2" t="s">
        <v>63</v>
      </c>
      <c r="AS555" s="2" t="s">
        <v>92</v>
      </c>
      <c r="AT555" s="5" t="str">
        <f>HYPERLINK("http://catalog.hathitrust.org/Record/002865289","HathiTrust Record")</f>
        <v>HathiTrust Record</v>
      </c>
      <c r="AU555" s="5" t="str">
        <f>HYPERLINK("https://creighton-primo.hosted.exlibrisgroup.com/primo-explore/search?tab=default_tab&amp;search_scope=EVERYTHING&amp;vid=01CRU&amp;lang=en_US&amp;offset=0&amp;query=any,contains,991001193719702656","Catalog Record")</f>
        <v>Catalog Record</v>
      </c>
      <c r="AV555" s="5" t="str">
        <f>HYPERLINK("http://www.worldcat.org/oclc/28587230","WorldCat Record")</f>
        <v>WorldCat Record</v>
      </c>
      <c r="AW555" s="2" t="s">
        <v>7087</v>
      </c>
      <c r="AX555" s="2" t="s">
        <v>7088</v>
      </c>
      <c r="AY555" s="2" t="s">
        <v>7089</v>
      </c>
      <c r="AZ555" s="2" t="s">
        <v>7089</v>
      </c>
      <c r="BA555" s="2" t="s">
        <v>7090</v>
      </c>
      <c r="BB555" s="2" t="s">
        <v>79</v>
      </c>
      <c r="BD555" s="2" t="s">
        <v>7091</v>
      </c>
      <c r="BE555" s="2" t="s">
        <v>7092</v>
      </c>
      <c r="BF555" s="2" t="s">
        <v>7093</v>
      </c>
    </row>
    <row r="556" spans="1:58" ht="46.5" customHeight="1">
      <c r="A556" s="1"/>
      <c r="B556" s="1" t="s">
        <v>58</v>
      </c>
      <c r="C556" s="1" t="s">
        <v>59</v>
      </c>
      <c r="D556" s="1" t="s">
        <v>7094</v>
      </c>
      <c r="E556" s="1" t="s">
        <v>7095</v>
      </c>
      <c r="F556" s="1" t="s">
        <v>7096</v>
      </c>
      <c r="H556" s="2" t="s">
        <v>63</v>
      </c>
      <c r="I556" s="2" t="s">
        <v>64</v>
      </c>
      <c r="J556" s="2" t="s">
        <v>63</v>
      </c>
      <c r="K556" s="2" t="s">
        <v>63</v>
      </c>
      <c r="L556" s="2" t="s">
        <v>65</v>
      </c>
      <c r="M556" s="1" t="s">
        <v>7097</v>
      </c>
      <c r="N556" s="1" t="s">
        <v>7098</v>
      </c>
      <c r="O556" s="2" t="s">
        <v>5878</v>
      </c>
      <c r="P556" s="1" t="s">
        <v>4848</v>
      </c>
      <c r="Q556" s="2" t="s">
        <v>70</v>
      </c>
      <c r="R556" s="2" t="s">
        <v>377</v>
      </c>
      <c r="T556" s="2" t="s">
        <v>72</v>
      </c>
      <c r="U556" s="3">
        <v>4</v>
      </c>
      <c r="V556" s="3">
        <v>4</v>
      </c>
      <c r="W556" s="4" t="s">
        <v>1476</v>
      </c>
      <c r="X556" s="4" t="s">
        <v>1476</v>
      </c>
      <c r="Y556" s="4" t="s">
        <v>7099</v>
      </c>
      <c r="Z556" s="4" t="s">
        <v>7099</v>
      </c>
      <c r="AA556" s="3">
        <v>275</v>
      </c>
      <c r="AB556" s="3">
        <v>192</v>
      </c>
      <c r="AC556" s="3">
        <v>195</v>
      </c>
      <c r="AD556" s="3">
        <v>2</v>
      </c>
      <c r="AE556" s="3">
        <v>2</v>
      </c>
      <c r="AF556" s="3">
        <v>7</v>
      </c>
      <c r="AG556" s="3">
        <v>7</v>
      </c>
      <c r="AH556" s="3">
        <v>3</v>
      </c>
      <c r="AI556" s="3">
        <v>3</v>
      </c>
      <c r="AJ556" s="3">
        <v>2</v>
      </c>
      <c r="AK556" s="3">
        <v>2</v>
      </c>
      <c r="AL556" s="3">
        <v>2</v>
      </c>
      <c r="AM556" s="3">
        <v>2</v>
      </c>
      <c r="AN556" s="3">
        <v>1</v>
      </c>
      <c r="AO556" s="3">
        <v>1</v>
      </c>
      <c r="AP556" s="3">
        <v>0</v>
      </c>
      <c r="AQ556" s="3">
        <v>0</v>
      </c>
      <c r="AR556" s="2" t="s">
        <v>63</v>
      </c>
      <c r="AS556" s="2" t="s">
        <v>92</v>
      </c>
      <c r="AT556" s="5" t="str">
        <f>HYPERLINK("http://catalog.hathitrust.org/Record/001108536","HathiTrust Record")</f>
        <v>HathiTrust Record</v>
      </c>
      <c r="AU556" s="5" t="str">
        <f>HYPERLINK("https://creighton-primo.hosted.exlibrisgroup.com/primo-explore/search?tab=default_tab&amp;search_scope=EVERYTHING&amp;vid=01CRU&amp;lang=en_US&amp;offset=0&amp;query=any,contains,991000965429702656","Catalog Record")</f>
        <v>Catalog Record</v>
      </c>
      <c r="AV556" s="5" t="str">
        <f>HYPERLINK("http://www.worldcat.org/oclc/489576","WorldCat Record")</f>
        <v>WorldCat Record</v>
      </c>
      <c r="AW556" s="2" t="s">
        <v>7100</v>
      </c>
      <c r="AX556" s="2" t="s">
        <v>7101</v>
      </c>
      <c r="AY556" s="2" t="s">
        <v>7102</v>
      </c>
      <c r="AZ556" s="2" t="s">
        <v>7102</v>
      </c>
      <c r="BA556" s="2" t="s">
        <v>7103</v>
      </c>
      <c r="BB556" s="2" t="s">
        <v>79</v>
      </c>
      <c r="BE556" s="2" t="s">
        <v>7104</v>
      </c>
      <c r="BF556" s="2" t="s">
        <v>7105</v>
      </c>
    </row>
    <row r="557" spans="1:58" ht="46.5" customHeight="1">
      <c r="A557" s="1"/>
      <c r="B557" s="1" t="s">
        <v>58</v>
      </c>
      <c r="C557" s="1" t="s">
        <v>59</v>
      </c>
      <c r="D557" s="1" t="s">
        <v>7106</v>
      </c>
      <c r="E557" s="1" t="s">
        <v>7107</v>
      </c>
      <c r="F557" s="1" t="s">
        <v>7108</v>
      </c>
      <c r="H557" s="2" t="s">
        <v>63</v>
      </c>
      <c r="I557" s="2" t="s">
        <v>64</v>
      </c>
      <c r="J557" s="2" t="s">
        <v>92</v>
      </c>
      <c r="K557" s="2" t="s">
        <v>92</v>
      </c>
      <c r="L557" s="2" t="s">
        <v>117</v>
      </c>
      <c r="M557" s="1" t="s">
        <v>7109</v>
      </c>
      <c r="N557" s="1" t="s">
        <v>7110</v>
      </c>
      <c r="O557" s="2" t="s">
        <v>362</v>
      </c>
      <c r="Q557" s="2" t="s">
        <v>70</v>
      </c>
      <c r="R557" s="2" t="s">
        <v>277</v>
      </c>
      <c r="T557" s="2" t="s">
        <v>72</v>
      </c>
      <c r="U557" s="3">
        <v>88</v>
      </c>
      <c r="V557" s="3">
        <v>102</v>
      </c>
      <c r="W557" s="4" t="s">
        <v>2342</v>
      </c>
      <c r="X557" s="4" t="s">
        <v>7111</v>
      </c>
      <c r="Y557" s="4" t="s">
        <v>6523</v>
      </c>
      <c r="Z557" s="4" t="s">
        <v>2103</v>
      </c>
      <c r="AA557" s="3">
        <v>100</v>
      </c>
      <c r="AB557" s="3">
        <v>54</v>
      </c>
      <c r="AC557" s="3">
        <v>546</v>
      </c>
      <c r="AD557" s="3">
        <v>1</v>
      </c>
      <c r="AE557" s="3">
        <v>22</v>
      </c>
      <c r="AF557" s="3">
        <v>1</v>
      </c>
      <c r="AG557" s="3">
        <v>19</v>
      </c>
      <c r="AH557" s="3">
        <v>0</v>
      </c>
      <c r="AI557" s="3">
        <v>6</v>
      </c>
      <c r="AJ557" s="3">
        <v>1</v>
      </c>
      <c r="AK557" s="3">
        <v>3</v>
      </c>
      <c r="AL557" s="3">
        <v>0</v>
      </c>
      <c r="AM557" s="3">
        <v>2</v>
      </c>
      <c r="AN557" s="3">
        <v>0</v>
      </c>
      <c r="AO557" s="3">
        <v>10</v>
      </c>
      <c r="AP557" s="3">
        <v>0</v>
      </c>
      <c r="AQ557" s="3">
        <v>0</v>
      </c>
      <c r="AR557" s="2" t="s">
        <v>63</v>
      </c>
      <c r="AS557" s="2" t="s">
        <v>92</v>
      </c>
      <c r="AT557" s="5" t="str">
        <f>HYPERLINK("http://catalog.hathitrust.org/Record/004929869","HathiTrust Record")</f>
        <v>HathiTrust Record</v>
      </c>
      <c r="AU557" s="5" t="str">
        <f>HYPERLINK("https://creighton-primo.hosted.exlibrisgroup.com/primo-explore/search?tab=default_tab&amp;search_scope=EVERYTHING&amp;vid=01CRU&amp;lang=en_US&amp;offset=0&amp;query=any,contains,991000422859702656","Catalog Record")</f>
        <v>Catalog Record</v>
      </c>
      <c r="AV557" s="5" t="str">
        <f>HYPERLINK("http://www.worldcat.org/oclc/56011324","WorldCat Record")</f>
        <v>WorldCat Record</v>
      </c>
      <c r="AW557" s="2" t="s">
        <v>7112</v>
      </c>
      <c r="AX557" s="2" t="s">
        <v>7113</v>
      </c>
      <c r="AY557" s="2" t="s">
        <v>7114</v>
      </c>
      <c r="AZ557" s="2" t="s">
        <v>7114</v>
      </c>
      <c r="BA557" s="2" t="s">
        <v>7115</v>
      </c>
      <c r="BB557" s="2" t="s">
        <v>79</v>
      </c>
      <c r="BD557" s="2" t="s">
        <v>7116</v>
      </c>
      <c r="BE557" s="2" t="s">
        <v>7117</v>
      </c>
      <c r="BF557" s="2" t="s">
        <v>7118</v>
      </c>
    </row>
    <row r="558" spans="1:58" ht="46.5" customHeight="1">
      <c r="A558" s="1"/>
      <c r="B558" s="1" t="s">
        <v>58</v>
      </c>
      <c r="C558" s="1" t="s">
        <v>59</v>
      </c>
      <c r="D558" s="1" t="s">
        <v>7119</v>
      </c>
      <c r="E558" s="1" t="s">
        <v>7120</v>
      </c>
      <c r="F558" s="1" t="s">
        <v>7121</v>
      </c>
      <c r="H558" s="2" t="s">
        <v>63</v>
      </c>
      <c r="I558" s="2" t="s">
        <v>64</v>
      </c>
      <c r="J558" s="2" t="s">
        <v>63</v>
      </c>
      <c r="K558" s="2" t="s">
        <v>63</v>
      </c>
      <c r="L558" s="2" t="s">
        <v>65</v>
      </c>
      <c r="N558" s="1" t="s">
        <v>7122</v>
      </c>
      <c r="O558" s="2" t="s">
        <v>814</v>
      </c>
      <c r="Q558" s="2" t="s">
        <v>70</v>
      </c>
      <c r="R558" s="2" t="s">
        <v>470</v>
      </c>
      <c r="T558" s="2" t="s">
        <v>72</v>
      </c>
      <c r="U558" s="3">
        <v>33</v>
      </c>
      <c r="V558" s="3">
        <v>33</v>
      </c>
      <c r="W558" s="4" t="s">
        <v>7123</v>
      </c>
      <c r="X558" s="4" t="s">
        <v>7123</v>
      </c>
      <c r="Y558" s="4" t="s">
        <v>7124</v>
      </c>
      <c r="Z558" s="4" t="s">
        <v>7124</v>
      </c>
      <c r="AA558" s="3">
        <v>61</v>
      </c>
      <c r="AB558" s="3">
        <v>55</v>
      </c>
      <c r="AC558" s="3">
        <v>120</v>
      </c>
      <c r="AD558" s="3">
        <v>1</v>
      </c>
      <c r="AE558" s="3">
        <v>1</v>
      </c>
      <c r="AF558" s="3">
        <v>2</v>
      </c>
      <c r="AG558" s="3">
        <v>7</v>
      </c>
      <c r="AH558" s="3">
        <v>1</v>
      </c>
      <c r="AI558" s="3">
        <v>4</v>
      </c>
      <c r="AJ558" s="3">
        <v>1</v>
      </c>
      <c r="AK558" s="3">
        <v>1</v>
      </c>
      <c r="AL558" s="3">
        <v>0</v>
      </c>
      <c r="AM558" s="3">
        <v>3</v>
      </c>
      <c r="AN558" s="3">
        <v>0</v>
      </c>
      <c r="AO558" s="3">
        <v>0</v>
      </c>
      <c r="AP558" s="3">
        <v>0</v>
      </c>
      <c r="AQ558" s="3">
        <v>0</v>
      </c>
      <c r="AR558" s="2" t="s">
        <v>63</v>
      </c>
      <c r="AS558" s="2" t="s">
        <v>92</v>
      </c>
      <c r="AT558" s="5" t="str">
        <f>HYPERLINK("http://catalog.hathitrust.org/Record/004059522","HathiTrust Record")</f>
        <v>HathiTrust Record</v>
      </c>
      <c r="AU558" s="5" t="str">
        <f>HYPERLINK("https://creighton-primo.hosted.exlibrisgroup.com/primo-explore/search?tab=default_tab&amp;search_scope=EVERYTHING&amp;vid=01CRU&amp;lang=en_US&amp;offset=0&amp;query=any,contains,991000797549702656","Catalog Record")</f>
        <v>Catalog Record</v>
      </c>
      <c r="AV558" s="5" t="str">
        <f>HYPERLINK("http://www.worldcat.org/oclc/41482478","WorldCat Record")</f>
        <v>WorldCat Record</v>
      </c>
      <c r="AW558" s="2" t="s">
        <v>7125</v>
      </c>
      <c r="AX558" s="2" t="s">
        <v>7126</v>
      </c>
      <c r="AY558" s="2" t="s">
        <v>7127</v>
      </c>
      <c r="AZ558" s="2" t="s">
        <v>7127</v>
      </c>
      <c r="BA558" s="2" t="s">
        <v>7128</v>
      </c>
      <c r="BB558" s="2" t="s">
        <v>79</v>
      </c>
      <c r="BD558" s="2" t="s">
        <v>7129</v>
      </c>
      <c r="BE558" s="2" t="s">
        <v>7130</v>
      </c>
      <c r="BF558" s="2" t="s">
        <v>7131</v>
      </c>
    </row>
    <row r="559" spans="1:58" ht="46.5" customHeight="1">
      <c r="A559" s="1"/>
      <c r="B559" s="1" t="s">
        <v>58</v>
      </c>
      <c r="C559" s="1" t="s">
        <v>59</v>
      </c>
      <c r="D559" s="1" t="s">
        <v>7132</v>
      </c>
      <c r="E559" s="1" t="s">
        <v>7133</v>
      </c>
      <c r="F559" s="1" t="s">
        <v>7134</v>
      </c>
      <c r="H559" s="2" t="s">
        <v>63</v>
      </c>
      <c r="I559" s="2" t="s">
        <v>64</v>
      </c>
      <c r="J559" s="2" t="s">
        <v>63</v>
      </c>
      <c r="K559" s="2" t="s">
        <v>63</v>
      </c>
      <c r="L559" s="2" t="s">
        <v>65</v>
      </c>
      <c r="N559" s="1" t="s">
        <v>7135</v>
      </c>
      <c r="O559" s="2" t="s">
        <v>814</v>
      </c>
      <c r="Q559" s="2" t="s">
        <v>70</v>
      </c>
      <c r="R559" s="2" t="s">
        <v>277</v>
      </c>
      <c r="T559" s="2" t="s">
        <v>72</v>
      </c>
      <c r="U559" s="3">
        <v>13</v>
      </c>
      <c r="V559" s="3">
        <v>13</v>
      </c>
      <c r="W559" s="4" t="s">
        <v>7136</v>
      </c>
      <c r="X559" s="4" t="s">
        <v>7136</v>
      </c>
      <c r="Y559" s="4" t="s">
        <v>7137</v>
      </c>
      <c r="Z559" s="4" t="s">
        <v>7137</v>
      </c>
      <c r="AA559" s="3">
        <v>87</v>
      </c>
      <c r="AB559" s="3">
        <v>68</v>
      </c>
      <c r="AC559" s="3">
        <v>75</v>
      </c>
      <c r="AD559" s="3">
        <v>1</v>
      </c>
      <c r="AE559" s="3">
        <v>1</v>
      </c>
      <c r="AF559" s="3">
        <v>2</v>
      </c>
      <c r="AG559" s="3">
        <v>2</v>
      </c>
      <c r="AH559" s="3">
        <v>0</v>
      </c>
      <c r="AI559" s="3">
        <v>0</v>
      </c>
      <c r="AJ559" s="3">
        <v>1</v>
      </c>
      <c r="AK559" s="3">
        <v>1</v>
      </c>
      <c r="AL559" s="3">
        <v>1</v>
      </c>
      <c r="AM559" s="3">
        <v>1</v>
      </c>
      <c r="AN559" s="3">
        <v>0</v>
      </c>
      <c r="AO559" s="3">
        <v>0</v>
      </c>
      <c r="AP559" s="3">
        <v>0</v>
      </c>
      <c r="AQ559" s="3">
        <v>0</v>
      </c>
      <c r="AR559" s="2" t="s">
        <v>63</v>
      </c>
      <c r="AS559" s="2" t="s">
        <v>92</v>
      </c>
      <c r="AT559" s="5" t="str">
        <f>HYPERLINK("http://catalog.hathitrust.org/Record/004026770","HathiTrust Record")</f>
        <v>HathiTrust Record</v>
      </c>
      <c r="AU559" s="5" t="str">
        <f>HYPERLINK("https://creighton-primo.hosted.exlibrisgroup.com/primo-explore/search?tab=default_tab&amp;search_scope=EVERYTHING&amp;vid=01CRU&amp;lang=en_US&amp;offset=0&amp;query=any,contains,991001564409702656","Catalog Record")</f>
        <v>Catalog Record</v>
      </c>
      <c r="AV559" s="5" t="str">
        <f>HYPERLINK("http://www.worldcat.org/oclc/40200352","WorldCat Record")</f>
        <v>WorldCat Record</v>
      </c>
      <c r="AW559" s="2" t="s">
        <v>7138</v>
      </c>
      <c r="AX559" s="2" t="s">
        <v>7139</v>
      </c>
      <c r="AY559" s="2" t="s">
        <v>7140</v>
      </c>
      <c r="AZ559" s="2" t="s">
        <v>7140</v>
      </c>
      <c r="BA559" s="2" t="s">
        <v>7141</v>
      </c>
      <c r="BB559" s="2" t="s">
        <v>79</v>
      </c>
      <c r="BD559" s="2" t="s">
        <v>7142</v>
      </c>
      <c r="BE559" s="2" t="s">
        <v>7143</v>
      </c>
      <c r="BF559" s="2" t="s">
        <v>7144</v>
      </c>
    </row>
    <row r="560" spans="1:58" ht="46.5" customHeight="1">
      <c r="A560" s="1"/>
      <c r="B560" s="1" t="s">
        <v>58</v>
      </c>
      <c r="C560" s="1" t="s">
        <v>59</v>
      </c>
      <c r="D560" s="1" t="s">
        <v>7145</v>
      </c>
      <c r="E560" s="1" t="s">
        <v>7146</v>
      </c>
      <c r="F560" s="1" t="s">
        <v>7147</v>
      </c>
      <c r="H560" s="2" t="s">
        <v>63</v>
      </c>
      <c r="I560" s="2" t="s">
        <v>64</v>
      </c>
      <c r="J560" s="2" t="s">
        <v>63</v>
      </c>
      <c r="K560" s="2" t="s">
        <v>92</v>
      </c>
      <c r="L560" s="2" t="s">
        <v>65</v>
      </c>
      <c r="N560" s="1" t="s">
        <v>7148</v>
      </c>
      <c r="O560" s="2" t="s">
        <v>275</v>
      </c>
      <c r="Q560" s="2" t="s">
        <v>70</v>
      </c>
      <c r="R560" s="2" t="s">
        <v>277</v>
      </c>
      <c r="T560" s="2" t="s">
        <v>72</v>
      </c>
      <c r="U560" s="3">
        <v>20</v>
      </c>
      <c r="V560" s="3">
        <v>20</v>
      </c>
      <c r="W560" s="4" t="s">
        <v>7149</v>
      </c>
      <c r="X560" s="4" t="s">
        <v>7149</v>
      </c>
      <c r="Y560" s="4" t="s">
        <v>7150</v>
      </c>
      <c r="Z560" s="4" t="s">
        <v>7150</v>
      </c>
      <c r="AA560" s="3">
        <v>76</v>
      </c>
      <c r="AB560" s="3">
        <v>55</v>
      </c>
      <c r="AC560" s="3">
        <v>111</v>
      </c>
      <c r="AD560" s="3">
        <v>1</v>
      </c>
      <c r="AE560" s="3">
        <v>1</v>
      </c>
      <c r="AF560" s="3">
        <v>3</v>
      </c>
      <c r="AG560" s="3">
        <v>7</v>
      </c>
      <c r="AH560" s="3">
        <v>2</v>
      </c>
      <c r="AI560" s="3">
        <v>5</v>
      </c>
      <c r="AJ560" s="3">
        <v>1</v>
      </c>
      <c r="AK560" s="3">
        <v>2</v>
      </c>
      <c r="AL560" s="3">
        <v>0</v>
      </c>
      <c r="AM560" s="3">
        <v>2</v>
      </c>
      <c r="AN560" s="3">
        <v>0</v>
      </c>
      <c r="AO560" s="3">
        <v>0</v>
      </c>
      <c r="AP560" s="3">
        <v>0</v>
      </c>
      <c r="AQ560" s="3">
        <v>0</v>
      </c>
      <c r="AR560" s="2" t="s">
        <v>63</v>
      </c>
      <c r="AS560" s="2" t="s">
        <v>63</v>
      </c>
      <c r="AU560" s="5" t="str">
        <f>HYPERLINK("https://creighton-primo.hosted.exlibrisgroup.com/primo-explore/search?tab=default_tab&amp;search_scope=EVERYTHING&amp;vid=01CRU&amp;lang=en_US&amp;offset=0&amp;query=any,contains,991001442619702656","Catalog Record")</f>
        <v>Catalog Record</v>
      </c>
      <c r="AV560" s="5" t="str">
        <f>HYPERLINK("http://www.worldcat.org/oclc/32351943","WorldCat Record")</f>
        <v>WorldCat Record</v>
      </c>
      <c r="AW560" s="2" t="s">
        <v>7151</v>
      </c>
      <c r="AX560" s="2" t="s">
        <v>7152</v>
      </c>
      <c r="AY560" s="2" t="s">
        <v>7153</v>
      </c>
      <c r="AZ560" s="2" t="s">
        <v>7153</v>
      </c>
      <c r="BA560" s="2" t="s">
        <v>7154</v>
      </c>
      <c r="BB560" s="2" t="s">
        <v>79</v>
      </c>
      <c r="BD560" s="2" t="s">
        <v>7155</v>
      </c>
      <c r="BE560" s="2" t="s">
        <v>7156</v>
      </c>
      <c r="BF560" s="2" t="s">
        <v>7157</v>
      </c>
    </row>
    <row r="561" spans="1:58" ht="46.5" customHeight="1">
      <c r="A561" s="1"/>
      <c r="B561" s="1" t="s">
        <v>58</v>
      </c>
      <c r="C561" s="1" t="s">
        <v>59</v>
      </c>
      <c r="D561" s="1" t="s">
        <v>7158</v>
      </c>
      <c r="E561" s="1" t="s">
        <v>7159</v>
      </c>
      <c r="F561" s="1" t="s">
        <v>7160</v>
      </c>
      <c r="H561" s="2" t="s">
        <v>63</v>
      </c>
      <c r="I561" s="2" t="s">
        <v>64</v>
      </c>
      <c r="J561" s="2" t="s">
        <v>63</v>
      </c>
      <c r="K561" s="2" t="s">
        <v>92</v>
      </c>
      <c r="L561" s="2" t="s">
        <v>65</v>
      </c>
      <c r="N561" s="1" t="s">
        <v>7161</v>
      </c>
      <c r="O561" s="2" t="s">
        <v>440</v>
      </c>
      <c r="P561" s="1" t="s">
        <v>157</v>
      </c>
      <c r="Q561" s="2" t="s">
        <v>70</v>
      </c>
      <c r="R561" s="2" t="s">
        <v>470</v>
      </c>
      <c r="T561" s="2" t="s">
        <v>72</v>
      </c>
      <c r="U561" s="3">
        <v>3</v>
      </c>
      <c r="V561" s="3">
        <v>3</v>
      </c>
      <c r="W561" s="4" t="s">
        <v>3759</v>
      </c>
      <c r="X561" s="4" t="s">
        <v>3759</v>
      </c>
      <c r="Y561" s="4" t="s">
        <v>1870</v>
      </c>
      <c r="Z561" s="4" t="s">
        <v>1870</v>
      </c>
      <c r="AA561" s="3">
        <v>99</v>
      </c>
      <c r="AB561" s="3">
        <v>69</v>
      </c>
      <c r="AC561" s="3">
        <v>111</v>
      </c>
      <c r="AD561" s="3">
        <v>1</v>
      </c>
      <c r="AE561" s="3">
        <v>1</v>
      </c>
      <c r="AF561" s="3">
        <v>4</v>
      </c>
      <c r="AG561" s="3">
        <v>7</v>
      </c>
      <c r="AH561" s="3">
        <v>3</v>
      </c>
      <c r="AI561" s="3">
        <v>5</v>
      </c>
      <c r="AJ561" s="3">
        <v>1</v>
      </c>
      <c r="AK561" s="3">
        <v>2</v>
      </c>
      <c r="AL561" s="3">
        <v>2</v>
      </c>
      <c r="AM561" s="3">
        <v>2</v>
      </c>
      <c r="AN561" s="3">
        <v>0</v>
      </c>
      <c r="AO561" s="3">
        <v>0</v>
      </c>
      <c r="AP561" s="3">
        <v>0</v>
      </c>
      <c r="AQ561" s="3">
        <v>0</v>
      </c>
      <c r="AR561" s="2" t="s">
        <v>63</v>
      </c>
      <c r="AS561" s="2" t="s">
        <v>92</v>
      </c>
      <c r="AT561" s="5" t="str">
        <f>HYPERLINK("http://catalog.hathitrust.org/Record/003816985","HathiTrust Record")</f>
        <v>HathiTrust Record</v>
      </c>
      <c r="AU561" s="5" t="str">
        <f>HYPERLINK("https://creighton-primo.hosted.exlibrisgroup.com/primo-explore/search?tab=default_tab&amp;search_scope=EVERYTHING&amp;vid=01CRU&amp;lang=en_US&amp;offset=0&amp;query=any,contains,991000337629702656","Catalog Record")</f>
        <v>Catalog Record</v>
      </c>
      <c r="AV561" s="5" t="str">
        <f>HYPERLINK("http://www.worldcat.org/oclc/50680535","WorldCat Record")</f>
        <v>WorldCat Record</v>
      </c>
      <c r="AW561" s="2" t="s">
        <v>7151</v>
      </c>
      <c r="AX561" s="2" t="s">
        <v>7162</v>
      </c>
      <c r="AY561" s="2" t="s">
        <v>7163</v>
      </c>
      <c r="AZ561" s="2" t="s">
        <v>7163</v>
      </c>
      <c r="BA561" s="2" t="s">
        <v>7164</v>
      </c>
      <c r="BB561" s="2" t="s">
        <v>79</v>
      </c>
      <c r="BD561" s="2" t="s">
        <v>7165</v>
      </c>
      <c r="BE561" s="2" t="s">
        <v>7166</v>
      </c>
      <c r="BF561" s="2" t="s">
        <v>7167</v>
      </c>
    </row>
    <row r="562" spans="1:58" ht="46.5" customHeight="1">
      <c r="A562" s="1"/>
      <c r="B562" s="1" t="s">
        <v>58</v>
      </c>
      <c r="C562" s="1" t="s">
        <v>59</v>
      </c>
      <c r="D562" s="1" t="s">
        <v>7168</v>
      </c>
      <c r="E562" s="1" t="s">
        <v>7169</v>
      </c>
      <c r="F562" s="1" t="s">
        <v>7170</v>
      </c>
      <c r="H562" s="2" t="s">
        <v>63</v>
      </c>
      <c r="I562" s="2" t="s">
        <v>64</v>
      </c>
      <c r="J562" s="2" t="s">
        <v>63</v>
      </c>
      <c r="K562" s="2" t="s">
        <v>92</v>
      </c>
      <c r="L562" s="2" t="s">
        <v>65</v>
      </c>
      <c r="N562" s="1" t="s">
        <v>7171</v>
      </c>
      <c r="O562" s="2" t="s">
        <v>198</v>
      </c>
      <c r="Q562" s="2" t="s">
        <v>70</v>
      </c>
      <c r="R562" s="2" t="s">
        <v>277</v>
      </c>
      <c r="T562" s="2" t="s">
        <v>72</v>
      </c>
      <c r="U562" s="3">
        <v>53</v>
      </c>
      <c r="V562" s="3">
        <v>53</v>
      </c>
      <c r="W562" s="4" t="s">
        <v>6633</v>
      </c>
      <c r="X562" s="4" t="s">
        <v>6633</v>
      </c>
      <c r="Y562" s="4" t="s">
        <v>880</v>
      </c>
      <c r="Z562" s="4" t="s">
        <v>880</v>
      </c>
      <c r="AA562" s="3">
        <v>148</v>
      </c>
      <c r="AB562" s="3">
        <v>121</v>
      </c>
      <c r="AC562" s="3">
        <v>308</v>
      </c>
      <c r="AD562" s="3">
        <v>2</v>
      </c>
      <c r="AE562" s="3">
        <v>4</v>
      </c>
      <c r="AF562" s="3">
        <v>4</v>
      </c>
      <c r="AG562" s="3">
        <v>16</v>
      </c>
      <c r="AH562" s="3">
        <v>1</v>
      </c>
      <c r="AI562" s="3">
        <v>7</v>
      </c>
      <c r="AJ562" s="3">
        <v>3</v>
      </c>
      <c r="AK562" s="3">
        <v>4</v>
      </c>
      <c r="AL562" s="3">
        <v>1</v>
      </c>
      <c r="AM562" s="3">
        <v>5</v>
      </c>
      <c r="AN562" s="3">
        <v>0</v>
      </c>
      <c r="AO562" s="3">
        <v>2</v>
      </c>
      <c r="AP562" s="3">
        <v>1</v>
      </c>
      <c r="AQ562" s="3">
        <v>2</v>
      </c>
      <c r="AR562" s="2" t="s">
        <v>63</v>
      </c>
      <c r="AS562" s="2" t="s">
        <v>92</v>
      </c>
      <c r="AT562" s="5" t="str">
        <f>HYPERLINK("http://catalog.hathitrust.org/Record/002500856","HathiTrust Record")</f>
        <v>HathiTrust Record</v>
      </c>
      <c r="AU562" s="5" t="str">
        <f>HYPERLINK("https://creighton-primo.hosted.exlibrisgroup.com/primo-explore/search?tab=default_tab&amp;search_scope=EVERYTHING&amp;vid=01CRU&amp;lang=en_US&amp;offset=0&amp;query=any,contains,991001013699702656","Catalog Record")</f>
        <v>Catalog Record</v>
      </c>
      <c r="AV562" s="5" t="str">
        <f>HYPERLINK("http://www.worldcat.org/oclc/22208754","WorldCat Record")</f>
        <v>WorldCat Record</v>
      </c>
      <c r="AW562" s="2" t="s">
        <v>7172</v>
      </c>
      <c r="AX562" s="2" t="s">
        <v>7173</v>
      </c>
      <c r="AY562" s="2" t="s">
        <v>7174</v>
      </c>
      <c r="AZ562" s="2" t="s">
        <v>7174</v>
      </c>
      <c r="BA562" s="2" t="s">
        <v>7175</v>
      </c>
      <c r="BB562" s="2" t="s">
        <v>79</v>
      </c>
      <c r="BD562" s="2" t="s">
        <v>7176</v>
      </c>
      <c r="BE562" s="2" t="s">
        <v>7177</v>
      </c>
      <c r="BF562" s="2" t="s">
        <v>7178</v>
      </c>
    </row>
    <row r="563" spans="1:58" ht="46.5" customHeight="1">
      <c r="A563" s="1"/>
      <c r="B563" s="1" t="s">
        <v>58</v>
      </c>
      <c r="C563" s="1" t="s">
        <v>59</v>
      </c>
      <c r="D563" s="1" t="s">
        <v>7179</v>
      </c>
      <c r="E563" s="1" t="s">
        <v>7180</v>
      </c>
      <c r="F563" s="1" t="s">
        <v>7181</v>
      </c>
      <c r="H563" s="2" t="s">
        <v>63</v>
      </c>
      <c r="I563" s="2" t="s">
        <v>64</v>
      </c>
      <c r="J563" s="2" t="s">
        <v>63</v>
      </c>
      <c r="K563" s="2" t="s">
        <v>92</v>
      </c>
      <c r="L563" s="2" t="s">
        <v>65</v>
      </c>
      <c r="N563" s="1" t="s">
        <v>7182</v>
      </c>
      <c r="O563" s="2" t="s">
        <v>362</v>
      </c>
      <c r="P563" s="1" t="s">
        <v>259</v>
      </c>
      <c r="Q563" s="2" t="s">
        <v>70</v>
      </c>
      <c r="R563" s="2" t="s">
        <v>277</v>
      </c>
      <c r="T563" s="2" t="s">
        <v>72</v>
      </c>
      <c r="U563" s="3">
        <v>5</v>
      </c>
      <c r="V563" s="3">
        <v>5</v>
      </c>
      <c r="W563" s="4" t="s">
        <v>7183</v>
      </c>
      <c r="X563" s="4" t="s">
        <v>7183</v>
      </c>
      <c r="Y563" s="4" t="s">
        <v>2736</v>
      </c>
      <c r="Z563" s="4" t="s">
        <v>2736</v>
      </c>
      <c r="AA563" s="3">
        <v>125</v>
      </c>
      <c r="AB563" s="3">
        <v>110</v>
      </c>
      <c r="AC563" s="3">
        <v>308</v>
      </c>
      <c r="AD563" s="3">
        <v>2</v>
      </c>
      <c r="AE563" s="3">
        <v>4</v>
      </c>
      <c r="AF563" s="3">
        <v>8</v>
      </c>
      <c r="AG563" s="3">
        <v>16</v>
      </c>
      <c r="AH563" s="3">
        <v>4</v>
      </c>
      <c r="AI563" s="3">
        <v>7</v>
      </c>
      <c r="AJ563" s="3">
        <v>2</v>
      </c>
      <c r="AK563" s="3">
        <v>4</v>
      </c>
      <c r="AL563" s="3">
        <v>3</v>
      </c>
      <c r="AM563" s="3">
        <v>5</v>
      </c>
      <c r="AN563" s="3">
        <v>1</v>
      </c>
      <c r="AO563" s="3">
        <v>2</v>
      </c>
      <c r="AP563" s="3">
        <v>0</v>
      </c>
      <c r="AQ563" s="3">
        <v>2</v>
      </c>
      <c r="AR563" s="2" t="s">
        <v>63</v>
      </c>
      <c r="AS563" s="2" t="s">
        <v>63</v>
      </c>
      <c r="AU563" s="5" t="str">
        <f>HYPERLINK("https://creighton-primo.hosted.exlibrisgroup.com/primo-explore/search?tab=default_tab&amp;search_scope=EVERYTHING&amp;vid=01CRU&amp;lang=en_US&amp;offset=0&amp;query=any,contains,991000446669702656","Catalog Record")</f>
        <v>Catalog Record</v>
      </c>
      <c r="AV563" s="5" t="str">
        <f>HYPERLINK("http://www.worldcat.org/oclc/57405371","WorldCat Record")</f>
        <v>WorldCat Record</v>
      </c>
      <c r="AW563" s="2" t="s">
        <v>7172</v>
      </c>
      <c r="AX563" s="2" t="s">
        <v>7184</v>
      </c>
      <c r="AY563" s="2" t="s">
        <v>7185</v>
      </c>
      <c r="AZ563" s="2" t="s">
        <v>7185</v>
      </c>
      <c r="BA563" s="2" t="s">
        <v>7186</v>
      </c>
      <c r="BB563" s="2" t="s">
        <v>79</v>
      </c>
      <c r="BD563" s="2" t="s">
        <v>7187</v>
      </c>
      <c r="BE563" s="2" t="s">
        <v>7188</v>
      </c>
      <c r="BF563" s="2" t="s">
        <v>7189</v>
      </c>
    </row>
    <row r="564" spans="1:58" ht="46.5" customHeight="1">
      <c r="A564" s="1"/>
      <c r="B564" s="1" t="s">
        <v>58</v>
      </c>
      <c r="C564" s="1" t="s">
        <v>59</v>
      </c>
      <c r="D564" s="1" t="s">
        <v>7190</v>
      </c>
      <c r="E564" s="1" t="s">
        <v>7191</v>
      </c>
      <c r="F564" s="1" t="s">
        <v>7192</v>
      </c>
      <c r="H564" s="2" t="s">
        <v>63</v>
      </c>
      <c r="I564" s="2" t="s">
        <v>64</v>
      </c>
      <c r="J564" s="2" t="s">
        <v>63</v>
      </c>
      <c r="K564" s="2" t="s">
        <v>92</v>
      </c>
      <c r="L564" s="2" t="s">
        <v>65</v>
      </c>
      <c r="N564" s="1" t="s">
        <v>7193</v>
      </c>
      <c r="O564" s="2" t="s">
        <v>440</v>
      </c>
      <c r="P564" s="1" t="s">
        <v>157</v>
      </c>
      <c r="Q564" s="2" t="s">
        <v>70</v>
      </c>
      <c r="R564" s="2" t="s">
        <v>1364</v>
      </c>
      <c r="T564" s="2" t="s">
        <v>72</v>
      </c>
      <c r="U564" s="3">
        <v>10</v>
      </c>
      <c r="V564" s="3">
        <v>10</v>
      </c>
      <c r="W564" s="4" t="s">
        <v>7194</v>
      </c>
      <c r="X564" s="4" t="s">
        <v>7194</v>
      </c>
      <c r="Y564" s="4" t="s">
        <v>2088</v>
      </c>
      <c r="Z564" s="4" t="s">
        <v>2088</v>
      </c>
      <c r="AA564" s="3">
        <v>95</v>
      </c>
      <c r="AB564" s="3">
        <v>60</v>
      </c>
      <c r="AC564" s="3">
        <v>116</v>
      </c>
      <c r="AD564" s="3">
        <v>1</v>
      </c>
      <c r="AE564" s="3">
        <v>1</v>
      </c>
      <c r="AF564" s="3">
        <v>2</v>
      </c>
      <c r="AG564" s="3">
        <v>6</v>
      </c>
      <c r="AH564" s="3">
        <v>2</v>
      </c>
      <c r="AI564" s="3">
        <v>4</v>
      </c>
      <c r="AJ564" s="3">
        <v>1</v>
      </c>
      <c r="AK564" s="3">
        <v>2</v>
      </c>
      <c r="AL564" s="3">
        <v>0</v>
      </c>
      <c r="AM564" s="3">
        <v>2</v>
      </c>
      <c r="AN564" s="3">
        <v>0</v>
      </c>
      <c r="AO564" s="3">
        <v>0</v>
      </c>
      <c r="AP564" s="3">
        <v>0</v>
      </c>
      <c r="AQ564" s="3">
        <v>0</v>
      </c>
      <c r="AR564" s="2" t="s">
        <v>63</v>
      </c>
      <c r="AS564" s="2" t="s">
        <v>92</v>
      </c>
      <c r="AT564" s="5" t="str">
        <f>HYPERLINK("http://catalog.hathitrust.org/Record/004323216","HathiTrust Record")</f>
        <v>HathiTrust Record</v>
      </c>
      <c r="AU564" s="5" t="str">
        <f>HYPERLINK("https://creighton-primo.hosted.exlibrisgroup.com/primo-explore/search?tab=default_tab&amp;search_scope=EVERYTHING&amp;vid=01CRU&amp;lang=en_US&amp;offset=0&amp;query=any,contains,991000352389702656","Catalog Record")</f>
        <v>Catalog Record</v>
      </c>
      <c r="AV564" s="5" t="str">
        <f>HYPERLINK("http://www.worldcat.org/oclc/51553581","WorldCat Record")</f>
        <v>WorldCat Record</v>
      </c>
      <c r="AW564" s="2" t="s">
        <v>7195</v>
      </c>
      <c r="AX564" s="2" t="s">
        <v>7196</v>
      </c>
      <c r="AY564" s="2" t="s">
        <v>7197</v>
      </c>
      <c r="AZ564" s="2" t="s">
        <v>7197</v>
      </c>
      <c r="BA564" s="2" t="s">
        <v>7198</v>
      </c>
      <c r="BB564" s="2" t="s">
        <v>79</v>
      </c>
      <c r="BD564" s="2" t="s">
        <v>7199</v>
      </c>
      <c r="BE564" s="2" t="s">
        <v>7200</v>
      </c>
      <c r="BF564" s="2" t="s">
        <v>7201</v>
      </c>
    </row>
    <row r="565" spans="1:58" ht="46.5" customHeight="1">
      <c r="A565" s="1"/>
      <c r="B565" s="1" t="s">
        <v>58</v>
      </c>
      <c r="C565" s="1" t="s">
        <v>59</v>
      </c>
      <c r="D565" s="1" t="s">
        <v>7202</v>
      </c>
      <c r="E565" s="1" t="s">
        <v>7203</v>
      </c>
      <c r="F565" s="1" t="s">
        <v>7204</v>
      </c>
      <c r="H565" s="2" t="s">
        <v>63</v>
      </c>
      <c r="I565" s="2" t="s">
        <v>64</v>
      </c>
      <c r="J565" s="2" t="s">
        <v>63</v>
      </c>
      <c r="K565" s="2" t="s">
        <v>92</v>
      </c>
      <c r="L565" s="2" t="s">
        <v>65</v>
      </c>
      <c r="M565" s="1" t="s">
        <v>7205</v>
      </c>
      <c r="N565" s="1" t="s">
        <v>7206</v>
      </c>
      <c r="O565" s="2" t="s">
        <v>1268</v>
      </c>
      <c r="P565" s="1" t="s">
        <v>259</v>
      </c>
      <c r="Q565" s="2" t="s">
        <v>70</v>
      </c>
      <c r="R565" s="2" t="s">
        <v>1364</v>
      </c>
      <c r="T565" s="2" t="s">
        <v>72</v>
      </c>
      <c r="U565" s="3">
        <v>14</v>
      </c>
      <c r="V565" s="3">
        <v>14</v>
      </c>
      <c r="W565" s="4" t="s">
        <v>7207</v>
      </c>
      <c r="X565" s="4" t="s">
        <v>7207</v>
      </c>
      <c r="Y565" s="4" t="s">
        <v>7194</v>
      </c>
      <c r="Z565" s="4" t="s">
        <v>7194</v>
      </c>
      <c r="AA565" s="3">
        <v>107</v>
      </c>
      <c r="AB565" s="3">
        <v>71</v>
      </c>
      <c r="AC565" s="3">
        <v>116</v>
      </c>
      <c r="AD565" s="3">
        <v>1</v>
      </c>
      <c r="AE565" s="3">
        <v>1</v>
      </c>
      <c r="AF565" s="3">
        <v>5</v>
      </c>
      <c r="AG565" s="3">
        <v>6</v>
      </c>
      <c r="AH565" s="3">
        <v>3</v>
      </c>
      <c r="AI565" s="3">
        <v>4</v>
      </c>
      <c r="AJ565" s="3">
        <v>1</v>
      </c>
      <c r="AK565" s="3">
        <v>2</v>
      </c>
      <c r="AL565" s="3">
        <v>2</v>
      </c>
      <c r="AM565" s="3">
        <v>2</v>
      </c>
      <c r="AN565" s="3">
        <v>0</v>
      </c>
      <c r="AO565" s="3">
        <v>0</v>
      </c>
      <c r="AP565" s="3">
        <v>0</v>
      </c>
      <c r="AQ565" s="3">
        <v>0</v>
      </c>
      <c r="AR565" s="2" t="s">
        <v>63</v>
      </c>
      <c r="AS565" s="2" t="s">
        <v>63</v>
      </c>
      <c r="AU565" s="5" t="str">
        <f>HYPERLINK("https://creighton-primo.hosted.exlibrisgroup.com/primo-explore/search?tab=default_tab&amp;search_scope=EVERYTHING&amp;vid=01CRU&amp;lang=en_US&amp;offset=0&amp;query=any,contains,991000660659702656","Catalog Record")</f>
        <v>Catalog Record</v>
      </c>
      <c r="AV565" s="5" t="str">
        <f>HYPERLINK("http://www.worldcat.org/oclc/80180950","WorldCat Record")</f>
        <v>WorldCat Record</v>
      </c>
      <c r="AW565" s="2" t="s">
        <v>7195</v>
      </c>
      <c r="AX565" s="2" t="s">
        <v>7208</v>
      </c>
      <c r="AY565" s="2" t="s">
        <v>7209</v>
      </c>
      <c r="AZ565" s="2" t="s">
        <v>7209</v>
      </c>
      <c r="BA565" s="2" t="s">
        <v>7210</v>
      </c>
      <c r="BB565" s="2" t="s">
        <v>79</v>
      </c>
      <c r="BD565" s="2" t="s">
        <v>7211</v>
      </c>
      <c r="BE565" s="2" t="s">
        <v>7212</v>
      </c>
      <c r="BF565" s="2" t="s">
        <v>7213</v>
      </c>
    </row>
    <row r="566" spans="1:58" ht="46.5" customHeight="1">
      <c r="A566" s="1"/>
      <c r="B566" s="1" t="s">
        <v>58</v>
      </c>
      <c r="C566" s="1" t="s">
        <v>59</v>
      </c>
      <c r="D566" s="1" t="s">
        <v>7214</v>
      </c>
      <c r="E566" s="1" t="s">
        <v>7215</v>
      </c>
      <c r="F566" s="1" t="s">
        <v>7216</v>
      </c>
      <c r="H566" s="2" t="s">
        <v>63</v>
      </c>
      <c r="I566" s="2" t="s">
        <v>64</v>
      </c>
      <c r="J566" s="2" t="s">
        <v>63</v>
      </c>
      <c r="K566" s="2" t="s">
        <v>63</v>
      </c>
      <c r="L566" s="2" t="s">
        <v>65</v>
      </c>
      <c r="N566" s="1" t="s">
        <v>7217</v>
      </c>
      <c r="O566" s="2" t="s">
        <v>7218</v>
      </c>
      <c r="P566" s="1" t="s">
        <v>69</v>
      </c>
      <c r="Q566" s="2" t="s">
        <v>70</v>
      </c>
      <c r="R566" s="2" t="s">
        <v>89</v>
      </c>
      <c r="T566" s="2" t="s">
        <v>72</v>
      </c>
      <c r="U566" s="3">
        <v>0</v>
      </c>
      <c r="V566" s="3">
        <v>0</v>
      </c>
      <c r="W566" s="4" t="s">
        <v>2252</v>
      </c>
      <c r="X566" s="4" t="s">
        <v>2252</v>
      </c>
      <c r="Y566" s="4" t="s">
        <v>5022</v>
      </c>
      <c r="Z566" s="4" t="s">
        <v>5022</v>
      </c>
      <c r="AA566" s="3">
        <v>28</v>
      </c>
      <c r="AB566" s="3">
        <v>27</v>
      </c>
      <c r="AC566" s="3">
        <v>83</v>
      </c>
      <c r="AD566" s="3">
        <v>1</v>
      </c>
      <c r="AE566" s="3">
        <v>1</v>
      </c>
      <c r="AF566" s="3">
        <v>0</v>
      </c>
      <c r="AG566" s="3">
        <v>2</v>
      </c>
      <c r="AH566" s="3">
        <v>0</v>
      </c>
      <c r="AI566" s="3">
        <v>2</v>
      </c>
      <c r="AJ566" s="3">
        <v>0</v>
      </c>
      <c r="AK566" s="3">
        <v>1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2" t="s">
        <v>92</v>
      </c>
      <c r="AS566" s="2" t="s">
        <v>63</v>
      </c>
      <c r="AT566" s="5" t="str">
        <f>HYPERLINK("http://catalog.hathitrust.org/Record/009778571","HathiTrust Record")</f>
        <v>HathiTrust Record</v>
      </c>
      <c r="AU566" s="5" t="str">
        <f>HYPERLINK("https://creighton-primo.hosted.exlibrisgroup.com/primo-explore/search?tab=default_tab&amp;search_scope=EVERYTHING&amp;vid=01CRU&amp;lang=en_US&amp;offset=0&amp;query=any,contains,991000965499702656","Catalog Record")</f>
        <v>Catalog Record</v>
      </c>
      <c r="AV566" s="5" t="str">
        <f>HYPERLINK("http://www.worldcat.org/oclc/4277891","WorldCat Record")</f>
        <v>WorldCat Record</v>
      </c>
      <c r="AW566" s="2" t="s">
        <v>7219</v>
      </c>
      <c r="AX566" s="2" t="s">
        <v>7220</v>
      </c>
      <c r="AY566" s="2" t="s">
        <v>7221</v>
      </c>
      <c r="AZ566" s="2" t="s">
        <v>7221</v>
      </c>
      <c r="BA566" s="2" t="s">
        <v>7222</v>
      </c>
      <c r="BB566" s="2" t="s">
        <v>79</v>
      </c>
      <c r="BE566" s="2" t="s">
        <v>7223</v>
      </c>
      <c r="BF566" s="2" t="s">
        <v>7224</v>
      </c>
    </row>
    <row r="567" spans="1:58" ht="46.5" customHeight="1">
      <c r="A567" s="1"/>
      <c r="B567" s="1" t="s">
        <v>58</v>
      </c>
      <c r="C567" s="1" t="s">
        <v>59</v>
      </c>
      <c r="D567" s="1" t="s">
        <v>7225</v>
      </c>
      <c r="E567" s="1" t="s">
        <v>7226</v>
      </c>
      <c r="F567" s="1" t="s">
        <v>7227</v>
      </c>
      <c r="G567" s="2" t="s">
        <v>7228</v>
      </c>
      <c r="H567" s="2" t="s">
        <v>92</v>
      </c>
      <c r="I567" s="2" t="s">
        <v>64</v>
      </c>
      <c r="J567" s="2" t="s">
        <v>63</v>
      </c>
      <c r="K567" s="2" t="s">
        <v>63</v>
      </c>
      <c r="L567" s="2" t="s">
        <v>65</v>
      </c>
      <c r="N567" s="1" t="s">
        <v>7229</v>
      </c>
      <c r="O567" s="2" t="s">
        <v>292</v>
      </c>
      <c r="Q567" s="2" t="s">
        <v>70</v>
      </c>
      <c r="R567" s="2" t="s">
        <v>1364</v>
      </c>
      <c r="T567" s="2" t="s">
        <v>72</v>
      </c>
      <c r="U567" s="3">
        <v>0</v>
      </c>
      <c r="V567" s="3">
        <v>6</v>
      </c>
      <c r="X567" s="4" t="s">
        <v>7230</v>
      </c>
      <c r="Y567" s="4" t="s">
        <v>7231</v>
      </c>
      <c r="Z567" s="4" t="s">
        <v>7231</v>
      </c>
      <c r="AA567" s="3">
        <v>13</v>
      </c>
      <c r="AB567" s="3">
        <v>13</v>
      </c>
      <c r="AC567" s="3">
        <v>13</v>
      </c>
      <c r="AD567" s="3">
        <v>1</v>
      </c>
      <c r="AE567" s="3">
        <v>1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2" t="s">
        <v>63</v>
      </c>
      <c r="AS567" s="2" t="s">
        <v>63</v>
      </c>
      <c r="AU567" s="5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V567" s="5" t="str">
        <f>HYPERLINK("http://www.worldcat.org/oclc/21793065","WorldCat Record")</f>
        <v>WorldCat Record</v>
      </c>
      <c r="AW567" s="2" t="s">
        <v>7232</v>
      </c>
      <c r="AX567" s="2" t="s">
        <v>7233</v>
      </c>
      <c r="AY567" s="2" t="s">
        <v>7234</v>
      </c>
      <c r="AZ567" s="2" t="s">
        <v>7234</v>
      </c>
      <c r="BA567" s="2" t="s">
        <v>7235</v>
      </c>
      <c r="BB567" s="2" t="s">
        <v>79</v>
      </c>
      <c r="BE567" s="2" t="s">
        <v>7236</v>
      </c>
      <c r="BF567" s="2" t="s">
        <v>7237</v>
      </c>
    </row>
    <row r="568" spans="1:58" ht="46.5" customHeight="1">
      <c r="A568" s="1"/>
      <c r="B568" s="1" t="s">
        <v>58</v>
      </c>
      <c r="C568" s="1" t="s">
        <v>59</v>
      </c>
      <c r="D568" s="1" t="s">
        <v>7225</v>
      </c>
      <c r="E568" s="1" t="s">
        <v>7226</v>
      </c>
      <c r="F568" s="1" t="s">
        <v>7227</v>
      </c>
      <c r="G568" s="2" t="s">
        <v>2264</v>
      </c>
      <c r="H568" s="2" t="s">
        <v>92</v>
      </c>
      <c r="I568" s="2" t="s">
        <v>64</v>
      </c>
      <c r="J568" s="2" t="s">
        <v>63</v>
      </c>
      <c r="K568" s="2" t="s">
        <v>63</v>
      </c>
      <c r="L568" s="2" t="s">
        <v>65</v>
      </c>
      <c r="N568" s="1" t="s">
        <v>7229</v>
      </c>
      <c r="O568" s="2" t="s">
        <v>292</v>
      </c>
      <c r="Q568" s="2" t="s">
        <v>70</v>
      </c>
      <c r="R568" s="2" t="s">
        <v>1364</v>
      </c>
      <c r="T568" s="2" t="s">
        <v>72</v>
      </c>
      <c r="U568" s="3">
        <v>1</v>
      </c>
      <c r="V568" s="3">
        <v>6</v>
      </c>
      <c r="W568" s="4" t="s">
        <v>7230</v>
      </c>
      <c r="X568" s="4" t="s">
        <v>7230</v>
      </c>
      <c r="Y568" s="4" t="s">
        <v>7230</v>
      </c>
      <c r="Z568" s="4" t="s">
        <v>7231</v>
      </c>
      <c r="AA568" s="3">
        <v>13</v>
      </c>
      <c r="AB568" s="3">
        <v>13</v>
      </c>
      <c r="AC568" s="3">
        <v>13</v>
      </c>
      <c r="AD568" s="3">
        <v>1</v>
      </c>
      <c r="AE568" s="3">
        <v>1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2" t="s">
        <v>63</v>
      </c>
      <c r="AS568" s="2" t="s">
        <v>63</v>
      </c>
      <c r="AU568" s="5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V568" s="5" t="str">
        <f>HYPERLINK("http://www.worldcat.org/oclc/21793065","WorldCat Record")</f>
        <v>WorldCat Record</v>
      </c>
      <c r="AW568" s="2" t="s">
        <v>7232</v>
      </c>
      <c r="AX568" s="2" t="s">
        <v>7233</v>
      </c>
      <c r="AY568" s="2" t="s">
        <v>7234</v>
      </c>
      <c r="AZ568" s="2" t="s">
        <v>7234</v>
      </c>
      <c r="BA568" s="2" t="s">
        <v>7235</v>
      </c>
      <c r="BB568" s="2" t="s">
        <v>79</v>
      </c>
      <c r="BE568" s="2" t="s">
        <v>7238</v>
      </c>
      <c r="BF568" s="2" t="s">
        <v>7239</v>
      </c>
    </row>
    <row r="569" spans="1:58" ht="46.5" customHeight="1">
      <c r="A569" s="1"/>
      <c r="B569" s="1" t="s">
        <v>58</v>
      </c>
      <c r="C569" s="1" t="s">
        <v>59</v>
      </c>
      <c r="D569" s="1" t="s">
        <v>7225</v>
      </c>
      <c r="E569" s="1" t="s">
        <v>7226</v>
      </c>
      <c r="F569" s="1" t="s">
        <v>7227</v>
      </c>
      <c r="G569" s="2" t="s">
        <v>1552</v>
      </c>
      <c r="H569" s="2" t="s">
        <v>92</v>
      </c>
      <c r="I569" s="2" t="s">
        <v>64</v>
      </c>
      <c r="J569" s="2" t="s">
        <v>63</v>
      </c>
      <c r="K569" s="2" t="s">
        <v>63</v>
      </c>
      <c r="L569" s="2" t="s">
        <v>65</v>
      </c>
      <c r="N569" s="1" t="s">
        <v>7229</v>
      </c>
      <c r="O569" s="2" t="s">
        <v>292</v>
      </c>
      <c r="Q569" s="2" t="s">
        <v>70</v>
      </c>
      <c r="R569" s="2" t="s">
        <v>1364</v>
      </c>
      <c r="T569" s="2" t="s">
        <v>72</v>
      </c>
      <c r="U569" s="3">
        <v>2</v>
      </c>
      <c r="V569" s="3">
        <v>6</v>
      </c>
      <c r="W569" s="4" t="s">
        <v>7230</v>
      </c>
      <c r="X569" s="4" t="s">
        <v>7230</v>
      </c>
      <c r="Y569" s="4" t="s">
        <v>7230</v>
      </c>
      <c r="Z569" s="4" t="s">
        <v>7231</v>
      </c>
      <c r="AA569" s="3">
        <v>13</v>
      </c>
      <c r="AB569" s="3">
        <v>13</v>
      </c>
      <c r="AC569" s="3">
        <v>13</v>
      </c>
      <c r="AD569" s="3">
        <v>1</v>
      </c>
      <c r="AE569" s="3">
        <v>1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2" t="s">
        <v>63</v>
      </c>
      <c r="AS569" s="2" t="s">
        <v>63</v>
      </c>
      <c r="AU569" s="5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V569" s="5" t="str">
        <f>HYPERLINK("http://www.worldcat.org/oclc/21793065","WorldCat Record")</f>
        <v>WorldCat Record</v>
      </c>
      <c r="AW569" s="2" t="s">
        <v>7232</v>
      </c>
      <c r="AX569" s="2" t="s">
        <v>7233</v>
      </c>
      <c r="AY569" s="2" t="s">
        <v>7234</v>
      </c>
      <c r="AZ569" s="2" t="s">
        <v>7234</v>
      </c>
      <c r="BA569" s="2" t="s">
        <v>7235</v>
      </c>
      <c r="BB569" s="2" t="s">
        <v>79</v>
      </c>
      <c r="BE569" s="2" t="s">
        <v>7240</v>
      </c>
      <c r="BF569" s="2" t="s">
        <v>7241</v>
      </c>
    </row>
    <row r="570" spans="1:58" ht="46.5" customHeight="1">
      <c r="A570" s="1"/>
      <c r="B570" s="1" t="s">
        <v>58</v>
      </c>
      <c r="C570" s="1" t="s">
        <v>59</v>
      </c>
      <c r="D570" s="1" t="s">
        <v>7225</v>
      </c>
      <c r="E570" s="1" t="s">
        <v>7226</v>
      </c>
      <c r="F570" s="1" t="s">
        <v>7227</v>
      </c>
      <c r="G570" s="2" t="s">
        <v>1538</v>
      </c>
      <c r="H570" s="2" t="s">
        <v>92</v>
      </c>
      <c r="I570" s="2" t="s">
        <v>64</v>
      </c>
      <c r="J570" s="2" t="s">
        <v>63</v>
      </c>
      <c r="K570" s="2" t="s">
        <v>63</v>
      </c>
      <c r="L570" s="2" t="s">
        <v>65</v>
      </c>
      <c r="N570" s="1" t="s">
        <v>7229</v>
      </c>
      <c r="O570" s="2" t="s">
        <v>292</v>
      </c>
      <c r="Q570" s="2" t="s">
        <v>70</v>
      </c>
      <c r="R570" s="2" t="s">
        <v>1364</v>
      </c>
      <c r="T570" s="2" t="s">
        <v>72</v>
      </c>
      <c r="U570" s="3">
        <v>2</v>
      </c>
      <c r="V570" s="3">
        <v>6</v>
      </c>
      <c r="W570" s="4" t="s">
        <v>7230</v>
      </c>
      <c r="X570" s="4" t="s">
        <v>7230</v>
      </c>
      <c r="Y570" s="4" t="s">
        <v>7242</v>
      </c>
      <c r="Z570" s="4" t="s">
        <v>7231</v>
      </c>
      <c r="AA570" s="3">
        <v>13</v>
      </c>
      <c r="AB570" s="3">
        <v>13</v>
      </c>
      <c r="AC570" s="3">
        <v>13</v>
      </c>
      <c r="AD570" s="3">
        <v>1</v>
      </c>
      <c r="AE570" s="3">
        <v>1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2" t="s">
        <v>63</v>
      </c>
      <c r="AS570" s="2" t="s">
        <v>63</v>
      </c>
      <c r="AU570" s="5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V570" s="5" t="str">
        <f>HYPERLINK("http://www.worldcat.org/oclc/21793065","WorldCat Record")</f>
        <v>WorldCat Record</v>
      </c>
      <c r="AW570" s="2" t="s">
        <v>7232</v>
      </c>
      <c r="AX570" s="2" t="s">
        <v>7233</v>
      </c>
      <c r="AY570" s="2" t="s">
        <v>7234</v>
      </c>
      <c r="AZ570" s="2" t="s">
        <v>7234</v>
      </c>
      <c r="BA570" s="2" t="s">
        <v>7235</v>
      </c>
      <c r="BB570" s="2" t="s">
        <v>79</v>
      </c>
      <c r="BE570" s="2" t="s">
        <v>7243</v>
      </c>
      <c r="BF570" s="2" t="s">
        <v>7244</v>
      </c>
    </row>
    <row r="571" spans="1:58" ht="46.5" customHeight="1">
      <c r="A571" s="1"/>
      <c r="B571" s="1" t="s">
        <v>58</v>
      </c>
      <c r="C571" s="1" t="s">
        <v>59</v>
      </c>
      <c r="D571" s="1" t="s">
        <v>7225</v>
      </c>
      <c r="E571" s="1" t="s">
        <v>7226</v>
      </c>
      <c r="F571" s="1" t="s">
        <v>7227</v>
      </c>
      <c r="G571" s="2" t="s">
        <v>7245</v>
      </c>
      <c r="H571" s="2" t="s">
        <v>92</v>
      </c>
      <c r="I571" s="2" t="s">
        <v>64</v>
      </c>
      <c r="J571" s="2" t="s">
        <v>63</v>
      </c>
      <c r="K571" s="2" t="s">
        <v>63</v>
      </c>
      <c r="L571" s="2" t="s">
        <v>65</v>
      </c>
      <c r="N571" s="1" t="s">
        <v>7229</v>
      </c>
      <c r="O571" s="2" t="s">
        <v>292</v>
      </c>
      <c r="Q571" s="2" t="s">
        <v>70</v>
      </c>
      <c r="R571" s="2" t="s">
        <v>1364</v>
      </c>
      <c r="T571" s="2" t="s">
        <v>72</v>
      </c>
      <c r="U571" s="3">
        <v>1</v>
      </c>
      <c r="V571" s="3">
        <v>6</v>
      </c>
      <c r="W571" s="4" t="s">
        <v>7230</v>
      </c>
      <c r="X571" s="4" t="s">
        <v>7230</v>
      </c>
      <c r="Y571" s="4" t="s">
        <v>7230</v>
      </c>
      <c r="Z571" s="4" t="s">
        <v>7231</v>
      </c>
      <c r="AA571" s="3">
        <v>13</v>
      </c>
      <c r="AB571" s="3">
        <v>13</v>
      </c>
      <c r="AC571" s="3">
        <v>13</v>
      </c>
      <c r="AD571" s="3">
        <v>1</v>
      </c>
      <c r="AE571" s="3">
        <v>1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2" t="s">
        <v>63</v>
      </c>
      <c r="AS571" s="2" t="s">
        <v>63</v>
      </c>
      <c r="AU571" s="5" t="str">
        <f>HYPERLINK("https://creighton-primo.hosted.exlibrisgroup.com/primo-explore/search?tab=default_tab&amp;search_scope=EVERYTHING&amp;vid=01CRU&amp;lang=en_US&amp;offset=0&amp;query=any,contains,991001231689702656","Catalog Record")</f>
        <v>Catalog Record</v>
      </c>
      <c r="AV571" s="5" t="str">
        <f>HYPERLINK("http://www.worldcat.org/oclc/21793065","WorldCat Record")</f>
        <v>WorldCat Record</v>
      </c>
      <c r="AW571" s="2" t="s">
        <v>7232</v>
      </c>
      <c r="AX571" s="2" t="s">
        <v>7233</v>
      </c>
      <c r="AY571" s="2" t="s">
        <v>7234</v>
      </c>
      <c r="AZ571" s="2" t="s">
        <v>7234</v>
      </c>
      <c r="BA571" s="2" t="s">
        <v>7235</v>
      </c>
      <c r="BB571" s="2" t="s">
        <v>79</v>
      </c>
      <c r="BE571" s="2" t="s">
        <v>7246</v>
      </c>
      <c r="BF571" s="2" t="s">
        <v>7247</v>
      </c>
    </row>
    <row r="572" spans="1:58" ht="46.5" customHeight="1">
      <c r="A572" s="1"/>
      <c r="B572" s="1" t="s">
        <v>58</v>
      </c>
      <c r="C572" s="1" t="s">
        <v>59</v>
      </c>
      <c r="D572" s="1" t="s">
        <v>7248</v>
      </c>
      <c r="E572" s="1" t="s">
        <v>7249</v>
      </c>
      <c r="F572" s="1" t="s">
        <v>7250</v>
      </c>
      <c r="H572" s="2" t="s">
        <v>63</v>
      </c>
      <c r="I572" s="2" t="s">
        <v>64</v>
      </c>
      <c r="J572" s="2" t="s">
        <v>63</v>
      </c>
      <c r="K572" s="2" t="s">
        <v>63</v>
      </c>
      <c r="L572" s="2" t="s">
        <v>65</v>
      </c>
      <c r="N572" s="1" t="s">
        <v>7251</v>
      </c>
      <c r="O572" s="2" t="s">
        <v>198</v>
      </c>
      <c r="Q572" s="2" t="s">
        <v>70</v>
      </c>
      <c r="R572" s="2" t="s">
        <v>470</v>
      </c>
      <c r="T572" s="2" t="s">
        <v>72</v>
      </c>
      <c r="U572" s="3">
        <v>1</v>
      </c>
      <c r="V572" s="3">
        <v>1</v>
      </c>
      <c r="W572" s="4" t="s">
        <v>5957</v>
      </c>
      <c r="X572" s="4" t="s">
        <v>5957</v>
      </c>
      <c r="Y572" s="4" t="s">
        <v>5957</v>
      </c>
      <c r="Z572" s="4" t="s">
        <v>5957</v>
      </c>
      <c r="AA572" s="3">
        <v>71</v>
      </c>
      <c r="AB572" s="3">
        <v>69</v>
      </c>
      <c r="AC572" s="3">
        <v>73</v>
      </c>
      <c r="AD572" s="3">
        <v>1</v>
      </c>
      <c r="AE572" s="3">
        <v>1</v>
      </c>
      <c r="AF572" s="3">
        <v>4</v>
      </c>
      <c r="AG572" s="3">
        <v>4</v>
      </c>
      <c r="AH572" s="3">
        <v>2</v>
      </c>
      <c r="AI572" s="3">
        <v>2</v>
      </c>
      <c r="AJ572" s="3">
        <v>2</v>
      </c>
      <c r="AK572" s="3">
        <v>2</v>
      </c>
      <c r="AL572" s="3">
        <v>1</v>
      </c>
      <c r="AM572" s="3">
        <v>1</v>
      </c>
      <c r="AN572" s="3">
        <v>0</v>
      </c>
      <c r="AO572" s="3">
        <v>0</v>
      </c>
      <c r="AP572" s="3">
        <v>0</v>
      </c>
      <c r="AQ572" s="3">
        <v>0</v>
      </c>
      <c r="AR572" s="2" t="s">
        <v>63</v>
      </c>
      <c r="AS572" s="2" t="s">
        <v>63</v>
      </c>
      <c r="AU572" s="5" t="str">
        <f>HYPERLINK("https://creighton-primo.hosted.exlibrisgroup.com/primo-explore/search?tab=default_tab&amp;search_scope=EVERYTHING&amp;vid=01CRU&amp;lang=en_US&amp;offset=0&amp;query=any,contains,991000943739702656","Catalog Record")</f>
        <v>Catalog Record</v>
      </c>
      <c r="AV572" s="5" t="str">
        <f>HYPERLINK("http://www.worldcat.org/oclc/23961660","WorldCat Record")</f>
        <v>WorldCat Record</v>
      </c>
      <c r="AW572" s="2" t="s">
        <v>7252</v>
      </c>
      <c r="AX572" s="2" t="s">
        <v>7253</v>
      </c>
      <c r="AY572" s="2" t="s">
        <v>7254</v>
      </c>
      <c r="AZ572" s="2" t="s">
        <v>7254</v>
      </c>
      <c r="BA572" s="2" t="s">
        <v>7255</v>
      </c>
      <c r="BB572" s="2" t="s">
        <v>79</v>
      </c>
      <c r="BE572" s="2" t="s">
        <v>7256</v>
      </c>
      <c r="BF572" s="2" t="s">
        <v>7257</v>
      </c>
    </row>
    <row r="573" spans="1:58" ht="46.5" customHeight="1">
      <c r="A573" s="1"/>
      <c r="B573" s="1" t="s">
        <v>58</v>
      </c>
      <c r="C573" s="1" t="s">
        <v>59</v>
      </c>
      <c r="D573" s="1" t="s">
        <v>7258</v>
      </c>
      <c r="E573" s="1" t="s">
        <v>7259</v>
      </c>
      <c r="F573" s="1" t="s">
        <v>7260</v>
      </c>
      <c r="H573" s="2" t="s">
        <v>63</v>
      </c>
      <c r="I573" s="2" t="s">
        <v>64</v>
      </c>
      <c r="J573" s="2" t="s">
        <v>63</v>
      </c>
      <c r="K573" s="2" t="s">
        <v>63</v>
      </c>
      <c r="L573" s="2" t="s">
        <v>65</v>
      </c>
      <c r="N573" s="1" t="s">
        <v>7261</v>
      </c>
      <c r="O573" s="2" t="s">
        <v>1600</v>
      </c>
      <c r="P573" s="1" t="s">
        <v>376</v>
      </c>
      <c r="Q573" s="2" t="s">
        <v>70</v>
      </c>
      <c r="R573" s="2" t="s">
        <v>892</v>
      </c>
      <c r="T573" s="2" t="s">
        <v>72</v>
      </c>
      <c r="U573" s="3">
        <v>0</v>
      </c>
      <c r="V573" s="3">
        <v>0</v>
      </c>
      <c r="W573" s="4" t="s">
        <v>3794</v>
      </c>
      <c r="X573" s="4" t="s">
        <v>3794</v>
      </c>
      <c r="Y573" s="4" t="s">
        <v>7099</v>
      </c>
      <c r="Z573" s="4" t="s">
        <v>7099</v>
      </c>
      <c r="AA573" s="3">
        <v>29</v>
      </c>
      <c r="AB573" s="3">
        <v>17</v>
      </c>
      <c r="AC573" s="3">
        <v>215</v>
      </c>
      <c r="AD573" s="3">
        <v>1</v>
      </c>
      <c r="AE573" s="3">
        <v>2</v>
      </c>
      <c r="AF573" s="3">
        <v>0</v>
      </c>
      <c r="AG573" s="3">
        <v>3</v>
      </c>
      <c r="AH573" s="3">
        <v>0</v>
      </c>
      <c r="AI573" s="3">
        <v>1</v>
      </c>
      <c r="AJ573" s="3">
        <v>0</v>
      </c>
      <c r="AK573" s="3">
        <v>2</v>
      </c>
      <c r="AL573" s="3">
        <v>0</v>
      </c>
      <c r="AM573" s="3">
        <v>1</v>
      </c>
      <c r="AN573" s="3">
        <v>0</v>
      </c>
      <c r="AO573" s="3">
        <v>0</v>
      </c>
      <c r="AP573" s="3">
        <v>0</v>
      </c>
      <c r="AQ573" s="3">
        <v>0</v>
      </c>
      <c r="AR573" s="2" t="s">
        <v>63</v>
      </c>
      <c r="AS573" s="2" t="s">
        <v>92</v>
      </c>
      <c r="AT573" s="5" t="str">
        <f>HYPERLINK("http://catalog.hathitrust.org/Record/009863575","HathiTrust Record")</f>
        <v>HathiTrust Record</v>
      </c>
      <c r="AU573" s="5" t="str">
        <f>HYPERLINK("https://creighton-primo.hosted.exlibrisgroup.com/primo-explore/search?tab=default_tab&amp;search_scope=EVERYTHING&amp;vid=01CRU&amp;lang=en_US&amp;offset=0&amp;query=any,contains,991000990659702656","Catalog Record")</f>
        <v>Catalog Record</v>
      </c>
      <c r="AV573" s="5" t="str">
        <f>HYPERLINK("http://www.worldcat.org/oclc/17540175","WorldCat Record")</f>
        <v>WorldCat Record</v>
      </c>
      <c r="AW573" s="2" t="s">
        <v>7262</v>
      </c>
      <c r="AX573" s="2" t="s">
        <v>7263</v>
      </c>
      <c r="AY573" s="2" t="s">
        <v>7264</v>
      </c>
      <c r="AZ573" s="2" t="s">
        <v>7264</v>
      </c>
      <c r="BA573" s="2" t="s">
        <v>7265</v>
      </c>
      <c r="BB573" s="2" t="s">
        <v>79</v>
      </c>
      <c r="BE573" s="2" t="s">
        <v>7266</v>
      </c>
      <c r="BF573" s="2" t="s">
        <v>7267</v>
      </c>
    </row>
    <row r="574" spans="1:58" ht="46.5" customHeight="1">
      <c r="A574" s="1"/>
      <c r="B574" s="1" t="s">
        <v>58</v>
      </c>
      <c r="C574" s="1" t="s">
        <v>59</v>
      </c>
      <c r="D574" s="1" t="s">
        <v>7258</v>
      </c>
      <c r="E574" s="1" t="s">
        <v>7259</v>
      </c>
      <c r="F574" s="1" t="s">
        <v>7268</v>
      </c>
      <c r="H574" s="2" t="s">
        <v>63</v>
      </c>
      <c r="I574" s="2" t="s">
        <v>64</v>
      </c>
      <c r="J574" s="2" t="s">
        <v>63</v>
      </c>
      <c r="K574" s="2" t="s">
        <v>92</v>
      </c>
      <c r="L574" s="2" t="s">
        <v>65</v>
      </c>
      <c r="M574" s="1" t="s">
        <v>7269</v>
      </c>
      <c r="N574" s="1" t="s">
        <v>7270</v>
      </c>
      <c r="O574" s="2" t="s">
        <v>1856</v>
      </c>
      <c r="P574" s="1" t="s">
        <v>230</v>
      </c>
      <c r="Q574" s="2" t="s">
        <v>70</v>
      </c>
      <c r="R574" s="2" t="s">
        <v>892</v>
      </c>
      <c r="T574" s="2" t="s">
        <v>72</v>
      </c>
      <c r="U574" s="3">
        <v>1</v>
      </c>
      <c r="V574" s="3">
        <v>1</v>
      </c>
      <c r="W574" s="4" t="s">
        <v>3794</v>
      </c>
      <c r="X574" s="4" t="s">
        <v>3794</v>
      </c>
      <c r="Y574" s="4" t="s">
        <v>2525</v>
      </c>
      <c r="Z574" s="4" t="s">
        <v>2525</v>
      </c>
      <c r="AA574" s="3">
        <v>128</v>
      </c>
      <c r="AB574" s="3">
        <v>96</v>
      </c>
      <c r="AC574" s="3">
        <v>185</v>
      </c>
      <c r="AD574" s="3">
        <v>1</v>
      </c>
      <c r="AE574" s="3">
        <v>1</v>
      </c>
      <c r="AF574" s="3">
        <v>1</v>
      </c>
      <c r="AG574" s="3">
        <v>3</v>
      </c>
      <c r="AH574" s="3">
        <v>1</v>
      </c>
      <c r="AI574" s="3">
        <v>1</v>
      </c>
      <c r="AJ574" s="3">
        <v>0</v>
      </c>
      <c r="AK574" s="3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1</v>
      </c>
      <c r="AR574" s="2" t="s">
        <v>63</v>
      </c>
      <c r="AS574" s="2" t="s">
        <v>63</v>
      </c>
      <c r="AU574" s="5" t="str">
        <f>HYPERLINK("https://creighton-primo.hosted.exlibrisgroup.com/primo-explore/search?tab=default_tab&amp;search_scope=EVERYTHING&amp;vid=01CRU&amp;lang=en_US&amp;offset=0&amp;query=any,contains,991001432409702656","Catalog Record")</f>
        <v>Catalog Record</v>
      </c>
      <c r="AV574" s="5" t="str">
        <f>HYPERLINK("http://www.worldcat.org/oclc/16481943","WorldCat Record")</f>
        <v>WorldCat Record</v>
      </c>
      <c r="AW574" s="2" t="s">
        <v>7271</v>
      </c>
      <c r="AX574" s="2" t="s">
        <v>7272</v>
      </c>
      <c r="AY574" s="2" t="s">
        <v>7273</v>
      </c>
      <c r="AZ574" s="2" t="s">
        <v>7273</v>
      </c>
      <c r="BA574" s="2" t="s">
        <v>7274</v>
      </c>
      <c r="BB574" s="2" t="s">
        <v>79</v>
      </c>
      <c r="BD574" s="2" t="s">
        <v>7275</v>
      </c>
      <c r="BE574" s="2" t="s">
        <v>7276</v>
      </c>
      <c r="BF574" s="2" t="s">
        <v>7277</v>
      </c>
    </row>
    <row r="575" spans="1:58" ht="46.5" customHeight="1">
      <c r="A575" s="1"/>
      <c r="B575" s="1" t="s">
        <v>58</v>
      </c>
      <c r="C575" s="1" t="s">
        <v>59</v>
      </c>
      <c r="D575" s="1" t="s">
        <v>7258</v>
      </c>
      <c r="E575" s="1" t="s">
        <v>7259</v>
      </c>
      <c r="F575" s="1" t="s">
        <v>7268</v>
      </c>
      <c r="H575" s="2" t="s">
        <v>63</v>
      </c>
      <c r="I575" s="2" t="s">
        <v>64</v>
      </c>
      <c r="J575" s="2" t="s">
        <v>63</v>
      </c>
      <c r="K575" s="2" t="s">
        <v>92</v>
      </c>
      <c r="L575" s="2" t="s">
        <v>65</v>
      </c>
      <c r="M575" s="1" t="s">
        <v>7269</v>
      </c>
      <c r="N575" s="1" t="s">
        <v>7278</v>
      </c>
      <c r="O575" s="2" t="s">
        <v>1031</v>
      </c>
      <c r="P575" s="1" t="s">
        <v>259</v>
      </c>
      <c r="Q575" s="2" t="s">
        <v>70</v>
      </c>
      <c r="R575" s="2" t="s">
        <v>555</v>
      </c>
      <c r="T575" s="2" t="s">
        <v>72</v>
      </c>
      <c r="U575" s="3">
        <v>1</v>
      </c>
      <c r="V575" s="3">
        <v>1</v>
      </c>
      <c r="W575" s="4" t="s">
        <v>3794</v>
      </c>
      <c r="X575" s="4" t="s">
        <v>3794</v>
      </c>
      <c r="Y575" s="4" t="s">
        <v>7279</v>
      </c>
      <c r="Z575" s="4" t="s">
        <v>7279</v>
      </c>
      <c r="AA575" s="3">
        <v>140</v>
      </c>
      <c r="AB575" s="3">
        <v>111</v>
      </c>
      <c r="AC575" s="3">
        <v>185</v>
      </c>
      <c r="AD575" s="3">
        <v>1</v>
      </c>
      <c r="AE575" s="3">
        <v>1</v>
      </c>
      <c r="AF575" s="3">
        <v>2</v>
      </c>
      <c r="AG575" s="3">
        <v>3</v>
      </c>
      <c r="AH575" s="3">
        <v>0</v>
      </c>
      <c r="AI575" s="3">
        <v>1</v>
      </c>
      <c r="AJ575" s="3">
        <v>1</v>
      </c>
      <c r="AK575" s="3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1</v>
      </c>
      <c r="AQ575" s="3">
        <v>1</v>
      </c>
      <c r="AR575" s="2" t="s">
        <v>63</v>
      </c>
      <c r="AS575" s="2" t="s">
        <v>63</v>
      </c>
      <c r="AU575" s="5" t="str">
        <f>HYPERLINK("https://creighton-primo.hosted.exlibrisgroup.com/primo-explore/search?tab=default_tab&amp;search_scope=EVERYTHING&amp;vid=01CRU&amp;lang=en_US&amp;offset=0&amp;query=any,contains,991000990859702656","Catalog Record")</f>
        <v>Catalog Record</v>
      </c>
      <c r="AV575" s="5" t="str">
        <f>HYPERLINK("http://www.worldcat.org/oclc/2926123","WorldCat Record")</f>
        <v>WorldCat Record</v>
      </c>
      <c r="AW575" s="2" t="s">
        <v>7271</v>
      </c>
      <c r="AX575" s="2" t="s">
        <v>7280</v>
      </c>
      <c r="AY575" s="2" t="s">
        <v>7281</v>
      </c>
      <c r="AZ575" s="2" t="s">
        <v>7281</v>
      </c>
      <c r="BA575" s="2" t="s">
        <v>7282</v>
      </c>
      <c r="BB575" s="2" t="s">
        <v>79</v>
      </c>
      <c r="BD575" s="2" t="s">
        <v>7283</v>
      </c>
      <c r="BE575" s="2" t="s">
        <v>7284</v>
      </c>
      <c r="BF575" s="2" t="s">
        <v>7285</v>
      </c>
    </row>
    <row r="576" spans="1:58" ht="46.5" customHeight="1">
      <c r="A576" s="1"/>
      <c r="B576" s="1" t="s">
        <v>58</v>
      </c>
      <c r="C576" s="1" t="s">
        <v>59</v>
      </c>
      <c r="D576" s="1" t="s">
        <v>7286</v>
      </c>
      <c r="E576" s="1" t="s">
        <v>7287</v>
      </c>
      <c r="F576" s="1" t="s">
        <v>7288</v>
      </c>
      <c r="H576" s="2" t="s">
        <v>63</v>
      </c>
      <c r="I576" s="2" t="s">
        <v>64</v>
      </c>
      <c r="J576" s="2" t="s">
        <v>63</v>
      </c>
      <c r="K576" s="2" t="s">
        <v>63</v>
      </c>
      <c r="L576" s="2" t="s">
        <v>65</v>
      </c>
      <c r="M576" s="1" t="s">
        <v>7289</v>
      </c>
      <c r="N576" s="1" t="s">
        <v>7290</v>
      </c>
      <c r="O576" s="2" t="s">
        <v>307</v>
      </c>
      <c r="P576" s="1" t="s">
        <v>7291</v>
      </c>
      <c r="Q576" s="2" t="s">
        <v>70</v>
      </c>
      <c r="R576" s="2" t="s">
        <v>892</v>
      </c>
      <c r="T576" s="2" t="s">
        <v>72</v>
      </c>
      <c r="U576" s="3">
        <v>14</v>
      </c>
      <c r="V576" s="3">
        <v>14</v>
      </c>
      <c r="W576" s="4" t="s">
        <v>3794</v>
      </c>
      <c r="X576" s="4" t="s">
        <v>3794</v>
      </c>
      <c r="Y576" s="4" t="s">
        <v>6176</v>
      </c>
      <c r="Z576" s="4" t="s">
        <v>6176</v>
      </c>
      <c r="AA576" s="3">
        <v>148</v>
      </c>
      <c r="AB576" s="3">
        <v>121</v>
      </c>
      <c r="AC576" s="3">
        <v>153</v>
      </c>
      <c r="AD576" s="3">
        <v>1</v>
      </c>
      <c r="AE576" s="3">
        <v>1</v>
      </c>
      <c r="AF576" s="3">
        <v>2</v>
      </c>
      <c r="AG576" s="3">
        <v>2</v>
      </c>
      <c r="AH576" s="3">
        <v>0</v>
      </c>
      <c r="AI576" s="3">
        <v>0</v>
      </c>
      <c r="AJ576" s="3">
        <v>1</v>
      </c>
      <c r="AK576" s="3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1</v>
      </c>
      <c r="AQ576" s="3">
        <v>1</v>
      </c>
      <c r="AR576" s="2" t="s">
        <v>63</v>
      </c>
      <c r="AS576" s="2" t="s">
        <v>63</v>
      </c>
      <c r="AU576" s="5" t="str">
        <f>HYPERLINK("https://creighton-primo.hosted.exlibrisgroup.com/primo-explore/search?tab=default_tab&amp;search_scope=EVERYTHING&amp;vid=01CRU&amp;lang=en_US&amp;offset=0&amp;query=any,contains,991001282119702656","Catalog Record")</f>
        <v>Catalog Record</v>
      </c>
      <c r="AV576" s="5" t="str">
        <f>HYPERLINK("http://www.worldcat.org/oclc/14280121","WorldCat Record")</f>
        <v>WorldCat Record</v>
      </c>
      <c r="AW576" s="2" t="s">
        <v>7292</v>
      </c>
      <c r="AX576" s="2" t="s">
        <v>7293</v>
      </c>
      <c r="AY576" s="2" t="s">
        <v>7294</v>
      </c>
      <c r="AZ576" s="2" t="s">
        <v>7294</v>
      </c>
      <c r="BA576" s="2" t="s">
        <v>7295</v>
      </c>
      <c r="BB576" s="2" t="s">
        <v>79</v>
      </c>
      <c r="BD576" s="2" t="s">
        <v>7296</v>
      </c>
      <c r="BE576" s="2" t="s">
        <v>7297</v>
      </c>
      <c r="BF576" s="2" t="s">
        <v>7298</v>
      </c>
    </row>
    <row r="577" spans="1:58" ht="46.5" customHeight="1">
      <c r="A577" s="1"/>
      <c r="B577" s="1" t="s">
        <v>58</v>
      </c>
      <c r="C577" s="1" t="s">
        <v>59</v>
      </c>
      <c r="D577" s="1" t="s">
        <v>7299</v>
      </c>
      <c r="E577" s="1" t="s">
        <v>7300</v>
      </c>
      <c r="F577" s="1" t="s">
        <v>7301</v>
      </c>
      <c r="H577" s="2" t="s">
        <v>63</v>
      </c>
      <c r="I577" s="2" t="s">
        <v>64</v>
      </c>
      <c r="J577" s="2" t="s">
        <v>63</v>
      </c>
      <c r="K577" s="2" t="s">
        <v>63</v>
      </c>
      <c r="L577" s="2" t="s">
        <v>65</v>
      </c>
      <c r="N577" s="1" t="s">
        <v>7302</v>
      </c>
      <c r="O577" s="2" t="s">
        <v>87</v>
      </c>
      <c r="Q577" s="2" t="s">
        <v>70</v>
      </c>
      <c r="R577" s="2" t="s">
        <v>470</v>
      </c>
      <c r="T577" s="2" t="s">
        <v>72</v>
      </c>
      <c r="U577" s="3">
        <v>19</v>
      </c>
      <c r="V577" s="3">
        <v>19</v>
      </c>
      <c r="W577" s="4" t="s">
        <v>7303</v>
      </c>
      <c r="X577" s="4" t="s">
        <v>7303</v>
      </c>
      <c r="Y577" s="4" t="s">
        <v>7304</v>
      </c>
      <c r="Z577" s="4" t="s">
        <v>7304</v>
      </c>
      <c r="AA577" s="3">
        <v>42</v>
      </c>
      <c r="AB577" s="3">
        <v>40</v>
      </c>
      <c r="AC577" s="3">
        <v>40</v>
      </c>
      <c r="AD577" s="3">
        <v>1</v>
      </c>
      <c r="AE577" s="3">
        <v>1</v>
      </c>
      <c r="AF577" s="3">
        <v>1</v>
      </c>
      <c r="AG577" s="3">
        <v>1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1</v>
      </c>
      <c r="AQ577" s="3">
        <v>1</v>
      </c>
      <c r="AR577" s="2" t="s">
        <v>63</v>
      </c>
      <c r="AS577" s="2" t="s">
        <v>63</v>
      </c>
      <c r="AU577" s="5" t="str">
        <f>HYPERLINK("https://creighton-primo.hosted.exlibrisgroup.com/primo-explore/search?tab=default_tab&amp;search_scope=EVERYTHING&amp;vid=01CRU&amp;lang=en_US&amp;offset=0&amp;query=any,contains,991000748309702656","Catalog Record")</f>
        <v>Catalog Record</v>
      </c>
      <c r="AV577" s="5" t="str">
        <f>HYPERLINK("http://www.worldcat.org/oclc/15341455","WorldCat Record")</f>
        <v>WorldCat Record</v>
      </c>
      <c r="AW577" s="2" t="s">
        <v>7305</v>
      </c>
      <c r="AX577" s="2" t="s">
        <v>7306</v>
      </c>
      <c r="AY577" s="2" t="s">
        <v>7307</v>
      </c>
      <c r="AZ577" s="2" t="s">
        <v>7307</v>
      </c>
      <c r="BA577" s="2" t="s">
        <v>7308</v>
      </c>
      <c r="BB577" s="2" t="s">
        <v>79</v>
      </c>
      <c r="BD577" s="2" t="s">
        <v>7309</v>
      </c>
      <c r="BE577" s="2" t="s">
        <v>7310</v>
      </c>
      <c r="BF577" s="2" t="s">
        <v>7311</v>
      </c>
    </row>
    <row r="578" spans="1:58" ht="46.5" customHeight="1">
      <c r="A578" s="1"/>
      <c r="B578" s="1" t="s">
        <v>58</v>
      </c>
      <c r="C578" s="1" t="s">
        <v>59</v>
      </c>
      <c r="D578" s="1" t="s">
        <v>7312</v>
      </c>
      <c r="E578" s="1" t="s">
        <v>7313</v>
      </c>
      <c r="F578" s="1" t="s">
        <v>7314</v>
      </c>
      <c r="H578" s="2" t="s">
        <v>63</v>
      </c>
      <c r="I578" s="2" t="s">
        <v>64</v>
      </c>
      <c r="J578" s="2" t="s">
        <v>63</v>
      </c>
      <c r="K578" s="2" t="s">
        <v>63</v>
      </c>
      <c r="L578" s="2" t="s">
        <v>65</v>
      </c>
      <c r="M578" s="1" t="s">
        <v>7315</v>
      </c>
      <c r="N578" s="1" t="s">
        <v>7316</v>
      </c>
      <c r="O578" s="2" t="s">
        <v>4266</v>
      </c>
      <c r="Q578" s="2" t="s">
        <v>70</v>
      </c>
      <c r="R578" s="2" t="s">
        <v>691</v>
      </c>
      <c r="T578" s="2" t="s">
        <v>72</v>
      </c>
      <c r="U578" s="3">
        <v>2</v>
      </c>
      <c r="V578" s="3">
        <v>2</v>
      </c>
      <c r="W578" s="4" t="s">
        <v>7317</v>
      </c>
      <c r="X578" s="4" t="s">
        <v>7317</v>
      </c>
      <c r="Y578" s="4" t="s">
        <v>7318</v>
      </c>
      <c r="Z578" s="4" t="s">
        <v>7318</v>
      </c>
      <c r="AA578" s="3">
        <v>7</v>
      </c>
      <c r="AB578" s="3">
        <v>3</v>
      </c>
      <c r="AC578" s="3">
        <v>18</v>
      </c>
      <c r="AD578" s="3">
        <v>1</v>
      </c>
      <c r="AE578" s="3">
        <v>1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2" t="s">
        <v>63</v>
      </c>
      <c r="AS578" s="2" t="s">
        <v>63</v>
      </c>
      <c r="AU578" s="5" t="str">
        <f>HYPERLINK("https://creighton-primo.hosted.exlibrisgroup.com/primo-explore/search?tab=default_tab&amp;search_scope=EVERYTHING&amp;vid=01CRU&amp;lang=en_US&amp;offset=0&amp;query=any,contains,991001011139702656","Catalog Record")</f>
        <v>Catalog Record</v>
      </c>
      <c r="AV578" s="5" t="str">
        <f>HYPERLINK("http://www.worldcat.org/oclc/20699646","WorldCat Record")</f>
        <v>WorldCat Record</v>
      </c>
      <c r="AW578" s="2" t="s">
        <v>7319</v>
      </c>
      <c r="AX578" s="2" t="s">
        <v>7320</v>
      </c>
      <c r="AY578" s="2" t="s">
        <v>7321</v>
      </c>
      <c r="AZ578" s="2" t="s">
        <v>7321</v>
      </c>
      <c r="BA578" s="2" t="s">
        <v>7322</v>
      </c>
      <c r="BB578" s="2" t="s">
        <v>79</v>
      </c>
      <c r="BE578" s="2" t="s">
        <v>7323</v>
      </c>
      <c r="BF578" s="2" t="s">
        <v>7324</v>
      </c>
    </row>
    <row r="579" spans="1:58" ht="46.5" customHeight="1">
      <c r="A579" s="1"/>
      <c r="B579" s="1" t="s">
        <v>58</v>
      </c>
      <c r="C579" s="1" t="s">
        <v>59</v>
      </c>
      <c r="D579" s="1" t="s">
        <v>7325</v>
      </c>
      <c r="E579" s="1" t="s">
        <v>7326</v>
      </c>
      <c r="F579" s="1" t="s">
        <v>7327</v>
      </c>
      <c r="H579" s="2" t="s">
        <v>63</v>
      </c>
      <c r="I579" s="2" t="s">
        <v>64</v>
      </c>
      <c r="J579" s="2" t="s">
        <v>63</v>
      </c>
      <c r="K579" s="2" t="s">
        <v>63</v>
      </c>
      <c r="L579" s="2" t="s">
        <v>65</v>
      </c>
      <c r="M579" s="1" t="s">
        <v>7328</v>
      </c>
      <c r="N579" s="1" t="s">
        <v>7329</v>
      </c>
      <c r="O579" s="2" t="s">
        <v>6834</v>
      </c>
      <c r="Q579" s="2" t="s">
        <v>70</v>
      </c>
      <c r="R579" s="2" t="s">
        <v>277</v>
      </c>
      <c r="T579" s="2" t="s">
        <v>72</v>
      </c>
      <c r="U579" s="3">
        <v>1</v>
      </c>
      <c r="V579" s="3">
        <v>1</v>
      </c>
      <c r="W579" s="4" t="s">
        <v>73</v>
      </c>
      <c r="X579" s="4" t="s">
        <v>73</v>
      </c>
      <c r="Y579" s="4" t="s">
        <v>2159</v>
      </c>
      <c r="Z579" s="4" t="s">
        <v>2159</v>
      </c>
      <c r="AA579" s="3">
        <v>95</v>
      </c>
      <c r="AB579" s="3">
        <v>79</v>
      </c>
      <c r="AC579" s="3">
        <v>86</v>
      </c>
      <c r="AD579" s="3">
        <v>1</v>
      </c>
      <c r="AE579" s="3">
        <v>1</v>
      </c>
      <c r="AF579" s="3">
        <v>1</v>
      </c>
      <c r="AG579" s="3">
        <v>1</v>
      </c>
      <c r="AH579" s="3">
        <v>1</v>
      </c>
      <c r="AI579" s="3">
        <v>1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2" t="s">
        <v>92</v>
      </c>
      <c r="AS579" s="2" t="s">
        <v>63</v>
      </c>
      <c r="AT579" s="5" t="str">
        <f>HYPERLINK("http://catalog.hathitrust.org/Record/001573730","HathiTrust Record")</f>
        <v>HathiTrust Record</v>
      </c>
      <c r="AU579" s="5" t="str">
        <f>HYPERLINK("https://creighton-primo.hosted.exlibrisgroup.com/primo-explore/search?tab=default_tab&amp;search_scope=EVERYTHING&amp;vid=01CRU&amp;lang=en_US&amp;offset=0&amp;query=any,contains,991000991299702656","Catalog Record")</f>
        <v>Catalog Record</v>
      </c>
      <c r="AV579" s="5" t="str">
        <f>HYPERLINK("http://www.worldcat.org/oclc/829570","WorldCat Record")</f>
        <v>WorldCat Record</v>
      </c>
      <c r="AW579" s="2" t="s">
        <v>7330</v>
      </c>
      <c r="AX579" s="2" t="s">
        <v>7331</v>
      </c>
      <c r="AY579" s="2" t="s">
        <v>7332</v>
      </c>
      <c r="AZ579" s="2" t="s">
        <v>7332</v>
      </c>
      <c r="BA579" s="2" t="s">
        <v>7333</v>
      </c>
      <c r="BB579" s="2" t="s">
        <v>79</v>
      </c>
      <c r="BE579" s="2" t="s">
        <v>7334</v>
      </c>
      <c r="BF579" s="2" t="s">
        <v>7335</v>
      </c>
    </row>
    <row r="580" spans="1:58" ht="46.5" customHeight="1">
      <c r="A580" s="1"/>
      <c r="B580" s="1" t="s">
        <v>58</v>
      </c>
      <c r="C580" s="1" t="s">
        <v>59</v>
      </c>
      <c r="D580" s="1" t="s">
        <v>7336</v>
      </c>
      <c r="E580" s="1" t="s">
        <v>7337</v>
      </c>
      <c r="F580" s="1" t="s">
        <v>7338</v>
      </c>
      <c r="H580" s="2" t="s">
        <v>63</v>
      </c>
      <c r="I580" s="2" t="s">
        <v>64</v>
      </c>
      <c r="J580" s="2" t="s">
        <v>63</v>
      </c>
      <c r="K580" s="2" t="s">
        <v>63</v>
      </c>
      <c r="L580" s="2" t="s">
        <v>65</v>
      </c>
      <c r="M580" s="1" t="s">
        <v>7339</v>
      </c>
      <c r="N580" s="1" t="s">
        <v>7340</v>
      </c>
      <c r="O580" s="2" t="s">
        <v>407</v>
      </c>
      <c r="P580" s="1" t="s">
        <v>7341</v>
      </c>
      <c r="Q580" s="2" t="s">
        <v>70</v>
      </c>
      <c r="R580" s="2" t="s">
        <v>1310</v>
      </c>
      <c r="T580" s="2" t="s">
        <v>72</v>
      </c>
      <c r="U580" s="3">
        <v>3</v>
      </c>
      <c r="V580" s="3">
        <v>3</v>
      </c>
      <c r="W580" s="4" t="s">
        <v>5048</v>
      </c>
      <c r="X580" s="4" t="s">
        <v>5048</v>
      </c>
      <c r="Y580" s="4" t="s">
        <v>7342</v>
      </c>
      <c r="Z580" s="4" t="s">
        <v>7342</v>
      </c>
      <c r="AA580" s="3">
        <v>1</v>
      </c>
      <c r="AB580" s="3">
        <v>1</v>
      </c>
      <c r="AC580" s="3">
        <v>1</v>
      </c>
      <c r="AD580" s="3">
        <v>1</v>
      </c>
      <c r="AE580" s="3">
        <v>1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2" t="s">
        <v>63</v>
      </c>
      <c r="AS580" s="2" t="s">
        <v>63</v>
      </c>
      <c r="AU580" s="5" t="str">
        <f>HYPERLINK("https://creighton-primo.hosted.exlibrisgroup.com/primo-explore/search?tab=default_tab&amp;search_scope=EVERYTHING&amp;vid=01CRU&amp;lang=en_US&amp;offset=0&amp;query=any,contains,991000769819702656","Catalog Record")</f>
        <v>Catalog Record</v>
      </c>
      <c r="AV580" s="5" t="str">
        <f>HYPERLINK("http://www.worldcat.org/oclc/23753338","WorldCat Record")</f>
        <v>WorldCat Record</v>
      </c>
      <c r="AW580" s="2" t="s">
        <v>7343</v>
      </c>
      <c r="AX580" s="2" t="s">
        <v>7344</v>
      </c>
      <c r="AY580" s="2" t="s">
        <v>7345</v>
      </c>
      <c r="AZ580" s="2" t="s">
        <v>7345</v>
      </c>
      <c r="BA580" s="2" t="s">
        <v>7346</v>
      </c>
      <c r="BB580" s="2" t="s">
        <v>79</v>
      </c>
      <c r="BE580" s="2" t="s">
        <v>7347</v>
      </c>
      <c r="BF580" s="2" t="s">
        <v>7348</v>
      </c>
    </row>
    <row r="581" spans="1:58" ht="46.5" customHeight="1">
      <c r="A581" s="1"/>
      <c r="B581" s="1" t="s">
        <v>58</v>
      </c>
      <c r="C581" s="1" t="s">
        <v>59</v>
      </c>
      <c r="D581" s="1" t="s">
        <v>7349</v>
      </c>
      <c r="E581" s="1" t="s">
        <v>7350</v>
      </c>
      <c r="F581" s="1" t="s">
        <v>7351</v>
      </c>
      <c r="H581" s="2" t="s">
        <v>63</v>
      </c>
      <c r="I581" s="2" t="s">
        <v>64</v>
      </c>
      <c r="J581" s="2" t="s">
        <v>63</v>
      </c>
      <c r="K581" s="2" t="s">
        <v>63</v>
      </c>
      <c r="L581" s="2" t="s">
        <v>65</v>
      </c>
      <c r="M581" s="1" t="s">
        <v>7339</v>
      </c>
      <c r="N581" s="1" t="s">
        <v>7352</v>
      </c>
      <c r="O581" s="2" t="s">
        <v>198</v>
      </c>
      <c r="P581" s="1" t="s">
        <v>7353</v>
      </c>
      <c r="Q581" s="2" t="s">
        <v>70</v>
      </c>
      <c r="R581" s="2" t="s">
        <v>1310</v>
      </c>
      <c r="T581" s="2" t="s">
        <v>72</v>
      </c>
      <c r="U581" s="3">
        <v>4</v>
      </c>
      <c r="V581" s="3">
        <v>4</v>
      </c>
      <c r="W581" s="4" t="s">
        <v>7354</v>
      </c>
      <c r="X581" s="4" t="s">
        <v>7354</v>
      </c>
      <c r="Y581" s="4" t="s">
        <v>7354</v>
      </c>
      <c r="Z581" s="4" t="s">
        <v>7354</v>
      </c>
      <c r="AA581" s="3">
        <v>1</v>
      </c>
      <c r="AB581" s="3">
        <v>1</v>
      </c>
      <c r="AC581" s="3">
        <v>1</v>
      </c>
      <c r="AD581" s="3">
        <v>1</v>
      </c>
      <c r="AE581" s="3">
        <v>1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2" t="s">
        <v>63</v>
      </c>
      <c r="AS581" s="2" t="s">
        <v>63</v>
      </c>
      <c r="AU581" s="5" t="str">
        <f>HYPERLINK("https://creighton-primo.hosted.exlibrisgroup.com/primo-explore/search?tab=default_tab&amp;search_scope=EVERYTHING&amp;vid=01CRU&amp;lang=en_US&amp;offset=0&amp;query=any,contains,991000945619702656","Catalog Record")</f>
        <v>Catalog Record</v>
      </c>
      <c r="AV581" s="5" t="str">
        <f>HYPERLINK("http://www.worldcat.org/oclc/24944417","WorldCat Record")</f>
        <v>WorldCat Record</v>
      </c>
      <c r="AW581" s="2" t="s">
        <v>7355</v>
      </c>
      <c r="AX581" s="2" t="s">
        <v>7356</v>
      </c>
      <c r="AY581" s="2" t="s">
        <v>7357</v>
      </c>
      <c r="AZ581" s="2" t="s">
        <v>7357</v>
      </c>
      <c r="BA581" s="2" t="s">
        <v>7358</v>
      </c>
      <c r="BB581" s="2" t="s">
        <v>79</v>
      </c>
      <c r="BE581" s="2" t="s">
        <v>7359</v>
      </c>
      <c r="BF581" s="2" t="s">
        <v>7360</v>
      </c>
    </row>
    <row r="582" spans="1:58" ht="46.5" customHeight="1">
      <c r="A582" s="1"/>
      <c r="B582" s="1" t="s">
        <v>58</v>
      </c>
      <c r="C582" s="1" t="s">
        <v>59</v>
      </c>
      <c r="D582" s="1" t="s">
        <v>7361</v>
      </c>
      <c r="E582" s="1" t="s">
        <v>7362</v>
      </c>
      <c r="F582" s="1" t="s">
        <v>7363</v>
      </c>
      <c r="H582" s="2" t="s">
        <v>63</v>
      </c>
      <c r="I582" s="2" t="s">
        <v>64</v>
      </c>
      <c r="J582" s="2" t="s">
        <v>63</v>
      </c>
      <c r="K582" s="2" t="s">
        <v>63</v>
      </c>
      <c r="L582" s="2" t="s">
        <v>65</v>
      </c>
      <c r="N582" s="1" t="s">
        <v>7364</v>
      </c>
      <c r="O582" s="2" t="s">
        <v>554</v>
      </c>
      <c r="P582" s="1" t="s">
        <v>2629</v>
      </c>
      <c r="Q582" s="2" t="s">
        <v>70</v>
      </c>
      <c r="R582" s="2" t="s">
        <v>377</v>
      </c>
      <c r="T582" s="2" t="s">
        <v>72</v>
      </c>
      <c r="U582" s="3">
        <v>6</v>
      </c>
      <c r="V582" s="3">
        <v>6</v>
      </c>
      <c r="W582" s="4" t="s">
        <v>7365</v>
      </c>
      <c r="X582" s="4" t="s">
        <v>7365</v>
      </c>
      <c r="Y582" s="4" t="s">
        <v>7365</v>
      </c>
      <c r="Z582" s="4" t="s">
        <v>7365</v>
      </c>
      <c r="AA582" s="3">
        <v>34</v>
      </c>
      <c r="AB582" s="3">
        <v>12</v>
      </c>
      <c r="AC582" s="3">
        <v>40</v>
      </c>
      <c r="AD582" s="3">
        <v>1</v>
      </c>
      <c r="AE582" s="3">
        <v>1</v>
      </c>
      <c r="AF582" s="3">
        <v>0</v>
      </c>
      <c r="AG582" s="3">
        <v>1</v>
      </c>
      <c r="AH582" s="3">
        <v>0</v>
      </c>
      <c r="AI582" s="3">
        <v>1</v>
      </c>
      <c r="AJ582" s="3">
        <v>0</v>
      </c>
      <c r="AK582" s="3">
        <v>1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2" t="s">
        <v>63</v>
      </c>
      <c r="AS582" s="2" t="s">
        <v>63</v>
      </c>
      <c r="AU582" s="5" t="str">
        <f>HYPERLINK("https://creighton-primo.hosted.exlibrisgroup.com/primo-explore/search?tab=default_tab&amp;search_scope=EVERYTHING&amp;vid=01CRU&amp;lang=en_US&amp;offset=0&amp;query=any,contains,991000671089702656","Catalog Record")</f>
        <v>Catalog Record</v>
      </c>
      <c r="AV582" s="5" t="str">
        <f>HYPERLINK("http://www.worldcat.org/oclc/30547377","WorldCat Record")</f>
        <v>WorldCat Record</v>
      </c>
      <c r="AW582" s="2" t="s">
        <v>7366</v>
      </c>
      <c r="AX582" s="2" t="s">
        <v>7367</v>
      </c>
      <c r="AY582" s="2" t="s">
        <v>7368</v>
      </c>
      <c r="AZ582" s="2" t="s">
        <v>7368</v>
      </c>
      <c r="BA582" s="2" t="s">
        <v>7369</v>
      </c>
      <c r="BB582" s="2" t="s">
        <v>79</v>
      </c>
      <c r="BD582" s="2" t="s">
        <v>7370</v>
      </c>
      <c r="BE582" s="2" t="s">
        <v>7371</v>
      </c>
      <c r="BF582" s="2" t="s">
        <v>7372</v>
      </c>
    </row>
    <row r="583" spans="1:58" ht="46.5" customHeight="1">
      <c r="A583" s="1"/>
      <c r="B583" s="1" t="s">
        <v>58</v>
      </c>
      <c r="C583" s="1" t="s">
        <v>59</v>
      </c>
      <c r="D583" s="1" t="s">
        <v>7373</v>
      </c>
      <c r="E583" s="1" t="s">
        <v>7374</v>
      </c>
      <c r="F583" s="1" t="s">
        <v>7375</v>
      </c>
      <c r="H583" s="2" t="s">
        <v>63</v>
      </c>
      <c r="I583" s="2" t="s">
        <v>64</v>
      </c>
      <c r="J583" s="2" t="s">
        <v>63</v>
      </c>
      <c r="K583" s="2" t="s">
        <v>63</v>
      </c>
      <c r="L583" s="2" t="s">
        <v>65</v>
      </c>
      <c r="N583" s="1" t="s">
        <v>7376</v>
      </c>
      <c r="O583" s="2" t="s">
        <v>440</v>
      </c>
      <c r="Q583" s="2" t="s">
        <v>70</v>
      </c>
      <c r="R583" s="2" t="s">
        <v>555</v>
      </c>
      <c r="T583" s="2" t="s">
        <v>72</v>
      </c>
      <c r="U583" s="3">
        <v>1</v>
      </c>
      <c r="V583" s="3">
        <v>1</v>
      </c>
      <c r="W583" s="4" t="s">
        <v>7377</v>
      </c>
      <c r="X583" s="4" t="s">
        <v>7377</v>
      </c>
      <c r="Y583" s="4" t="s">
        <v>7378</v>
      </c>
      <c r="Z583" s="4" t="s">
        <v>7378</v>
      </c>
      <c r="AA583" s="3">
        <v>24</v>
      </c>
      <c r="AB583" s="3">
        <v>16</v>
      </c>
      <c r="AC583" s="3">
        <v>22</v>
      </c>
      <c r="AD583" s="3">
        <v>1</v>
      </c>
      <c r="AE583" s="3">
        <v>1</v>
      </c>
      <c r="AF583" s="3">
        <v>1</v>
      </c>
      <c r="AG583" s="3">
        <v>1</v>
      </c>
      <c r="AH583" s="3">
        <v>1</v>
      </c>
      <c r="AI583" s="3">
        <v>1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2" t="s">
        <v>63</v>
      </c>
      <c r="AS583" s="2" t="s">
        <v>63</v>
      </c>
      <c r="AU583" s="5" t="str">
        <f>HYPERLINK("https://creighton-primo.hosted.exlibrisgroup.com/primo-explore/search?tab=default_tab&amp;search_scope=EVERYTHING&amp;vid=01CRU&amp;lang=en_US&amp;offset=0&amp;query=any,contains,991000367429702656","Catalog Record")</f>
        <v>Catalog Record</v>
      </c>
      <c r="AV583" s="5" t="str">
        <f>HYPERLINK("http://www.worldcat.org/oclc/53982835","WorldCat Record")</f>
        <v>WorldCat Record</v>
      </c>
      <c r="AW583" s="2" t="s">
        <v>7379</v>
      </c>
      <c r="AX583" s="2" t="s">
        <v>7380</v>
      </c>
      <c r="AY583" s="2" t="s">
        <v>7381</v>
      </c>
      <c r="AZ583" s="2" t="s">
        <v>7381</v>
      </c>
      <c r="BA583" s="2" t="s">
        <v>7382</v>
      </c>
      <c r="BB583" s="2" t="s">
        <v>79</v>
      </c>
      <c r="BD583" s="2" t="s">
        <v>7383</v>
      </c>
      <c r="BE583" s="2" t="s">
        <v>7384</v>
      </c>
      <c r="BF583" s="2" t="s">
        <v>7385</v>
      </c>
    </row>
    <row r="584" spans="1:58" ht="46.5" customHeight="1">
      <c r="A584" s="1"/>
      <c r="B584" s="1" t="s">
        <v>58</v>
      </c>
      <c r="C584" s="1" t="s">
        <v>59</v>
      </c>
      <c r="D584" s="1" t="s">
        <v>7386</v>
      </c>
      <c r="E584" s="1" t="s">
        <v>7387</v>
      </c>
      <c r="F584" s="1" t="s">
        <v>7388</v>
      </c>
      <c r="G584" s="2" t="s">
        <v>7245</v>
      </c>
      <c r="H584" s="2" t="s">
        <v>92</v>
      </c>
      <c r="I584" s="2" t="s">
        <v>64</v>
      </c>
      <c r="J584" s="2" t="s">
        <v>63</v>
      </c>
      <c r="K584" s="2" t="s">
        <v>63</v>
      </c>
      <c r="L584" s="2" t="s">
        <v>65</v>
      </c>
      <c r="N584" s="1" t="s">
        <v>7389</v>
      </c>
      <c r="O584" s="2" t="s">
        <v>407</v>
      </c>
      <c r="P584" s="1" t="s">
        <v>376</v>
      </c>
      <c r="Q584" s="2" t="s">
        <v>70</v>
      </c>
      <c r="R584" s="2" t="s">
        <v>377</v>
      </c>
      <c r="T584" s="2" t="s">
        <v>72</v>
      </c>
      <c r="U584" s="3">
        <v>11</v>
      </c>
      <c r="V584" s="3">
        <v>94</v>
      </c>
      <c r="W584" s="4" t="s">
        <v>7390</v>
      </c>
      <c r="X584" s="4" t="s">
        <v>7391</v>
      </c>
      <c r="Y584" s="4" t="s">
        <v>7392</v>
      </c>
      <c r="Z584" s="4" t="s">
        <v>7392</v>
      </c>
      <c r="AA584" s="3">
        <v>257</v>
      </c>
      <c r="AB584" s="3">
        <v>193</v>
      </c>
      <c r="AC584" s="3">
        <v>197</v>
      </c>
      <c r="AD584" s="3">
        <v>3</v>
      </c>
      <c r="AE584" s="3">
        <v>3</v>
      </c>
      <c r="AF584" s="3">
        <v>5</v>
      </c>
      <c r="AG584" s="3">
        <v>5</v>
      </c>
      <c r="AH584" s="3">
        <v>1</v>
      </c>
      <c r="AI584" s="3">
        <v>1</v>
      </c>
      <c r="AJ584" s="3">
        <v>2</v>
      </c>
      <c r="AK584" s="3">
        <v>2</v>
      </c>
      <c r="AL584" s="3">
        <v>3</v>
      </c>
      <c r="AM584" s="3">
        <v>3</v>
      </c>
      <c r="AN584" s="3">
        <v>1</v>
      </c>
      <c r="AO584" s="3">
        <v>1</v>
      </c>
      <c r="AP584" s="3">
        <v>0</v>
      </c>
      <c r="AQ584" s="3">
        <v>0</v>
      </c>
      <c r="AR584" s="2" t="s">
        <v>63</v>
      </c>
      <c r="AS584" s="2" t="s">
        <v>92</v>
      </c>
      <c r="AT584" s="5" t="str">
        <f>HYPERLINK("http://catalog.hathitrust.org/Record/001946683","HathiTrust Record")</f>
        <v>HathiTrust Record</v>
      </c>
      <c r="AU584" s="5" t="str">
        <f>HYPERLINK("https://creighton-primo.hosted.exlibrisgroup.com/primo-explore/search?tab=default_tab&amp;search_scope=EVERYTHING&amp;vid=01CRU&amp;lang=en_US&amp;offset=0&amp;query=any,contains,991001449629702656","Catalog Record")</f>
        <v>Catalog Record</v>
      </c>
      <c r="AV584" s="5" t="str">
        <f>HYPERLINK("http://www.worldcat.org/oclc/20168118","WorldCat Record")</f>
        <v>WorldCat Record</v>
      </c>
      <c r="AW584" s="2" t="s">
        <v>7393</v>
      </c>
      <c r="AX584" s="2" t="s">
        <v>7394</v>
      </c>
      <c r="AY584" s="2" t="s">
        <v>7395</v>
      </c>
      <c r="AZ584" s="2" t="s">
        <v>7395</v>
      </c>
      <c r="BA584" s="2" t="s">
        <v>7396</v>
      </c>
      <c r="BB584" s="2" t="s">
        <v>79</v>
      </c>
      <c r="BD584" s="2" t="s">
        <v>7397</v>
      </c>
      <c r="BE584" s="2" t="s">
        <v>7398</v>
      </c>
      <c r="BF584" s="2" t="s">
        <v>7399</v>
      </c>
    </row>
    <row r="585" spans="1:58" ht="46.5" customHeight="1">
      <c r="A585" s="1"/>
      <c r="B585" s="1" t="s">
        <v>58</v>
      </c>
      <c r="C585" s="1" t="s">
        <v>59</v>
      </c>
      <c r="D585" s="1" t="s">
        <v>7386</v>
      </c>
      <c r="E585" s="1" t="s">
        <v>7387</v>
      </c>
      <c r="F585" s="1" t="s">
        <v>7388</v>
      </c>
      <c r="G585" s="2" t="s">
        <v>2264</v>
      </c>
      <c r="H585" s="2" t="s">
        <v>92</v>
      </c>
      <c r="I585" s="2" t="s">
        <v>64</v>
      </c>
      <c r="J585" s="2" t="s">
        <v>63</v>
      </c>
      <c r="K585" s="2" t="s">
        <v>63</v>
      </c>
      <c r="L585" s="2" t="s">
        <v>65</v>
      </c>
      <c r="N585" s="1" t="s">
        <v>7389</v>
      </c>
      <c r="O585" s="2" t="s">
        <v>407</v>
      </c>
      <c r="P585" s="1" t="s">
        <v>376</v>
      </c>
      <c r="Q585" s="2" t="s">
        <v>70</v>
      </c>
      <c r="R585" s="2" t="s">
        <v>377</v>
      </c>
      <c r="T585" s="2" t="s">
        <v>72</v>
      </c>
      <c r="U585" s="3">
        <v>26</v>
      </c>
      <c r="V585" s="3">
        <v>94</v>
      </c>
      <c r="W585" s="4" t="s">
        <v>471</v>
      </c>
      <c r="X585" s="4" t="s">
        <v>7391</v>
      </c>
      <c r="Y585" s="4" t="s">
        <v>7392</v>
      </c>
      <c r="Z585" s="4" t="s">
        <v>7392</v>
      </c>
      <c r="AA585" s="3">
        <v>257</v>
      </c>
      <c r="AB585" s="3">
        <v>193</v>
      </c>
      <c r="AC585" s="3">
        <v>197</v>
      </c>
      <c r="AD585" s="3">
        <v>3</v>
      </c>
      <c r="AE585" s="3">
        <v>3</v>
      </c>
      <c r="AF585" s="3">
        <v>5</v>
      </c>
      <c r="AG585" s="3">
        <v>5</v>
      </c>
      <c r="AH585" s="3">
        <v>1</v>
      </c>
      <c r="AI585" s="3">
        <v>1</v>
      </c>
      <c r="AJ585" s="3">
        <v>2</v>
      </c>
      <c r="AK585" s="3">
        <v>2</v>
      </c>
      <c r="AL585" s="3">
        <v>3</v>
      </c>
      <c r="AM585" s="3">
        <v>3</v>
      </c>
      <c r="AN585" s="3">
        <v>1</v>
      </c>
      <c r="AO585" s="3">
        <v>1</v>
      </c>
      <c r="AP585" s="3">
        <v>0</v>
      </c>
      <c r="AQ585" s="3">
        <v>0</v>
      </c>
      <c r="AR585" s="2" t="s">
        <v>63</v>
      </c>
      <c r="AS585" s="2" t="s">
        <v>92</v>
      </c>
      <c r="AT585" s="5" t="str">
        <f>HYPERLINK("http://catalog.hathitrust.org/Record/001946683","HathiTrust Record")</f>
        <v>HathiTrust Record</v>
      </c>
      <c r="AU585" s="5" t="str">
        <f>HYPERLINK("https://creighton-primo.hosted.exlibrisgroup.com/primo-explore/search?tab=default_tab&amp;search_scope=EVERYTHING&amp;vid=01CRU&amp;lang=en_US&amp;offset=0&amp;query=any,contains,991001449629702656","Catalog Record")</f>
        <v>Catalog Record</v>
      </c>
      <c r="AV585" s="5" t="str">
        <f>HYPERLINK("http://www.worldcat.org/oclc/20168118","WorldCat Record")</f>
        <v>WorldCat Record</v>
      </c>
      <c r="AW585" s="2" t="s">
        <v>7393</v>
      </c>
      <c r="AX585" s="2" t="s">
        <v>7394</v>
      </c>
      <c r="AY585" s="2" t="s">
        <v>7395</v>
      </c>
      <c r="AZ585" s="2" t="s">
        <v>7395</v>
      </c>
      <c r="BA585" s="2" t="s">
        <v>7396</v>
      </c>
      <c r="BB585" s="2" t="s">
        <v>79</v>
      </c>
      <c r="BD585" s="2" t="s">
        <v>7397</v>
      </c>
      <c r="BE585" s="2" t="s">
        <v>7400</v>
      </c>
      <c r="BF585" s="2" t="s">
        <v>7401</v>
      </c>
    </row>
    <row r="586" spans="1:58" ht="46.5" customHeight="1">
      <c r="A586" s="1"/>
      <c r="B586" s="1" t="s">
        <v>58</v>
      </c>
      <c r="C586" s="1" t="s">
        <v>59</v>
      </c>
      <c r="D586" s="1" t="s">
        <v>7386</v>
      </c>
      <c r="E586" s="1" t="s">
        <v>7387</v>
      </c>
      <c r="F586" s="1" t="s">
        <v>7388</v>
      </c>
      <c r="G586" s="2" t="s">
        <v>7402</v>
      </c>
      <c r="H586" s="2" t="s">
        <v>92</v>
      </c>
      <c r="I586" s="2" t="s">
        <v>64</v>
      </c>
      <c r="J586" s="2" t="s">
        <v>63</v>
      </c>
      <c r="K586" s="2" t="s">
        <v>63</v>
      </c>
      <c r="L586" s="2" t="s">
        <v>65</v>
      </c>
      <c r="N586" s="1" t="s">
        <v>7389</v>
      </c>
      <c r="O586" s="2" t="s">
        <v>407</v>
      </c>
      <c r="P586" s="1" t="s">
        <v>376</v>
      </c>
      <c r="Q586" s="2" t="s">
        <v>70</v>
      </c>
      <c r="R586" s="2" t="s">
        <v>377</v>
      </c>
      <c r="T586" s="2" t="s">
        <v>72</v>
      </c>
      <c r="U586" s="3">
        <v>21</v>
      </c>
      <c r="V586" s="3">
        <v>94</v>
      </c>
      <c r="W586" s="4" t="s">
        <v>7403</v>
      </c>
      <c r="X586" s="4" t="s">
        <v>7391</v>
      </c>
      <c r="Y586" s="4" t="s">
        <v>7392</v>
      </c>
      <c r="Z586" s="4" t="s">
        <v>7392</v>
      </c>
      <c r="AA586" s="3">
        <v>257</v>
      </c>
      <c r="AB586" s="3">
        <v>193</v>
      </c>
      <c r="AC586" s="3">
        <v>197</v>
      </c>
      <c r="AD586" s="3">
        <v>3</v>
      </c>
      <c r="AE586" s="3">
        <v>3</v>
      </c>
      <c r="AF586" s="3">
        <v>5</v>
      </c>
      <c r="AG586" s="3">
        <v>5</v>
      </c>
      <c r="AH586" s="3">
        <v>1</v>
      </c>
      <c r="AI586" s="3">
        <v>1</v>
      </c>
      <c r="AJ586" s="3">
        <v>2</v>
      </c>
      <c r="AK586" s="3">
        <v>2</v>
      </c>
      <c r="AL586" s="3">
        <v>3</v>
      </c>
      <c r="AM586" s="3">
        <v>3</v>
      </c>
      <c r="AN586" s="3">
        <v>1</v>
      </c>
      <c r="AO586" s="3">
        <v>1</v>
      </c>
      <c r="AP586" s="3">
        <v>0</v>
      </c>
      <c r="AQ586" s="3">
        <v>0</v>
      </c>
      <c r="AR586" s="2" t="s">
        <v>63</v>
      </c>
      <c r="AS586" s="2" t="s">
        <v>92</v>
      </c>
      <c r="AT586" s="5" t="str">
        <f>HYPERLINK("http://catalog.hathitrust.org/Record/001946683","HathiTrust Record")</f>
        <v>HathiTrust Record</v>
      </c>
      <c r="AU586" s="5" t="str">
        <f>HYPERLINK("https://creighton-primo.hosted.exlibrisgroup.com/primo-explore/search?tab=default_tab&amp;search_scope=EVERYTHING&amp;vid=01CRU&amp;lang=en_US&amp;offset=0&amp;query=any,contains,991001449629702656","Catalog Record")</f>
        <v>Catalog Record</v>
      </c>
      <c r="AV586" s="5" t="str">
        <f>HYPERLINK("http://www.worldcat.org/oclc/20168118","WorldCat Record")</f>
        <v>WorldCat Record</v>
      </c>
      <c r="AW586" s="2" t="s">
        <v>7393</v>
      </c>
      <c r="AX586" s="2" t="s">
        <v>7394</v>
      </c>
      <c r="AY586" s="2" t="s">
        <v>7395</v>
      </c>
      <c r="AZ586" s="2" t="s">
        <v>7395</v>
      </c>
      <c r="BA586" s="2" t="s">
        <v>7396</v>
      </c>
      <c r="BB586" s="2" t="s">
        <v>79</v>
      </c>
      <c r="BD586" s="2" t="s">
        <v>7397</v>
      </c>
      <c r="BE586" s="2" t="s">
        <v>7404</v>
      </c>
      <c r="BF586" s="2" t="s">
        <v>7405</v>
      </c>
    </row>
    <row r="587" spans="1:58" ht="46.5" customHeight="1">
      <c r="A587" s="1"/>
      <c r="B587" s="1" t="s">
        <v>58</v>
      </c>
      <c r="C587" s="1" t="s">
        <v>59</v>
      </c>
      <c r="D587" s="1" t="s">
        <v>7386</v>
      </c>
      <c r="E587" s="1" t="s">
        <v>7387</v>
      </c>
      <c r="F587" s="1" t="s">
        <v>7388</v>
      </c>
      <c r="G587" s="2" t="s">
        <v>7228</v>
      </c>
      <c r="H587" s="2" t="s">
        <v>92</v>
      </c>
      <c r="I587" s="2" t="s">
        <v>64</v>
      </c>
      <c r="J587" s="2" t="s">
        <v>63</v>
      </c>
      <c r="K587" s="2" t="s">
        <v>63</v>
      </c>
      <c r="L587" s="2" t="s">
        <v>65</v>
      </c>
      <c r="N587" s="1" t="s">
        <v>7389</v>
      </c>
      <c r="O587" s="2" t="s">
        <v>407</v>
      </c>
      <c r="P587" s="1" t="s">
        <v>376</v>
      </c>
      <c r="Q587" s="2" t="s">
        <v>70</v>
      </c>
      <c r="R587" s="2" t="s">
        <v>377</v>
      </c>
      <c r="T587" s="2" t="s">
        <v>72</v>
      </c>
      <c r="U587" s="3">
        <v>6</v>
      </c>
      <c r="V587" s="3">
        <v>94</v>
      </c>
      <c r="W587" s="4" t="s">
        <v>7406</v>
      </c>
      <c r="X587" s="4" t="s">
        <v>7391</v>
      </c>
      <c r="Y587" s="4" t="s">
        <v>7392</v>
      </c>
      <c r="Z587" s="4" t="s">
        <v>7392</v>
      </c>
      <c r="AA587" s="3">
        <v>257</v>
      </c>
      <c r="AB587" s="3">
        <v>193</v>
      </c>
      <c r="AC587" s="3">
        <v>197</v>
      </c>
      <c r="AD587" s="3">
        <v>3</v>
      </c>
      <c r="AE587" s="3">
        <v>3</v>
      </c>
      <c r="AF587" s="3">
        <v>5</v>
      </c>
      <c r="AG587" s="3">
        <v>5</v>
      </c>
      <c r="AH587" s="3">
        <v>1</v>
      </c>
      <c r="AI587" s="3">
        <v>1</v>
      </c>
      <c r="AJ587" s="3">
        <v>2</v>
      </c>
      <c r="AK587" s="3">
        <v>2</v>
      </c>
      <c r="AL587" s="3">
        <v>3</v>
      </c>
      <c r="AM587" s="3">
        <v>3</v>
      </c>
      <c r="AN587" s="3">
        <v>1</v>
      </c>
      <c r="AO587" s="3">
        <v>1</v>
      </c>
      <c r="AP587" s="3">
        <v>0</v>
      </c>
      <c r="AQ587" s="3">
        <v>0</v>
      </c>
      <c r="AR587" s="2" t="s">
        <v>63</v>
      </c>
      <c r="AS587" s="2" t="s">
        <v>92</v>
      </c>
      <c r="AT587" s="5" t="str">
        <f>HYPERLINK("http://catalog.hathitrust.org/Record/001946683","HathiTrust Record")</f>
        <v>HathiTrust Record</v>
      </c>
      <c r="AU587" s="5" t="str">
        <f>HYPERLINK("https://creighton-primo.hosted.exlibrisgroup.com/primo-explore/search?tab=default_tab&amp;search_scope=EVERYTHING&amp;vid=01CRU&amp;lang=en_US&amp;offset=0&amp;query=any,contains,991001449629702656","Catalog Record")</f>
        <v>Catalog Record</v>
      </c>
      <c r="AV587" s="5" t="str">
        <f>HYPERLINK("http://www.worldcat.org/oclc/20168118","WorldCat Record")</f>
        <v>WorldCat Record</v>
      </c>
      <c r="AW587" s="2" t="s">
        <v>7393</v>
      </c>
      <c r="AX587" s="2" t="s">
        <v>7394</v>
      </c>
      <c r="AY587" s="2" t="s">
        <v>7395</v>
      </c>
      <c r="AZ587" s="2" t="s">
        <v>7395</v>
      </c>
      <c r="BA587" s="2" t="s">
        <v>7396</v>
      </c>
      <c r="BB587" s="2" t="s">
        <v>79</v>
      </c>
      <c r="BD587" s="2" t="s">
        <v>7397</v>
      </c>
      <c r="BE587" s="2" t="s">
        <v>7407</v>
      </c>
      <c r="BF587" s="2" t="s">
        <v>7408</v>
      </c>
    </row>
    <row r="588" spans="1:58" ht="46.5" customHeight="1">
      <c r="A588" s="1"/>
      <c r="B588" s="1" t="s">
        <v>58</v>
      </c>
      <c r="C588" s="1" t="s">
        <v>59</v>
      </c>
      <c r="D588" s="1" t="s">
        <v>7386</v>
      </c>
      <c r="E588" s="1" t="s">
        <v>7387</v>
      </c>
      <c r="F588" s="1" t="s">
        <v>7388</v>
      </c>
      <c r="G588" s="2" t="s">
        <v>1538</v>
      </c>
      <c r="H588" s="2" t="s">
        <v>92</v>
      </c>
      <c r="I588" s="2" t="s">
        <v>64</v>
      </c>
      <c r="J588" s="2" t="s">
        <v>63</v>
      </c>
      <c r="K588" s="2" t="s">
        <v>63</v>
      </c>
      <c r="L588" s="2" t="s">
        <v>65</v>
      </c>
      <c r="N588" s="1" t="s">
        <v>7389</v>
      </c>
      <c r="O588" s="2" t="s">
        <v>407</v>
      </c>
      <c r="P588" s="1" t="s">
        <v>376</v>
      </c>
      <c r="Q588" s="2" t="s">
        <v>70</v>
      </c>
      <c r="R588" s="2" t="s">
        <v>377</v>
      </c>
      <c r="T588" s="2" t="s">
        <v>72</v>
      </c>
      <c r="U588" s="3">
        <v>15</v>
      </c>
      <c r="V588" s="3">
        <v>94</v>
      </c>
      <c r="W588" s="4" t="s">
        <v>7409</v>
      </c>
      <c r="X588" s="4" t="s">
        <v>7391</v>
      </c>
      <c r="Y588" s="4" t="s">
        <v>7392</v>
      </c>
      <c r="Z588" s="4" t="s">
        <v>7392</v>
      </c>
      <c r="AA588" s="3">
        <v>257</v>
      </c>
      <c r="AB588" s="3">
        <v>193</v>
      </c>
      <c r="AC588" s="3">
        <v>197</v>
      </c>
      <c r="AD588" s="3">
        <v>3</v>
      </c>
      <c r="AE588" s="3">
        <v>3</v>
      </c>
      <c r="AF588" s="3">
        <v>5</v>
      </c>
      <c r="AG588" s="3">
        <v>5</v>
      </c>
      <c r="AH588" s="3">
        <v>1</v>
      </c>
      <c r="AI588" s="3">
        <v>1</v>
      </c>
      <c r="AJ588" s="3">
        <v>2</v>
      </c>
      <c r="AK588" s="3">
        <v>2</v>
      </c>
      <c r="AL588" s="3">
        <v>3</v>
      </c>
      <c r="AM588" s="3">
        <v>3</v>
      </c>
      <c r="AN588" s="3">
        <v>1</v>
      </c>
      <c r="AO588" s="3">
        <v>1</v>
      </c>
      <c r="AP588" s="3">
        <v>0</v>
      </c>
      <c r="AQ588" s="3">
        <v>0</v>
      </c>
      <c r="AR588" s="2" t="s">
        <v>63</v>
      </c>
      <c r="AS588" s="2" t="s">
        <v>92</v>
      </c>
      <c r="AT588" s="5" t="str">
        <f>HYPERLINK("http://catalog.hathitrust.org/Record/001946683","HathiTrust Record")</f>
        <v>HathiTrust Record</v>
      </c>
      <c r="AU588" s="5" t="str">
        <f>HYPERLINK("https://creighton-primo.hosted.exlibrisgroup.com/primo-explore/search?tab=default_tab&amp;search_scope=EVERYTHING&amp;vid=01CRU&amp;lang=en_US&amp;offset=0&amp;query=any,contains,991001449629702656","Catalog Record")</f>
        <v>Catalog Record</v>
      </c>
      <c r="AV588" s="5" t="str">
        <f>HYPERLINK("http://www.worldcat.org/oclc/20168118","WorldCat Record")</f>
        <v>WorldCat Record</v>
      </c>
      <c r="AW588" s="2" t="s">
        <v>7393</v>
      </c>
      <c r="AX588" s="2" t="s">
        <v>7394</v>
      </c>
      <c r="AY588" s="2" t="s">
        <v>7395</v>
      </c>
      <c r="AZ588" s="2" t="s">
        <v>7395</v>
      </c>
      <c r="BA588" s="2" t="s">
        <v>7396</v>
      </c>
      <c r="BB588" s="2" t="s">
        <v>79</v>
      </c>
      <c r="BD588" s="2" t="s">
        <v>7397</v>
      </c>
      <c r="BE588" s="2" t="s">
        <v>7410</v>
      </c>
      <c r="BF588" s="2" t="s">
        <v>7411</v>
      </c>
    </row>
    <row r="589" spans="1:58" ht="46.5" customHeight="1">
      <c r="A589" s="1"/>
      <c r="B589" s="1" t="s">
        <v>58</v>
      </c>
      <c r="C589" s="1" t="s">
        <v>59</v>
      </c>
      <c r="D589" s="1" t="s">
        <v>7386</v>
      </c>
      <c r="E589" s="1" t="s">
        <v>7387</v>
      </c>
      <c r="F589" s="1" t="s">
        <v>7388</v>
      </c>
      <c r="G589" s="2" t="s">
        <v>1552</v>
      </c>
      <c r="H589" s="2" t="s">
        <v>92</v>
      </c>
      <c r="I589" s="2" t="s">
        <v>64</v>
      </c>
      <c r="J589" s="2" t="s">
        <v>63</v>
      </c>
      <c r="K589" s="2" t="s">
        <v>63</v>
      </c>
      <c r="L589" s="2" t="s">
        <v>65</v>
      </c>
      <c r="N589" s="1" t="s">
        <v>7389</v>
      </c>
      <c r="O589" s="2" t="s">
        <v>407</v>
      </c>
      <c r="P589" s="1" t="s">
        <v>376</v>
      </c>
      <c r="Q589" s="2" t="s">
        <v>70</v>
      </c>
      <c r="R589" s="2" t="s">
        <v>377</v>
      </c>
      <c r="T589" s="2" t="s">
        <v>72</v>
      </c>
      <c r="U589" s="3">
        <v>15</v>
      </c>
      <c r="V589" s="3">
        <v>94</v>
      </c>
      <c r="W589" s="4" t="s">
        <v>7391</v>
      </c>
      <c r="X589" s="4" t="s">
        <v>7391</v>
      </c>
      <c r="Y589" s="4" t="s">
        <v>7392</v>
      </c>
      <c r="Z589" s="4" t="s">
        <v>7392</v>
      </c>
      <c r="AA589" s="3">
        <v>257</v>
      </c>
      <c r="AB589" s="3">
        <v>193</v>
      </c>
      <c r="AC589" s="3">
        <v>197</v>
      </c>
      <c r="AD589" s="3">
        <v>3</v>
      </c>
      <c r="AE589" s="3">
        <v>3</v>
      </c>
      <c r="AF589" s="3">
        <v>5</v>
      </c>
      <c r="AG589" s="3">
        <v>5</v>
      </c>
      <c r="AH589" s="3">
        <v>1</v>
      </c>
      <c r="AI589" s="3">
        <v>1</v>
      </c>
      <c r="AJ589" s="3">
        <v>2</v>
      </c>
      <c r="AK589" s="3">
        <v>2</v>
      </c>
      <c r="AL589" s="3">
        <v>3</v>
      </c>
      <c r="AM589" s="3">
        <v>3</v>
      </c>
      <c r="AN589" s="3">
        <v>1</v>
      </c>
      <c r="AO589" s="3">
        <v>1</v>
      </c>
      <c r="AP589" s="3">
        <v>0</v>
      </c>
      <c r="AQ589" s="3">
        <v>0</v>
      </c>
      <c r="AR589" s="2" t="s">
        <v>63</v>
      </c>
      <c r="AS589" s="2" t="s">
        <v>92</v>
      </c>
      <c r="AT589" s="5" t="str">
        <f>HYPERLINK("http://catalog.hathitrust.org/Record/001946683","HathiTrust Record")</f>
        <v>HathiTrust Record</v>
      </c>
      <c r="AU589" s="5" t="str">
        <f>HYPERLINK("https://creighton-primo.hosted.exlibrisgroup.com/primo-explore/search?tab=default_tab&amp;search_scope=EVERYTHING&amp;vid=01CRU&amp;lang=en_US&amp;offset=0&amp;query=any,contains,991001449629702656","Catalog Record")</f>
        <v>Catalog Record</v>
      </c>
      <c r="AV589" s="5" t="str">
        <f>HYPERLINK("http://www.worldcat.org/oclc/20168118","WorldCat Record")</f>
        <v>WorldCat Record</v>
      </c>
      <c r="AW589" s="2" t="s">
        <v>7393</v>
      </c>
      <c r="AX589" s="2" t="s">
        <v>7394</v>
      </c>
      <c r="AY589" s="2" t="s">
        <v>7395</v>
      </c>
      <c r="AZ589" s="2" t="s">
        <v>7395</v>
      </c>
      <c r="BA589" s="2" t="s">
        <v>7396</v>
      </c>
      <c r="BB589" s="2" t="s">
        <v>79</v>
      </c>
      <c r="BD589" s="2" t="s">
        <v>7397</v>
      </c>
      <c r="BE589" s="2" t="s">
        <v>7412</v>
      </c>
      <c r="BF589" s="2" t="s">
        <v>7413</v>
      </c>
    </row>
    <row r="590" spans="1:58" ht="46.5" customHeight="1">
      <c r="A590" s="1"/>
      <c r="B590" s="1" t="s">
        <v>58</v>
      </c>
      <c r="C590" s="1" t="s">
        <v>59</v>
      </c>
      <c r="D590" s="1" t="s">
        <v>7414</v>
      </c>
      <c r="E590" s="1" t="s">
        <v>7415</v>
      </c>
      <c r="F590" s="1" t="s">
        <v>7416</v>
      </c>
      <c r="H590" s="2" t="s">
        <v>63</v>
      </c>
      <c r="I590" s="2" t="s">
        <v>64</v>
      </c>
      <c r="J590" s="2" t="s">
        <v>63</v>
      </c>
      <c r="K590" s="2" t="s">
        <v>63</v>
      </c>
      <c r="L590" s="2" t="s">
        <v>65</v>
      </c>
      <c r="N590" s="1" t="s">
        <v>5100</v>
      </c>
      <c r="O590" s="2" t="s">
        <v>608</v>
      </c>
      <c r="P590" s="1" t="s">
        <v>745</v>
      </c>
      <c r="Q590" s="2" t="s">
        <v>70</v>
      </c>
      <c r="R590" s="2" t="s">
        <v>277</v>
      </c>
      <c r="S590" s="1" t="s">
        <v>7417</v>
      </c>
      <c r="T590" s="2" t="s">
        <v>72</v>
      </c>
      <c r="U590" s="3">
        <v>6</v>
      </c>
      <c r="V590" s="3">
        <v>6</v>
      </c>
      <c r="W590" s="4" t="s">
        <v>7418</v>
      </c>
      <c r="X590" s="4" t="s">
        <v>7418</v>
      </c>
      <c r="Y590" s="4" t="s">
        <v>979</v>
      </c>
      <c r="Z590" s="4" t="s">
        <v>979</v>
      </c>
      <c r="AA590" s="3">
        <v>150</v>
      </c>
      <c r="AB590" s="3">
        <v>98</v>
      </c>
      <c r="AC590" s="3">
        <v>179</v>
      </c>
      <c r="AD590" s="3">
        <v>1</v>
      </c>
      <c r="AE590" s="3">
        <v>1</v>
      </c>
      <c r="AF590" s="3">
        <v>3</v>
      </c>
      <c r="AG590" s="3">
        <v>6</v>
      </c>
      <c r="AH590" s="3">
        <v>1</v>
      </c>
      <c r="AI590" s="3">
        <v>1</v>
      </c>
      <c r="AJ590" s="3">
        <v>1</v>
      </c>
      <c r="AK590" s="3">
        <v>2</v>
      </c>
      <c r="AL590" s="3">
        <v>1</v>
      </c>
      <c r="AM590" s="3">
        <v>2</v>
      </c>
      <c r="AN590" s="3">
        <v>0</v>
      </c>
      <c r="AO590" s="3">
        <v>0</v>
      </c>
      <c r="AP590" s="3">
        <v>0</v>
      </c>
      <c r="AQ590" s="3">
        <v>1</v>
      </c>
      <c r="AR590" s="2" t="s">
        <v>63</v>
      </c>
      <c r="AS590" s="2" t="s">
        <v>63</v>
      </c>
      <c r="AU590" s="5" t="str">
        <f>HYPERLINK("https://creighton-primo.hosted.exlibrisgroup.com/primo-explore/search?tab=default_tab&amp;search_scope=EVERYTHING&amp;vid=01CRU&amp;lang=en_US&amp;offset=0&amp;query=any,contains,991001512039702656","Catalog Record")</f>
        <v>Catalog Record</v>
      </c>
      <c r="AV590" s="5" t="str">
        <f>HYPERLINK("http://www.worldcat.org/oclc/27187740","WorldCat Record")</f>
        <v>WorldCat Record</v>
      </c>
      <c r="AW590" s="2" t="s">
        <v>7419</v>
      </c>
      <c r="AX590" s="2" t="s">
        <v>7420</v>
      </c>
      <c r="AY590" s="2" t="s">
        <v>7421</v>
      </c>
      <c r="AZ590" s="2" t="s">
        <v>7421</v>
      </c>
      <c r="BA590" s="2" t="s">
        <v>7422</v>
      </c>
      <c r="BB590" s="2" t="s">
        <v>79</v>
      </c>
      <c r="BD590" s="2" t="s">
        <v>7423</v>
      </c>
      <c r="BE590" s="2" t="s">
        <v>7424</v>
      </c>
      <c r="BF590" s="2" t="s">
        <v>7425</v>
      </c>
    </row>
    <row r="591" spans="1:58" ht="46.5" customHeight="1">
      <c r="A591" s="1"/>
      <c r="B591" s="1" t="s">
        <v>58</v>
      </c>
      <c r="C591" s="1" t="s">
        <v>59</v>
      </c>
      <c r="D591" s="1" t="s">
        <v>7426</v>
      </c>
      <c r="E591" s="1" t="s">
        <v>7427</v>
      </c>
      <c r="F591" s="1" t="s">
        <v>7428</v>
      </c>
      <c r="H591" s="2" t="s">
        <v>63</v>
      </c>
      <c r="I591" s="2" t="s">
        <v>64</v>
      </c>
      <c r="J591" s="2" t="s">
        <v>63</v>
      </c>
      <c r="K591" s="2" t="s">
        <v>63</v>
      </c>
      <c r="L591" s="2" t="s">
        <v>65</v>
      </c>
      <c r="M591" s="1" t="s">
        <v>7429</v>
      </c>
      <c r="N591" s="1" t="s">
        <v>7430</v>
      </c>
      <c r="O591" s="2" t="s">
        <v>1175</v>
      </c>
      <c r="P591" s="1" t="s">
        <v>69</v>
      </c>
      <c r="Q591" s="2" t="s">
        <v>70</v>
      </c>
      <c r="R591" s="2" t="s">
        <v>260</v>
      </c>
      <c r="T591" s="2" t="s">
        <v>72</v>
      </c>
      <c r="U591" s="3">
        <v>24</v>
      </c>
      <c r="V591" s="3">
        <v>24</v>
      </c>
      <c r="W591" s="4" t="s">
        <v>7431</v>
      </c>
      <c r="X591" s="4" t="s">
        <v>7431</v>
      </c>
      <c r="Y591" s="4" t="s">
        <v>7304</v>
      </c>
      <c r="Z591" s="4" t="s">
        <v>7304</v>
      </c>
      <c r="AA591" s="3">
        <v>198</v>
      </c>
      <c r="AB591" s="3">
        <v>134</v>
      </c>
      <c r="AC591" s="3">
        <v>198</v>
      </c>
      <c r="AD591" s="3">
        <v>1</v>
      </c>
      <c r="AE591" s="3">
        <v>1</v>
      </c>
      <c r="AF591" s="3">
        <v>3</v>
      </c>
      <c r="AG591" s="3">
        <v>3</v>
      </c>
      <c r="AH591" s="3">
        <v>1</v>
      </c>
      <c r="AI591" s="3">
        <v>1</v>
      </c>
      <c r="AJ591" s="3">
        <v>1</v>
      </c>
      <c r="AK591" s="3">
        <v>1</v>
      </c>
      <c r="AL591" s="3">
        <v>1</v>
      </c>
      <c r="AM591" s="3">
        <v>1</v>
      </c>
      <c r="AN591" s="3">
        <v>0</v>
      </c>
      <c r="AO591" s="3">
        <v>0</v>
      </c>
      <c r="AP591" s="3">
        <v>0</v>
      </c>
      <c r="AQ591" s="3">
        <v>0</v>
      </c>
      <c r="AR591" s="2" t="s">
        <v>63</v>
      </c>
      <c r="AS591" s="2" t="s">
        <v>92</v>
      </c>
      <c r="AT591" s="5" t="str">
        <f>HYPERLINK("http://catalog.hathitrust.org/Record/000707573","HathiTrust Record")</f>
        <v>HathiTrust Record</v>
      </c>
      <c r="AU591" s="5" t="str">
        <f>HYPERLINK("https://creighton-primo.hosted.exlibrisgroup.com/primo-explore/search?tab=default_tab&amp;search_scope=EVERYTHING&amp;vid=01CRU&amp;lang=en_US&amp;offset=0&amp;query=any,contains,991000748399702656","Catalog Record")</f>
        <v>Catalog Record</v>
      </c>
      <c r="AV591" s="5" t="str">
        <f>HYPERLINK("http://www.worldcat.org/oclc/6579734","WorldCat Record")</f>
        <v>WorldCat Record</v>
      </c>
      <c r="AW591" s="2" t="s">
        <v>7432</v>
      </c>
      <c r="AX591" s="2" t="s">
        <v>7433</v>
      </c>
      <c r="AY591" s="2" t="s">
        <v>7434</v>
      </c>
      <c r="AZ591" s="2" t="s">
        <v>7434</v>
      </c>
      <c r="BA591" s="2" t="s">
        <v>7435</v>
      </c>
      <c r="BB591" s="2" t="s">
        <v>79</v>
      </c>
      <c r="BD591" s="2" t="s">
        <v>7436</v>
      </c>
      <c r="BE591" s="2" t="s">
        <v>7437</v>
      </c>
      <c r="BF591" s="2" t="s">
        <v>7438</v>
      </c>
    </row>
    <row r="592" spans="1:58" ht="46.5" customHeight="1">
      <c r="A592" s="1"/>
      <c r="B592" s="1" t="s">
        <v>58</v>
      </c>
      <c r="C592" s="1" t="s">
        <v>59</v>
      </c>
      <c r="D592" s="1" t="s">
        <v>7439</v>
      </c>
      <c r="E592" s="1" t="s">
        <v>7440</v>
      </c>
      <c r="F592" s="1" t="s">
        <v>7441</v>
      </c>
      <c r="H592" s="2" t="s">
        <v>63</v>
      </c>
      <c r="I592" s="2" t="s">
        <v>64</v>
      </c>
      <c r="J592" s="2" t="s">
        <v>63</v>
      </c>
      <c r="K592" s="2" t="s">
        <v>63</v>
      </c>
      <c r="L592" s="2" t="s">
        <v>65</v>
      </c>
      <c r="N592" s="1" t="s">
        <v>7442</v>
      </c>
      <c r="O592" s="2" t="s">
        <v>1585</v>
      </c>
      <c r="Q592" s="2" t="s">
        <v>70</v>
      </c>
      <c r="R592" s="2" t="s">
        <v>260</v>
      </c>
      <c r="T592" s="2" t="s">
        <v>72</v>
      </c>
      <c r="U592" s="3">
        <v>37</v>
      </c>
      <c r="V592" s="3">
        <v>37</v>
      </c>
      <c r="W592" s="4" t="s">
        <v>7443</v>
      </c>
      <c r="X592" s="4" t="s">
        <v>7443</v>
      </c>
      <c r="Y592" s="4" t="s">
        <v>7304</v>
      </c>
      <c r="Z592" s="4" t="s">
        <v>7304</v>
      </c>
      <c r="AA592" s="3">
        <v>166</v>
      </c>
      <c r="AB592" s="3">
        <v>112</v>
      </c>
      <c r="AC592" s="3">
        <v>114</v>
      </c>
      <c r="AD592" s="3">
        <v>2</v>
      </c>
      <c r="AE592" s="3">
        <v>2</v>
      </c>
      <c r="AF592" s="3">
        <v>4</v>
      </c>
      <c r="AG592" s="3">
        <v>4</v>
      </c>
      <c r="AH592" s="3">
        <v>2</v>
      </c>
      <c r="AI592" s="3">
        <v>2</v>
      </c>
      <c r="AJ592" s="3">
        <v>1</v>
      </c>
      <c r="AK592" s="3">
        <v>1</v>
      </c>
      <c r="AL592" s="3">
        <v>0</v>
      </c>
      <c r="AM592" s="3">
        <v>0</v>
      </c>
      <c r="AN592" s="3">
        <v>1</v>
      </c>
      <c r="AO592" s="3">
        <v>1</v>
      </c>
      <c r="AP592" s="3">
        <v>0</v>
      </c>
      <c r="AQ592" s="3">
        <v>0</v>
      </c>
      <c r="AR592" s="2" t="s">
        <v>63</v>
      </c>
      <c r="AS592" s="2" t="s">
        <v>92</v>
      </c>
      <c r="AT592" s="5" t="str">
        <f>HYPERLINK("http://catalog.hathitrust.org/Record/001579393","HathiTrust Record")</f>
        <v>HathiTrust Record</v>
      </c>
      <c r="AU592" s="5" t="str">
        <f>HYPERLINK("https://creighton-primo.hosted.exlibrisgroup.com/primo-explore/search?tab=default_tab&amp;search_scope=EVERYTHING&amp;vid=01CRU&amp;lang=en_US&amp;offset=0&amp;query=any,contains,991000748469702656","Catalog Record")</f>
        <v>Catalog Record</v>
      </c>
      <c r="AV592" s="5" t="str">
        <f>HYPERLINK("http://www.worldcat.org/oclc/745967","WorldCat Record")</f>
        <v>WorldCat Record</v>
      </c>
      <c r="AW592" s="2" t="s">
        <v>7444</v>
      </c>
      <c r="AX592" s="2" t="s">
        <v>7445</v>
      </c>
      <c r="AY592" s="2" t="s">
        <v>7446</v>
      </c>
      <c r="AZ592" s="2" t="s">
        <v>7446</v>
      </c>
      <c r="BA592" s="2" t="s">
        <v>7447</v>
      </c>
      <c r="BB592" s="2" t="s">
        <v>79</v>
      </c>
      <c r="BD592" s="2" t="s">
        <v>7448</v>
      </c>
      <c r="BE592" s="2" t="s">
        <v>7449</v>
      </c>
      <c r="BF592" s="2" t="s">
        <v>7450</v>
      </c>
    </row>
    <row r="593" spans="1:58" ht="46.5" customHeight="1">
      <c r="A593" s="1"/>
      <c r="B593" s="1" t="s">
        <v>58</v>
      </c>
      <c r="C593" s="1" t="s">
        <v>59</v>
      </c>
      <c r="D593" s="1" t="s">
        <v>7451</v>
      </c>
      <c r="E593" s="1" t="s">
        <v>7452</v>
      </c>
      <c r="F593" s="1" t="s">
        <v>7453</v>
      </c>
      <c r="H593" s="2" t="s">
        <v>63</v>
      </c>
      <c r="I593" s="2" t="s">
        <v>64</v>
      </c>
      <c r="J593" s="2" t="s">
        <v>63</v>
      </c>
      <c r="K593" s="2" t="s">
        <v>63</v>
      </c>
      <c r="L593" s="2" t="s">
        <v>65</v>
      </c>
      <c r="M593" s="1" t="s">
        <v>6595</v>
      </c>
      <c r="N593" s="1" t="s">
        <v>7454</v>
      </c>
      <c r="O593" s="2" t="s">
        <v>4266</v>
      </c>
      <c r="P593" s="1" t="s">
        <v>230</v>
      </c>
      <c r="Q593" s="2" t="s">
        <v>70</v>
      </c>
      <c r="R593" s="2" t="s">
        <v>277</v>
      </c>
      <c r="T593" s="2" t="s">
        <v>72</v>
      </c>
      <c r="U593" s="3">
        <v>3</v>
      </c>
      <c r="V593" s="3">
        <v>3</v>
      </c>
      <c r="W593" s="4" t="s">
        <v>7455</v>
      </c>
      <c r="X593" s="4" t="s">
        <v>7455</v>
      </c>
      <c r="Y593" s="4" t="s">
        <v>2159</v>
      </c>
      <c r="Z593" s="4" t="s">
        <v>2159</v>
      </c>
      <c r="AA593" s="3">
        <v>261</v>
      </c>
      <c r="AB593" s="3">
        <v>212</v>
      </c>
      <c r="AC593" s="3">
        <v>387</v>
      </c>
      <c r="AD593" s="3">
        <v>4</v>
      </c>
      <c r="AE593" s="3">
        <v>6</v>
      </c>
      <c r="AF593" s="3">
        <v>5</v>
      </c>
      <c r="AG593" s="3">
        <v>12</v>
      </c>
      <c r="AH593" s="3">
        <v>1</v>
      </c>
      <c r="AI593" s="3">
        <v>4</v>
      </c>
      <c r="AJ593" s="3">
        <v>1</v>
      </c>
      <c r="AK593" s="3">
        <v>2</v>
      </c>
      <c r="AL593" s="3">
        <v>1</v>
      </c>
      <c r="AM593" s="3">
        <v>5</v>
      </c>
      <c r="AN593" s="3">
        <v>3</v>
      </c>
      <c r="AO593" s="3">
        <v>5</v>
      </c>
      <c r="AP593" s="3">
        <v>0</v>
      </c>
      <c r="AQ593" s="3">
        <v>0</v>
      </c>
      <c r="AR593" s="2" t="s">
        <v>63</v>
      </c>
      <c r="AS593" s="2" t="s">
        <v>92</v>
      </c>
      <c r="AT593" s="5" t="str">
        <f>HYPERLINK("http://catalog.hathitrust.org/Record/001579394","HathiTrust Record")</f>
        <v>HathiTrust Record</v>
      </c>
      <c r="AU593" s="5" t="str">
        <f>HYPERLINK("https://creighton-primo.hosted.exlibrisgroup.com/primo-explore/search?tab=default_tab&amp;search_scope=EVERYTHING&amp;vid=01CRU&amp;lang=en_US&amp;offset=0&amp;query=any,contains,991000991389702656","Catalog Record")</f>
        <v>Catalog Record</v>
      </c>
      <c r="AV593" s="5" t="str">
        <f>HYPERLINK("http://www.worldcat.org/oclc/831412","WorldCat Record")</f>
        <v>WorldCat Record</v>
      </c>
      <c r="AW593" s="2" t="s">
        <v>7456</v>
      </c>
      <c r="AX593" s="2" t="s">
        <v>7457</v>
      </c>
      <c r="AY593" s="2" t="s">
        <v>7458</v>
      </c>
      <c r="AZ593" s="2" t="s">
        <v>7458</v>
      </c>
      <c r="BA593" s="2" t="s">
        <v>7459</v>
      </c>
      <c r="BB593" s="2" t="s">
        <v>79</v>
      </c>
      <c r="BE593" s="2" t="s">
        <v>7460</v>
      </c>
      <c r="BF593" s="2" t="s">
        <v>7461</v>
      </c>
    </row>
    <row r="594" spans="1:58" ht="46.5" customHeight="1">
      <c r="A594" s="1"/>
      <c r="B594" s="1" t="s">
        <v>58</v>
      </c>
      <c r="C594" s="1" t="s">
        <v>59</v>
      </c>
      <c r="D594" s="1" t="s">
        <v>7462</v>
      </c>
      <c r="E594" s="1" t="s">
        <v>7463</v>
      </c>
      <c r="F594" s="1" t="s">
        <v>7464</v>
      </c>
      <c r="H594" s="2" t="s">
        <v>63</v>
      </c>
      <c r="I594" s="2" t="s">
        <v>64</v>
      </c>
      <c r="J594" s="2" t="s">
        <v>63</v>
      </c>
      <c r="K594" s="2" t="s">
        <v>92</v>
      </c>
      <c r="L594" s="2" t="s">
        <v>65</v>
      </c>
      <c r="M594" s="1" t="s">
        <v>7465</v>
      </c>
      <c r="N594" s="1" t="s">
        <v>1666</v>
      </c>
      <c r="O594" s="2" t="s">
        <v>132</v>
      </c>
      <c r="P594" s="1" t="s">
        <v>259</v>
      </c>
      <c r="Q594" s="2" t="s">
        <v>70</v>
      </c>
      <c r="R594" s="2" t="s">
        <v>260</v>
      </c>
      <c r="T594" s="2" t="s">
        <v>72</v>
      </c>
      <c r="U594" s="3">
        <v>34</v>
      </c>
      <c r="V594" s="3">
        <v>34</v>
      </c>
      <c r="W594" s="4" t="s">
        <v>7466</v>
      </c>
      <c r="X594" s="4" t="s">
        <v>7466</v>
      </c>
      <c r="Y594" s="4" t="s">
        <v>7467</v>
      </c>
      <c r="Z594" s="4" t="s">
        <v>7467</v>
      </c>
      <c r="AA594" s="3">
        <v>102</v>
      </c>
      <c r="AB594" s="3">
        <v>73</v>
      </c>
      <c r="AC594" s="3">
        <v>266</v>
      </c>
      <c r="AD594" s="3">
        <v>1</v>
      </c>
      <c r="AE594" s="3">
        <v>1</v>
      </c>
      <c r="AF594" s="3">
        <v>4</v>
      </c>
      <c r="AG594" s="3">
        <v>12</v>
      </c>
      <c r="AH594" s="3">
        <v>3</v>
      </c>
      <c r="AI594" s="3">
        <v>8</v>
      </c>
      <c r="AJ594" s="3">
        <v>1</v>
      </c>
      <c r="AK594" s="3">
        <v>4</v>
      </c>
      <c r="AL594" s="3">
        <v>1</v>
      </c>
      <c r="AM594" s="3">
        <v>3</v>
      </c>
      <c r="AN594" s="3">
        <v>0</v>
      </c>
      <c r="AO594" s="3">
        <v>0</v>
      </c>
      <c r="AP594" s="3">
        <v>0</v>
      </c>
      <c r="AQ594" s="3">
        <v>0</v>
      </c>
      <c r="AR594" s="2" t="s">
        <v>63</v>
      </c>
      <c r="AS594" s="2" t="s">
        <v>92</v>
      </c>
      <c r="AT594" s="5" t="str">
        <f>HYPERLINK("http://catalog.hathitrust.org/Record/002530377","HathiTrust Record")</f>
        <v>HathiTrust Record</v>
      </c>
      <c r="AU594" s="5" t="str">
        <f>HYPERLINK("https://creighton-primo.hosted.exlibrisgroup.com/primo-explore/search?tab=default_tab&amp;search_scope=EVERYTHING&amp;vid=01CRU&amp;lang=en_US&amp;offset=0&amp;query=any,contains,991001401439702656","Catalog Record")</f>
        <v>Catalog Record</v>
      </c>
      <c r="AV594" s="5" t="str">
        <f>HYPERLINK("http://www.worldcat.org/oclc/23941653","WorldCat Record")</f>
        <v>WorldCat Record</v>
      </c>
      <c r="AW594" s="2" t="s">
        <v>7468</v>
      </c>
      <c r="AX594" s="2" t="s">
        <v>7469</v>
      </c>
      <c r="AY594" s="2" t="s">
        <v>7470</v>
      </c>
      <c r="AZ594" s="2" t="s">
        <v>7470</v>
      </c>
      <c r="BA594" s="2" t="s">
        <v>7471</v>
      </c>
      <c r="BB594" s="2" t="s">
        <v>79</v>
      </c>
      <c r="BD594" s="2" t="s">
        <v>7472</v>
      </c>
      <c r="BE594" s="2" t="s">
        <v>7473</v>
      </c>
      <c r="BF594" s="2" t="s">
        <v>7474</v>
      </c>
    </row>
    <row r="595" spans="1:58" ht="46.5" customHeight="1">
      <c r="A595" s="1"/>
      <c r="B595" s="1" t="s">
        <v>58</v>
      </c>
      <c r="C595" s="1" t="s">
        <v>59</v>
      </c>
      <c r="D595" s="1" t="s">
        <v>7475</v>
      </c>
      <c r="E595" s="1" t="s">
        <v>7476</v>
      </c>
      <c r="F595" s="1" t="s">
        <v>7477</v>
      </c>
      <c r="H595" s="2" t="s">
        <v>63</v>
      </c>
      <c r="I595" s="2" t="s">
        <v>64</v>
      </c>
      <c r="J595" s="2" t="s">
        <v>63</v>
      </c>
      <c r="K595" s="2" t="s">
        <v>63</v>
      </c>
      <c r="L595" s="2" t="s">
        <v>65</v>
      </c>
      <c r="N595" s="1" t="s">
        <v>7478</v>
      </c>
      <c r="O595" s="2" t="s">
        <v>145</v>
      </c>
      <c r="P595" s="1" t="s">
        <v>230</v>
      </c>
      <c r="Q595" s="2" t="s">
        <v>70</v>
      </c>
      <c r="R595" s="2" t="s">
        <v>260</v>
      </c>
      <c r="T595" s="2" t="s">
        <v>72</v>
      </c>
      <c r="U595" s="3">
        <v>202</v>
      </c>
      <c r="V595" s="3">
        <v>202</v>
      </c>
      <c r="W595" s="4" t="s">
        <v>7479</v>
      </c>
      <c r="X595" s="4" t="s">
        <v>7479</v>
      </c>
      <c r="Y595" s="4" t="s">
        <v>3673</v>
      </c>
      <c r="Z595" s="4" t="s">
        <v>3673</v>
      </c>
      <c r="AA595" s="3">
        <v>232</v>
      </c>
      <c r="AB595" s="3">
        <v>147</v>
      </c>
      <c r="AC595" s="3">
        <v>211</v>
      </c>
      <c r="AD595" s="3">
        <v>1</v>
      </c>
      <c r="AE595" s="3">
        <v>1</v>
      </c>
      <c r="AF595" s="3">
        <v>8</v>
      </c>
      <c r="AG595" s="3">
        <v>9</v>
      </c>
      <c r="AH595" s="3">
        <v>4</v>
      </c>
      <c r="AI595" s="3">
        <v>4</v>
      </c>
      <c r="AJ595" s="3">
        <v>2</v>
      </c>
      <c r="AK595" s="3">
        <v>2</v>
      </c>
      <c r="AL595" s="3">
        <v>4</v>
      </c>
      <c r="AM595" s="3">
        <v>5</v>
      </c>
      <c r="AN595" s="3">
        <v>0</v>
      </c>
      <c r="AO595" s="3">
        <v>0</v>
      </c>
      <c r="AP595" s="3">
        <v>0</v>
      </c>
      <c r="AQ595" s="3">
        <v>0</v>
      </c>
      <c r="AR595" s="2" t="s">
        <v>63</v>
      </c>
      <c r="AS595" s="2" t="s">
        <v>92</v>
      </c>
      <c r="AT595" s="5" t="str">
        <f>HYPERLINK("http://catalog.hathitrust.org/Record/004572487","HathiTrust Record")</f>
        <v>HathiTrust Record</v>
      </c>
      <c r="AU595" s="5" t="str">
        <f>HYPERLINK("https://creighton-primo.hosted.exlibrisgroup.com/primo-explore/search?tab=default_tab&amp;search_scope=EVERYTHING&amp;vid=01CRU&amp;lang=en_US&amp;offset=0&amp;query=any,contains,991001491849702656","Catalog Record")</f>
        <v>Catalog Record</v>
      </c>
      <c r="AV595" s="5" t="str">
        <f>HYPERLINK("http://www.worldcat.org/oclc/30892084","WorldCat Record")</f>
        <v>WorldCat Record</v>
      </c>
      <c r="AW595" s="2" t="s">
        <v>7480</v>
      </c>
      <c r="AX595" s="2" t="s">
        <v>7481</v>
      </c>
      <c r="AY595" s="2" t="s">
        <v>7482</v>
      </c>
      <c r="AZ595" s="2" t="s">
        <v>7482</v>
      </c>
      <c r="BA595" s="2" t="s">
        <v>7483</v>
      </c>
      <c r="BB595" s="2" t="s">
        <v>79</v>
      </c>
      <c r="BD595" s="2" t="s">
        <v>7484</v>
      </c>
      <c r="BE595" s="2" t="s">
        <v>7485</v>
      </c>
      <c r="BF595" s="2" t="s">
        <v>7486</v>
      </c>
    </row>
    <row r="596" spans="1:58" ht="46.5" customHeight="1">
      <c r="A596" s="1"/>
      <c r="B596" s="1" t="s">
        <v>58</v>
      </c>
      <c r="C596" s="1" t="s">
        <v>59</v>
      </c>
      <c r="D596" s="1" t="s">
        <v>7487</v>
      </c>
      <c r="E596" s="1" t="s">
        <v>7488</v>
      </c>
      <c r="F596" s="1" t="s">
        <v>7489</v>
      </c>
      <c r="G596" s="2" t="s">
        <v>7490</v>
      </c>
      <c r="H596" s="2" t="s">
        <v>63</v>
      </c>
      <c r="I596" s="2" t="s">
        <v>64</v>
      </c>
      <c r="J596" s="2" t="s">
        <v>63</v>
      </c>
      <c r="K596" s="2" t="s">
        <v>63</v>
      </c>
      <c r="L596" s="2" t="s">
        <v>65</v>
      </c>
      <c r="M596" s="1" t="s">
        <v>7491</v>
      </c>
      <c r="N596" s="1" t="s">
        <v>7492</v>
      </c>
      <c r="O596" s="2" t="s">
        <v>198</v>
      </c>
      <c r="Q596" s="2" t="s">
        <v>70</v>
      </c>
      <c r="R596" s="2" t="s">
        <v>377</v>
      </c>
      <c r="S596" s="1" t="s">
        <v>7493</v>
      </c>
      <c r="T596" s="2" t="s">
        <v>72</v>
      </c>
      <c r="U596" s="3">
        <v>20</v>
      </c>
      <c r="V596" s="3">
        <v>20</v>
      </c>
      <c r="W596" s="4" t="s">
        <v>7494</v>
      </c>
      <c r="X596" s="4" t="s">
        <v>7494</v>
      </c>
      <c r="Y596" s="4" t="s">
        <v>247</v>
      </c>
      <c r="Z596" s="4" t="s">
        <v>247</v>
      </c>
      <c r="AA596" s="3">
        <v>106</v>
      </c>
      <c r="AB596" s="3">
        <v>62</v>
      </c>
      <c r="AC596" s="3">
        <v>64</v>
      </c>
      <c r="AD596" s="3">
        <v>1</v>
      </c>
      <c r="AE596" s="3">
        <v>1</v>
      </c>
      <c r="AF596" s="3">
        <v>2</v>
      </c>
      <c r="AG596" s="3">
        <v>2</v>
      </c>
      <c r="AH596" s="3">
        <v>1</v>
      </c>
      <c r="AI596" s="3">
        <v>1</v>
      </c>
      <c r="AJ596" s="3">
        <v>1</v>
      </c>
      <c r="AK596" s="3">
        <v>1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2" t="s">
        <v>63</v>
      </c>
      <c r="AS596" s="2" t="s">
        <v>92</v>
      </c>
      <c r="AT596" s="5" t="str">
        <f>HYPERLINK("http://catalog.hathitrust.org/Record/000951229","HathiTrust Record")</f>
        <v>HathiTrust Record</v>
      </c>
      <c r="AU596" s="5" t="str">
        <f>HYPERLINK("https://creighton-primo.hosted.exlibrisgroup.com/primo-explore/search?tab=default_tab&amp;search_scope=EVERYTHING&amp;vid=01CRU&amp;lang=en_US&amp;offset=0&amp;query=any,contains,991001297119702656","Catalog Record")</f>
        <v>Catalog Record</v>
      </c>
      <c r="AV596" s="5" t="str">
        <f>HYPERLINK("http://www.worldcat.org/oclc/17440756","WorldCat Record")</f>
        <v>WorldCat Record</v>
      </c>
      <c r="AW596" s="2" t="s">
        <v>7495</v>
      </c>
      <c r="AX596" s="2" t="s">
        <v>7496</v>
      </c>
      <c r="AY596" s="2" t="s">
        <v>7497</v>
      </c>
      <c r="AZ596" s="2" t="s">
        <v>7497</v>
      </c>
      <c r="BA596" s="2" t="s">
        <v>7498</v>
      </c>
      <c r="BB596" s="2" t="s">
        <v>79</v>
      </c>
      <c r="BD596" s="2" t="s">
        <v>7499</v>
      </c>
      <c r="BE596" s="2" t="s">
        <v>7500</v>
      </c>
      <c r="BF596" s="2" t="s">
        <v>7501</v>
      </c>
    </row>
    <row r="597" spans="1:58" ht="46.5" customHeight="1">
      <c r="A597" s="1"/>
      <c r="B597" s="1" t="s">
        <v>58</v>
      </c>
      <c r="C597" s="1" t="s">
        <v>59</v>
      </c>
      <c r="D597" s="1" t="s">
        <v>7502</v>
      </c>
      <c r="E597" s="1" t="s">
        <v>7503</v>
      </c>
      <c r="F597" s="1" t="s">
        <v>7504</v>
      </c>
      <c r="H597" s="2" t="s">
        <v>63</v>
      </c>
      <c r="I597" s="2" t="s">
        <v>64</v>
      </c>
      <c r="J597" s="2" t="s">
        <v>63</v>
      </c>
      <c r="K597" s="2" t="s">
        <v>92</v>
      </c>
      <c r="L597" s="2" t="s">
        <v>65</v>
      </c>
      <c r="N597" s="1" t="s">
        <v>649</v>
      </c>
      <c r="O597" s="2" t="s">
        <v>198</v>
      </c>
      <c r="P597" s="1" t="s">
        <v>7505</v>
      </c>
      <c r="Q597" s="2" t="s">
        <v>70</v>
      </c>
      <c r="R597" s="2" t="s">
        <v>89</v>
      </c>
      <c r="T597" s="2" t="s">
        <v>72</v>
      </c>
      <c r="U597" s="3">
        <v>120</v>
      </c>
      <c r="V597" s="3">
        <v>120</v>
      </c>
      <c r="W597" s="4" t="s">
        <v>7431</v>
      </c>
      <c r="X597" s="4" t="s">
        <v>7431</v>
      </c>
      <c r="Y597" s="4" t="s">
        <v>854</v>
      </c>
      <c r="Z597" s="4" t="s">
        <v>854</v>
      </c>
      <c r="AA597" s="3">
        <v>157</v>
      </c>
      <c r="AB597" s="3">
        <v>110</v>
      </c>
      <c r="AC597" s="3">
        <v>364</v>
      </c>
      <c r="AD597" s="3">
        <v>1</v>
      </c>
      <c r="AE597" s="3">
        <v>3</v>
      </c>
      <c r="AF597" s="3">
        <v>1</v>
      </c>
      <c r="AG597" s="3">
        <v>13</v>
      </c>
      <c r="AH597" s="3">
        <v>0</v>
      </c>
      <c r="AI597" s="3">
        <v>8</v>
      </c>
      <c r="AJ597" s="3">
        <v>1</v>
      </c>
      <c r="AK597" s="3">
        <v>4</v>
      </c>
      <c r="AL597" s="3">
        <v>0</v>
      </c>
      <c r="AM597" s="3">
        <v>3</v>
      </c>
      <c r="AN597" s="3">
        <v>0</v>
      </c>
      <c r="AO597" s="3">
        <v>1</v>
      </c>
      <c r="AP597" s="3">
        <v>0</v>
      </c>
      <c r="AQ597" s="3">
        <v>0</v>
      </c>
      <c r="AR597" s="2" t="s">
        <v>63</v>
      </c>
      <c r="AS597" s="2" t="s">
        <v>92</v>
      </c>
      <c r="AT597" s="5" t="str">
        <f>HYPERLINK("http://catalog.hathitrust.org/Record/002443443","HathiTrust Record")</f>
        <v>HathiTrust Record</v>
      </c>
      <c r="AU597" s="5" t="str">
        <f>HYPERLINK("https://creighton-primo.hosted.exlibrisgroup.com/primo-explore/search?tab=default_tab&amp;search_scope=EVERYTHING&amp;vid=01CRU&amp;lang=en_US&amp;offset=0&amp;query=any,contains,991000943969702656","Catalog Record")</f>
        <v>Catalog Record</v>
      </c>
      <c r="AV597" s="5" t="str">
        <f>HYPERLINK("http://www.worldcat.org/oclc/22813514","WorldCat Record")</f>
        <v>WorldCat Record</v>
      </c>
      <c r="AW597" s="2" t="s">
        <v>7506</v>
      </c>
      <c r="AX597" s="2" t="s">
        <v>7507</v>
      </c>
      <c r="AY597" s="2" t="s">
        <v>7508</v>
      </c>
      <c r="AZ597" s="2" t="s">
        <v>7508</v>
      </c>
      <c r="BA597" s="2" t="s">
        <v>7509</v>
      </c>
      <c r="BB597" s="2" t="s">
        <v>79</v>
      </c>
      <c r="BD597" s="2" t="s">
        <v>7510</v>
      </c>
      <c r="BE597" s="2" t="s">
        <v>7511</v>
      </c>
      <c r="BF597" s="2" t="s">
        <v>7512</v>
      </c>
    </row>
    <row r="598" spans="1:58" ht="46.5" customHeight="1">
      <c r="A598" s="1"/>
      <c r="B598" s="1" t="s">
        <v>58</v>
      </c>
      <c r="C598" s="1" t="s">
        <v>59</v>
      </c>
      <c r="D598" s="1" t="s">
        <v>7513</v>
      </c>
      <c r="E598" s="1" t="s">
        <v>7514</v>
      </c>
      <c r="F598" s="1" t="s">
        <v>7515</v>
      </c>
      <c r="H598" s="2" t="s">
        <v>63</v>
      </c>
      <c r="I598" s="2" t="s">
        <v>64</v>
      </c>
      <c r="J598" s="2" t="s">
        <v>63</v>
      </c>
      <c r="K598" s="2" t="s">
        <v>63</v>
      </c>
      <c r="L598" s="2" t="s">
        <v>65</v>
      </c>
      <c r="N598" s="1" t="s">
        <v>7516</v>
      </c>
      <c r="O598" s="2" t="s">
        <v>423</v>
      </c>
      <c r="Q598" s="2" t="s">
        <v>70</v>
      </c>
      <c r="R598" s="2" t="s">
        <v>1739</v>
      </c>
      <c r="T598" s="2" t="s">
        <v>72</v>
      </c>
      <c r="U598" s="3">
        <v>10</v>
      </c>
      <c r="V598" s="3">
        <v>10</v>
      </c>
      <c r="W598" s="4" t="s">
        <v>7517</v>
      </c>
      <c r="X598" s="4" t="s">
        <v>7517</v>
      </c>
      <c r="Y598" s="4" t="s">
        <v>1614</v>
      </c>
      <c r="Z598" s="4" t="s">
        <v>1614</v>
      </c>
      <c r="AA598" s="3">
        <v>8</v>
      </c>
      <c r="AB598" s="3">
        <v>8</v>
      </c>
      <c r="AC598" s="3">
        <v>18</v>
      </c>
      <c r="AD598" s="3">
        <v>1</v>
      </c>
      <c r="AE598" s="3">
        <v>1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2" t="s">
        <v>63</v>
      </c>
      <c r="AS598" s="2" t="s">
        <v>63</v>
      </c>
      <c r="AU598" s="5" t="str">
        <f>HYPERLINK("https://creighton-primo.hosted.exlibrisgroup.com/primo-explore/search?tab=default_tab&amp;search_scope=EVERYTHING&amp;vid=01CRU&amp;lang=en_US&amp;offset=0&amp;query=any,contains,991001298779702656","Catalog Record")</f>
        <v>Catalog Record</v>
      </c>
      <c r="AV598" s="5" t="str">
        <f>HYPERLINK("http://www.worldcat.org/oclc/20803463","WorldCat Record")</f>
        <v>WorldCat Record</v>
      </c>
      <c r="AW598" s="2" t="s">
        <v>7518</v>
      </c>
      <c r="AX598" s="2" t="s">
        <v>7519</v>
      </c>
      <c r="AY598" s="2" t="s">
        <v>7520</v>
      </c>
      <c r="AZ598" s="2" t="s">
        <v>7520</v>
      </c>
      <c r="BA598" s="2" t="s">
        <v>7521</v>
      </c>
      <c r="BB598" s="2" t="s">
        <v>79</v>
      </c>
      <c r="BE598" s="2" t="s">
        <v>7522</v>
      </c>
      <c r="BF598" s="2" t="s">
        <v>7523</v>
      </c>
    </row>
    <row r="599" spans="1:58" ht="46.5" customHeight="1">
      <c r="A599" s="1"/>
      <c r="B599" s="1" t="s">
        <v>58</v>
      </c>
      <c r="C599" s="1" t="s">
        <v>59</v>
      </c>
      <c r="D599" s="1" t="s">
        <v>7524</v>
      </c>
      <c r="E599" s="1" t="s">
        <v>7525</v>
      </c>
      <c r="F599" s="1" t="s">
        <v>7526</v>
      </c>
      <c r="H599" s="2" t="s">
        <v>63</v>
      </c>
      <c r="I599" s="2" t="s">
        <v>64</v>
      </c>
      <c r="J599" s="2" t="s">
        <v>63</v>
      </c>
      <c r="K599" s="2" t="s">
        <v>63</v>
      </c>
      <c r="L599" s="2" t="s">
        <v>65</v>
      </c>
      <c r="M599" s="1" t="s">
        <v>7527</v>
      </c>
      <c r="N599" s="1" t="s">
        <v>7528</v>
      </c>
      <c r="O599" s="2" t="s">
        <v>540</v>
      </c>
      <c r="P599" s="1" t="s">
        <v>230</v>
      </c>
      <c r="Q599" s="2" t="s">
        <v>70</v>
      </c>
      <c r="R599" s="2" t="s">
        <v>200</v>
      </c>
      <c r="T599" s="2" t="s">
        <v>72</v>
      </c>
      <c r="U599" s="3">
        <v>0</v>
      </c>
      <c r="V599" s="3">
        <v>0</v>
      </c>
      <c r="W599" s="4" t="s">
        <v>2984</v>
      </c>
      <c r="X599" s="4" t="s">
        <v>2984</v>
      </c>
      <c r="Y599" s="4" t="s">
        <v>7529</v>
      </c>
      <c r="Z599" s="4" t="s">
        <v>7529</v>
      </c>
      <c r="AA599" s="3">
        <v>44</v>
      </c>
      <c r="AB599" s="3">
        <v>36</v>
      </c>
      <c r="AC599" s="3">
        <v>698</v>
      </c>
      <c r="AD599" s="3">
        <v>0</v>
      </c>
      <c r="AE599" s="3">
        <v>5</v>
      </c>
      <c r="AF599" s="3">
        <v>0</v>
      </c>
      <c r="AG599" s="3">
        <v>19</v>
      </c>
      <c r="AH599" s="3">
        <v>0</v>
      </c>
      <c r="AI599" s="3">
        <v>7</v>
      </c>
      <c r="AJ599" s="3">
        <v>0</v>
      </c>
      <c r="AK599" s="3">
        <v>1</v>
      </c>
      <c r="AL599" s="3">
        <v>0</v>
      </c>
      <c r="AM599" s="3">
        <v>8</v>
      </c>
      <c r="AN599" s="3">
        <v>0</v>
      </c>
      <c r="AO599" s="3">
        <v>3</v>
      </c>
      <c r="AP599" s="3">
        <v>0</v>
      </c>
      <c r="AQ599" s="3">
        <v>0</v>
      </c>
      <c r="AR599" s="2" t="s">
        <v>63</v>
      </c>
      <c r="AS599" s="2" t="s">
        <v>63</v>
      </c>
      <c r="AU599" s="5" t="str">
        <f>HYPERLINK("https://creighton-primo.hosted.exlibrisgroup.com/primo-explore/search?tab=default_tab&amp;search_scope=EVERYTHING&amp;vid=01CRU&amp;lang=en_US&amp;offset=0&amp;query=any,contains,991001737179702656","Catalog Record")</f>
        <v>Catalog Record</v>
      </c>
      <c r="AV599" s="5" t="str">
        <f>HYPERLINK("http://www.worldcat.org/oclc/61424876","WorldCat Record")</f>
        <v>WorldCat Record</v>
      </c>
      <c r="AW599" s="2" t="s">
        <v>7530</v>
      </c>
      <c r="AX599" s="2" t="s">
        <v>7531</v>
      </c>
      <c r="AY599" s="2" t="s">
        <v>7532</v>
      </c>
      <c r="AZ599" s="2" t="s">
        <v>7532</v>
      </c>
      <c r="BA599" s="2" t="s">
        <v>7533</v>
      </c>
      <c r="BB599" s="2" t="s">
        <v>79</v>
      </c>
      <c r="BD599" s="2" t="s">
        <v>7534</v>
      </c>
      <c r="BE599" s="2" t="s">
        <v>7535</v>
      </c>
      <c r="BF599" s="2" t="s">
        <v>7536</v>
      </c>
    </row>
    <row r="600" spans="1:58" ht="46.5" customHeight="1">
      <c r="A600" s="1"/>
      <c r="B600" s="1" t="s">
        <v>58</v>
      </c>
      <c r="C600" s="1" t="s">
        <v>59</v>
      </c>
      <c r="D600" s="1" t="s">
        <v>7537</v>
      </c>
      <c r="E600" s="1" t="s">
        <v>7538</v>
      </c>
      <c r="F600" s="1" t="s">
        <v>7539</v>
      </c>
      <c r="H600" s="2" t="s">
        <v>63</v>
      </c>
      <c r="I600" s="2" t="s">
        <v>64</v>
      </c>
      <c r="J600" s="2" t="s">
        <v>63</v>
      </c>
      <c r="K600" s="2" t="s">
        <v>63</v>
      </c>
      <c r="L600" s="2" t="s">
        <v>65</v>
      </c>
      <c r="M600" s="1" t="s">
        <v>438</v>
      </c>
      <c r="N600" s="1" t="s">
        <v>7540</v>
      </c>
      <c r="O600" s="2" t="s">
        <v>292</v>
      </c>
      <c r="Q600" s="2" t="s">
        <v>70</v>
      </c>
      <c r="R600" s="2" t="s">
        <v>89</v>
      </c>
      <c r="T600" s="2" t="s">
        <v>72</v>
      </c>
      <c r="U600" s="3">
        <v>6</v>
      </c>
      <c r="V600" s="3">
        <v>6</v>
      </c>
      <c r="W600" s="4" t="s">
        <v>7541</v>
      </c>
      <c r="X600" s="4" t="s">
        <v>7541</v>
      </c>
      <c r="Y600" s="4" t="s">
        <v>7542</v>
      </c>
      <c r="Z600" s="4" t="s">
        <v>7542</v>
      </c>
      <c r="AA600" s="3">
        <v>113</v>
      </c>
      <c r="AB600" s="3">
        <v>101</v>
      </c>
      <c r="AC600" s="3">
        <v>764</v>
      </c>
      <c r="AD600" s="3">
        <v>2</v>
      </c>
      <c r="AE600" s="3">
        <v>3</v>
      </c>
      <c r="AF600" s="3">
        <v>1</v>
      </c>
      <c r="AG600" s="3">
        <v>18</v>
      </c>
      <c r="AH600" s="3">
        <v>1</v>
      </c>
      <c r="AI600" s="3">
        <v>9</v>
      </c>
      <c r="AJ600" s="3">
        <v>0</v>
      </c>
      <c r="AK600" s="3">
        <v>3</v>
      </c>
      <c r="AL600" s="3">
        <v>0</v>
      </c>
      <c r="AM600" s="3">
        <v>8</v>
      </c>
      <c r="AN600" s="3">
        <v>0</v>
      </c>
      <c r="AO600" s="3">
        <v>1</v>
      </c>
      <c r="AP600" s="3">
        <v>0</v>
      </c>
      <c r="AQ600" s="3">
        <v>0</v>
      </c>
      <c r="AR600" s="2" t="s">
        <v>63</v>
      </c>
      <c r="AS600" s="2" t="s">
        <v>63</v>
      </c>
      <c r="AU600" s="5" t="str">
        <f>HYPERLINK("https://creighton-primo.hosted.exlibrisgroup.com/primo-explore/search?tab=default_tab&amp;search_scope=EVERYTHING&amp;vid=01CRU&amp;lang=en_US&amp;offset=0&amp;query=any,contains,991001313139702656","Catalog Record")</f>
        <v>Catalog Record</v>
      </c>
      <c r="AV600" s="5" t="str">
        <f>HYPERLINK("http://www.worldcat.org/oclc/17201041","WorldCat Record")</f>
        <v>WorldCat Record</v>
      </c>
      <c r="AW600" s="2" t="s">
        <v>7543</v>
      </c>
      <c r="AX600" s="2" t="s">
        <v>7544</v>
      </c>
      <c r="AY600" s="2" t="s">
        <v>7545</v>
      </c>
      <c r="AZ600" s="2" t="s">
        <v>7545</v>
      </c>
      <c r="BA600" s="2" t="s">
        <v>7546</v>
      </c>
      <c r="BB600" s="2" t="s">
        <v>79</v>
      </c>
      <c r="BD600" s="2" t="s">
        <v>7547</v>
      </c>
      <c r="BE600" s="2" t="s">
        <v>7548</v>
      </c>
      <c r="BF600" s="2" t="s">
        <v>7549</v>
      </c>
    </row>
    <row r="601" spans="1:58" ht="46.5" customHeight="1">
      <c r="A601" s="1"/>
      <c r="B601" s="1" t="s">
        <v>58</v>
      </c>
      <c r="C601" s="1" t="s">
        <v>59</v>
      </c>
      <c r="D601" s="1" t="s">
        <v>7550</v>
      </c>
      <c r="E601" s="1" t="s">
        <v>7551</v>
      </c>
      <c r="F601" s="1" t="s">
        <v>7552</v>
      </c>
      <c r="H601" s="2" t="s">
        <v>63</v>
      </c>
      <c r="I601" s="2" t="s">
        <v>64</v>
      </c>
      <c r="J601" s="2" t="s">
        <v>63</v>
      </c>
      <c r="K601" s="2" t="s">
        <v>63</v>
      </c>
      <c r="L601" s="2" t="s">
        <v>65</v>
      </c>
      <c r="M601" s="1" t="s">
        <v>7553</v>
      </c>
      <c r="N601" s="1" t="s">
        <v>2588</v>
      </c>
      <c r="O601" s="2" t="s">
        <v>292</v>
      </c>
      <c r="P601" s="1" t="s">
        <v>157</v>
      </c>
      <c r="Q601" s="2" t="s">
        <v>70</v>
      </c>
      <c r="R601" s="2" t="s">
        <v>89</v>
      </c>
      <c r="T601" s="2" t="s">
        <v>72</v>
      </c>
      <c r="U601" s="3">
        <v>12</v>
      </c>
      <c r="V601" s="3">
        <v>12</v>
      </c>
      <c r="W601" s="4" t="s">
        <v>7554</v>
      </c>
      <c r="X601" s="4" t="s">
        <v>7554</v>
      </c>
      <c r="Y601" s="4" t="s">
        <v>7555</v>
      </c>
      <c r="Z601" s="4" t="s">
        <v>7555</v>
      </c>
      <c r="AA601" s="3">
        <v>101</v>
      </c>
      <c r="AB601" s="3">
        <v>80</v>
      </c>
      <c r="AC601" s="3">
        <v>124</v>
      </c>
      <c r="AD601" s="3">
        <v>1</v>
      </c>
      <c r="AE601" s="3">
        <v>1</v>
      </c>
      <c r="AF601" s="3">
        <v>0</v>
      </c>
      <c r="AG601" s="3">
        <v>2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2</v>
      </c>
      <c r="AN601" s="3">
        <v>0</v>
      </c>
      <c r="AO601" s="3">
        <v>0</v>
      </c>
      <c r="AP601" s="3">
        <v>0</v>
      </c>
      <c r="AQ601" s="3">
        <v>0</v>
      </c>
      <c r="AR601" s="2" t="s">
        <v>63</v>
      </c>
      <c r="AS601" s="2" t="s">
        <v>92</v>
      </c>
      <c r="AT601" s="5" t="str">
        <f>HYPERLINK("http://catalog.hathitrust.org/Record/001298407","HathiTrust Record")</f>
        <v>HathiTrust Record</v>
      </c>
      <c r="AU601" s="5" t="str">
        <f>HYPERLINK("https://creighton-primo.hosted.exlibrisgroup.com/primo-explore/search?tab=default_tab&amp;search_scope=EVERYTHING&amp;vid=01CRU&amp;lang=en_US&amp;offset=0&amp;query=any,contains,991001419079702656","Catalog Record")</f>
        <v>Catalog Record</v>
      </c>
      <c r="AV601" s="5" t="str">
        <f>HYPERLINK("http://www.worldcat.org/oclc/16525315","WorldCat Record")</f>
        <v>WorldCat Record</v>
      </c>
      <c r="AW601" s="2" t="s">
        <v>7556</v>
      </c>
      <c r="AX601" s="2" t="s">
        <v>7557</v>
      </c>
      <c r="AY601" s="2" t="s">
        <v>7558</v>
      </c>
      <c r="AZ601" s="2" t="s">
        <v>7558</v>
      </c>
      <c r="BA601" s="2" t="s">
        <v>7559</v>
      </c>
      <c r="BB601" s="2" t="s">
        <v>79</v>
      </c>
      <c r="BD601" s="2" t="s">
        <v>7560</v>
      </c>
      <c r="BE601" s="2" t="s">
        <v>7561</v>
      </c>
      <c r="BF601" s="2" t="s">
        <v>7562</v>
      </c>
    </row>
    <row r="602" spans="1:58" ht="46.5" customHeight="1">
      <c r="A602" s="1"/>
      <c r="B602" s="1" t="s">
        <v>58</v>
      </c>
      <c r="C602" s="1" t="s">
        <v>59</v>
      </c>
      <c r="D602" s="1" t="s">
        <v>7563</v>
      </c>
      <c r="E602" s="1" t="s">
        <v>7564</v>
      </c>
      <c r="F602" s="1" t="s">
        <v>7565</v>
      </c>
      <c r="H602" s="2" t="s">
        <v>63</v>
      </c>
      <c r="I602" s="2" t="s">
        <v>64</v>
      </c>
      <c r="J602" s="2" t="s">
        <v>63</v>
      </c>
      <c r="K602" s="2" t="s">
        <v>92</v>
      </c>
      <c r="L602" s="2" t="s">
        <v>65</v>
      </c>
      <c r="N602" s="1" t="s">
        <v>7566</v>
      </c>
      <c r="O602" s="2" t="s">
        <v>87</v>
      </c>
      <c r="P602" s="1" t="s">
        <v>230</v>
      </c>
      <c r="Q602" s="2" t="s">
        <v>70</v>
      </c>
      <c r="R602" s="2" t="s">
        <v>89</v>
      </c>
      <c r="T602" s="2" t="s">
        <v>72</v>
      </c>
      <c r="U602" s="3">
        <v>10</v>
      </c>
      <c r="V602" s="3">
        <v>10</v>
      </c>
      <c r="W602" s="4" t="s">
        <v>7567</v>
      </c>
      <c r="X602" s="4" t="s">
        <v>7567</v>
      </c>
      <c r="Y602" s="4" t="s">
        <v>2046</v>
      </c>
      <c r="Z602" s="4" t="s">
        <v>2046</v>
      </c>
      <c r="AA602" s="3">
        <v>72</v>
      </c>
      <c r="AB602" s="3">
        <v>55</v>
      </c>
      <c r="AC602" s="3">
        <v>578</v>
      </c>
      <c r="AD602" s="3">
        <v>2</v>
      </c>
      <c r="AE602" s="3">
        <v>3</v>
      </c>
      <c r="AF602" s="3">
        <v>0</v>
      </c>
      <c r="AG602" s="3">
        <v>11</v>
      </c>
      <c r="AH602" s="3">
        <v>0</v>
      </c>
      <c r="AI602" s="3">
        <v>7</v>
      </c>
      <c r="AJ602" s="3">
        <v>0</v>
      </c>
      <c r="AK602" s="3">
        <v>2</v>
      </c>
      <c r="AL602" s="3">
        <v>0</v>
      </c>
      <c r="AM602" s="3">
        <v>3</v>
      </c>
      <c r="AN602" s="3">
        <v>0</v>
      </c>
      <c r="AO602" s="3">
        <v>1</v>
      </c>
      <c r="AP602" s="3">
        <v>0</v>
      </c>
      <c r="AQ602" s="3">
        <v>0</v>
      </c>
      <c r="AR602" s="2" t="s">
        <v>63</v>
      </c>
      <c r="AS602" s="2" t="s">
        <v>92</v>
      </c>
      <c r="AT602" s="5" t="str">
        <f>HYPERLINK("http://catalog.hathitrust.org/Record/000839525","HathiTrust Record")</f>
        <v>HathiTrust Record</v>
      </c>
      <c r="AU602" s="5" t="str">
        <f>HYPERLINK("https://creighton-primo.hosted.exlibrisgroup.com/primo-explore/search?tab=default_tab&amp;search_scope=EVERYTHING&amp;vid=01CRU&amp;lang=en_US&amp;offset=0&amp;query=any,contains,991001527989702656","Catalog Record")</f>
        <v>Catalog Record</v>
      </c>
      <c r="AV602" s="5" t="str">
        <f>HYPERLINK("http://www.worldcat.org/oclc/14691947","WorldCat Record")</f>
        <v>WorldCat Record</v>
      </c>
      <c r="AW602" s="2" t="s">
        <v>7568</v>
      </c>
      <c r="AX602" s="2" t="s">
        <v>7569</v>
      </c>
      <c r="AY602" s="2" t="s">
        <v>7570</v>
      </c>
      <c r="AZ602" s="2" t="s">
        <v>7570</v>
      </c>
      <c r="BA602" s="2" t="s">
        <v>7571</v>
      </c>
      <c r="BB602" s="2" t="s">
        <v>79</v>
      </c>
      <c r="BD602" s="2" t="s">
        <v>7572</v>
      </c>
      <c r="BE602" s="2" t="s">
        <v>7573</v>
      </c>
      <c r="BF602" s="2" t="s">
        <v>7574</v>
      </c>
    </row>
    <row r="603" spans="1:58" ht="46.5" customHeight="1">
      <c r="A603" s="1"/>
      <c r="B603" s="1" t="s">
        <v>58</v>
      </c>
      <c r="C603" s="1" t="s">
        <v>59</v>
      </c>
      <c r="D603" s="1" t="s">
        <v>7575</v>
      </c>
      <c r="E603" s="1" t="s">
        <v>7576</v>
      </c>
      <c r="F603" s="1" t="s">
        <v>7577</v>
      </c>
      <c r="H603" s="2" t="s">
        <v>63</v>
      </c>
      <c r="I603" s="2" t="s">
        <v>64</v>
      </c>
      <c r="J603" s="2" t="s">
        <v>63</v>
      </c>
      <c r="K603" s="2" t="s">
        <v>63</v>
      </c>
      <c r="L603" s="2" t="s">
        <v>65</v>
      </c>
      <c r="N603" s="1" t="s">
        <v>7578</v>
      </c>
      <c r="O603" s="2" t="s">
        <v>423</v>
      </c>
      <c r="Q603" s="2" t="s">
        <v>70</v>
      </c>
      <c r="R603" s="2" t="s">
        <v>377</v>
      </c>
      <c r="T603" s="2" t="s">
        <v>72</v>
      </c>
      <c r="U603" s="3">
        <v>16</v>
      </c>
      <c r="V603" s="3">
        <v>16</v>
      </c>
      <c r="W603" s="4" t="s">
        <v>5604</v>
      </c>
      <c r="X603" s="4" t="s">
        <v>5604</v>
      </c>
      <c r="Y603" s="4" t="s">
        <v>7579</v>
      </c>
      <c r="Z603" s="4" t="s">
        <v>7579</v>
      </c>
      <c r="AA603" s="3">
        <v>113</v>
      </c>
      <c r="AB603" s="3">
        <v>65</v>
      </c>
      <c r="AC603" s="3">
        <v>67</v>
      </c>
      <c r="AD603" s="3">
        <v>1</v>
      </c>
      <c r="AE603" s="3">
        <v>1</v>
      </c>
      <c r="AF603" s="3">
        <v>2</v>
      </c>
      <c r="AG603" s="3">
        <v>2</v>
      </c>
      <c r="AH603" s="3">
        <v>0</v>
      </c>
      <c r="AI603" s="3">
        <v>0</v>
      </c>
      <c r="AJ603" s="3">
        <v>1</v>
      </c>
      <c r="AK603" s="3">
        <v>1</v>
      </c>
      <c r="AL603" s="3">
        <v>1</v>
      </c>
      <c r="AM603" s="3">
        <v>1</v>
      </c>
      <c r="AN603" s="3">
        <v>0</v>
      </c>
      <c r="AO603" s="3">
        <v>0</v>
      </c>
      <c r="AP603" s="3">
        <v>0</v>
      </c>
      <c r="AQ603" s="3">
        <v>0</v>
      </c>
      <c r="AR603" s="2" t="s">
        <v>63</v>
      </c>
      <c r="AS603" s="2" t="s">
        <v>92</v>
      </c>
      <c r="AT603" s="5" t="str">
        <f>HYPERLINK("http://catalog.hathitrust.org/Record/001836274","HathiTrust Record")</f>
        <v>HathiTrust Record</v>
      </c>
      <c r="AU603" s="5" t="str">
        <f>HYPERLINK("https://creighton-primo.hosted.exlibrisgroup.com/primo-explore/search?tab=default_tab&amp;search_scope=EVERYTHING&amp;vid=01CRU&amp;lang=en_US&amp;offset=0&amp;query=any,contains,991001447699702656","Catalog Record")</f>
        <v>Catalog Record</v>
      </c>
      <c r="AV603" s="5" t="str">
        <f>HYPERLINK("http://www.worldcat.org/oclc/19815352","WorldCat Record")</f>
        <v>WorldCat Record</v>
      </c>
      <c r="AW603" s="2" t="s">
        <v>7580</v>
      </c>
      <c r="AX603" s="2" t="s">
        <v>7581</v>
      </c>
      <c r="AY603" s="2" t="s">
        <v>7582</v>
      </c>
      <c r="AZ603" s="2" t="s">
        <v>7582</v>
      </c>
      <c r="BA603" s="2" t="s">
        <v>7583</v>
      </c>
      <c r="BB603" s="2" t="s">
        <v>79</v>
      </c>
      <c r="BD603" s="2" t="s">
        <v>7584</v>
      </c>
      <c r="BE603" s="2" t="s">
        <v>7585</v>
      </c>
      <c r="BF603" s="2" t="s">
        <v>7586</v>
      </c>
    </row>
    <row r="604" spans="1:58" ht="46.5" customHeight="1">
      <c r="A604" s="1"/>
      <c r="B604" s="1" t="s">
        <v>58</v>
      </c>
      <c r="C604" s="1" t="s">
        <v>59</v>
      </c>
      <c r="D604" s="1" t="s">
        <v>7587</v>
      </c>
      <c r="E604" s="1" t="s">
        <v>7588</v>
      </c>
      <c r="F604" s="1" t="s">
        <v>7589</v>
      </c>
      <c r="H604" s="2" t="s">
        <v>63</v>
      </c>
      <c r="I604" s="2" t="s">
        <v>64</v>
      </c>
      <c r="J604" s="2" t="s">
        <v>63</v>
      </c>
      <c r="K604" s="2" t="s">
        <v>63</v>
      </c>
      <c r="L604" s="2" t="s">
        <v>65</v>
      </c>
      <c r="M604" s="1" t="s">
        <v>7590</v>
      </c>
      <c r="N604" s="1" t="s">
        <v>7591</v>
      </c>
      <c r="O604" s="2" t="s">
        <v>718</v>
      </c>
      <c r="Q604" s="2" t="s">
        <v>70</v>
      </c>
      <c r="R604" s="2" t="s">
        <v>1739</v>
      </c>
      <c r="T604" s="2" t="s">
        <v>72</v>
      </c>
      <c r="U604" s="3">
        <v>9</v>
      </c>
      <c r="V604" s="3">
        <v>9</v>
      </c>
      <c r="W604" s="4" t="s">
        <v>7592</v>
      </c>
      <c r="X604" s="4" t="s">
        <v>7592</v>
      </c>
      <c r="Y604" s="4" t="s">
        <v>2253</v>
      </c>
      <c r="Z604" s="4" t="s">
        <v>2253</v>
      </c>
      <c r="AA604" s="3">
        <v>121</v>
      </c>
      <c r="AB604" s="3">
        <v>114</v>
      </c>
      <c r="AC604" s="3">
        <v>187</v>
      </c>
      <c r="AD604" s="3">
        <v>1</v>
      </c>
      <c r="AE604" s="3">
        <v>2</v>
      </c>
      <c r="AF604" s="3">
        <v>3</v>
      </c>
      <c r="AG604" s="3">
        <v>5</v>
      </c>
      <c r="AH604" s="3">
        <v>1</v>
      </c>
      <c r="AI604" s="3">
        <v>3</v>
      </c>
      <c r="AJ604" s="3">
        <v>1</v>
      </c>
      <c r="AK604" s="3">
        <v>1</v>
      </c>
      <c r="AL604" s="3">
        <v>1</v>
      </c>
      <c r="AM604" s="3">
        <v>3</v>
      </c>
      <c r="AN604" s="3">
        <v>0</v>
      </c>
      <c r="AO604" s="3">
        <v>0</v>
      </c>
      <c r="AP604" s="3">
        <v>0</v>
      </c>
      <c r="AQ604" s="3">
        <v>0</v>
      </c>
      <c r="AR604" s="2" t="s">
        <v>63</v>
      </c>
      <c r="AS604" s="2" t="s">
        <v>63</v>
      </c>
      <c r="AU604" s="5" t="str">
        <f>HYPERLINK("https://creighton-primo.hosted.exlibrisgroup.com/primo-explore/search?tab=default_tab&amp;search_scope=EVERYTHING&amp;vid=01CRU&amp;lang=en_US&amp;offset=0&amp;query=any,contains,991001282179702656","Catalog Record")</f>
        <v>Catalog Record</v>
      </c>
      <c r="AV604" s="5" t="str">
        <f>HYPERLINK("http://www.worldcat.org/oclc/5513214","WorldCat Record")</f>
        <v>WorldCat Record</v>
      </c>
      <c r="AW604" s="2" t="s">
        <v>7593</v>
      </c>
      <c r="AX604" s="2" t="s">
        <v>7594</v>
      </c>
      <c r="AY604" s="2" t="s">
        <v>7595</v>
      </c>
      <c r="AZ604" s="2" t="s">
        <v>7595</v>
      </c>
      <c r="BA604" s="2" t="s">
        <v>7596</v>
      </c>
      <c r="BB604" s="2" t="s">
        <v>79</v>
      </c>
      <c r="BD604" s="2" t="s">
        <v>7597</v>
      </c>
      <c r="BE604" s="2" t="s">
        <v>7598</v>
      </c>
      <c r="BF604" s="2" t="s">
        <v>7599</v>
      </c>
    </row>
    <row r="605" spans="1:58" ht="46.5" customHeight="1">
      <c r="A605" s="1"/>
      <c r="B605" s="1" t="s">
        <v>58</v>
      </c>
      <c r="C605" s="1" t="s">
        <v>59</v>
      </c>
      <c r="D605" s="1" t="s">
        <v>7600</v>
      </c>
      <c r="E605" s="1" t="s">
        <v>7601</v>
      </c>
      <c r="F605" s="1" t="s">
        <v>7602</v>
      </c>
      <c r="H605" s="2" t="s">
        <v>63</v>
      </c>
      <c r="I605" s="2" t="s">
        <v>64</v>
      </c>
      <c r="J605" s="2" t="s">
        <v>63</v>
      </c>
      <c r="K605" s="2" t="s">
        <v>92</v>
      </c>
      <c r="L605" s="2" t="s">
        <v>65</v>
      </c>
      <c r="M605" s="1" t="s">
        <v>7603</v>
      </c>
      <c r="N605" s="1" t="s">
        <v>800</v>
      </c>
      <c r="O605" s="2" t="s">
        <v>407</v>
      </c>
      <c r="P605" s="1" t="s">
        <v>259</v>
      </c>
      <c r="Q605" s="2" t="s">
        <v>70</v>
      </c>
      <c r="R605" s="2" t="s">
        <v>89</v>
      </c>
      <c r="T605" s="2" t="s">
        <v>72</v>
      </c>
      <c r="U605" s="3">
        <v>9</v>
      </c>
      <c r="V605" s="3">
        <v>9</v>
      </c>
      <c r="W605" s="4" t="s">
        <v>7592</v>
      </c>
      <c r="X605" s="4" t="s">
        <v>7592</v>
      </c>
      <c r="Y605" s="4" t="s">
        <v>5089</v>
      </c>
      <c r="Z605" s="4" t="s">
        <v>5089</v>
      </c>
      <c r="AA605" s="3">
        <v>64</v>
      </c>
      <c r="AB605" s="3">
        <v>57</v>
      </c>
      <c r="AC605" s="3">
        <v>700</v>
      </c>
      <c r="AD605" s="3">
        <v>1</v>
      </c>
      <c r="AE605" s="3">
        <v>4</v>
      </c>
      <c r="AF605" s="3">
        <v>1</v>
      </c>
      <c r="AG605" s="3">
        <v>14</v>
      </c>
      <c r="AH605" s="3">
        <v>0</v>
      </c>
      <c r="AI605" s="3">
        <v>6</v>
      </c>
      <c r="AJ605" s="3">
        <v>0</v>
      </c>
      <c r="AK605" s="3">
        <v>1</v>
      </c>
      <c r="AL605" s="3">
        <v>1</v>
      </c>
      <c r="AM605" s="3">
        <v>6</v>
      </c>
      <c r="AN605" s="3">
        <v>0</v>
      </c>
      <c r="AO605" s="3">
        <v>2</v>
      </c>
      <c r="AP605" s="3">
        <v>0</v>
      </c>
      <c r="AQ605" s="3">
        <v>0</v>
      </c>
      <c r="AR605" s="2" t="s">
        <v>63</v>
      </c>
      <c r="AS605" s="2" t="s">
        <v>63</v>
      </c>
      <c r="AU605" s="5" t="str">
        <f>HYPERLINK("https://creighton-primo.hosted.exlibrisgroup.com/primo-explore/search?tab=default_tab&amp;search_scope=EVERYTHING&amp;vid=01CRU&amp;lang=en_US&amp;offset=0&amp;query=any,contains,991000815839702656","Catalog Record")</f>
        <v>Catalog Record</v>
      </c>
      <c r="AV605" s="5" t="str">
        <f>HYPERLINK("http://www.worldcat.org/oclc/20220212","WorldCat Record")</f>
        <v>WorldCat Record</v>
      </c>
      <c r="AW605" s="2" t="s">
        <v>7604</v>
      </c>
      <c r="AX605" s="2" t="s">
        <v>7605</v>
      </c>
      <c r="AY605" s="2" t="s">
        <v>7606</v>
      </c>
      <c r="AZ605" s="2" t="s">
        <v>7606</v>
      </c>
      <c r="BA605" s="2" t="s">
        <v>7607</v>
      </c>
      <c r="BB605" s="2" t="s">
        <v>79</v>
      </c>
      <c r="BD605" s="2" t="s">
        <v>7608</v>
      </c>
      <c r="BE605" s="2" t="s">
        <v>7609</v>
      </c>
      <c r="BF605" s="2" t="s">
        <v>7610</v>
      </c>
    </row>
    <row r="606" spans="1:58" ht="46.5" customHeight="1">
      <c r="A606" s="1"/>
      <c r="B606" s="1" t="s">
        <v>58</v>
      </c>
      <c r="C606" s="1" t="s">
        <v>59</v>
      </c>
      <c r="D606" s="1" t="s">
        <v>7611</v>
      </c>
      <c r="E606" s="1" t="s">
        <v>7612</v>
      </c>
      <c r="F606" s="1" t="s">
        <v>7602</v>
      </c>
      <c r="H606" s="2" t="s">
        <v>63</v>
      </c>
      <c r="I606" s="2" t="s">
        <v>64</v>
      </c>
      <c r="J606" s="2" t="s">
        <v>63</v>
      </c>
      <c r="K606" s="2" t="s">
        <v>92</v>
      </c>
      <c r="L606" s="2" t="s">
        <v>65</v>
      </c>
      <c r="M606" s="1" t="s">
        <v>7603</v>
      </c>
      <c r="N606" s="1" t="s">
        <v>7613</v>
      </c>
      <c r="O606" s="2" t="s">
        <v>484</v>
      </c>
      <c r="P606" s="1" t="s">
        <v>1228</v>
      </c>
      <c r="Q606" s="2" t="s">
        <v>70</v>
      </c>
      <c r="R606" s="2" t="s">
        <v>4750</v>
      </c>
      <c r="T606" s="2" t="s">
        <v>72</v>
      </c>
      <c r="U606" s="3">
        <v>0</v>
      </c>
      <c r="V606" s="3">
        <v>0</v>
      </c>
      <c r="W606" s="4" t="s">
        <v>2984</v>
      </c>
      <c r="X606" s="4" t="s">
        <v>2984</v>
      </c>
      <c r="Y606" s="4" t="s">
        <v>7529</v>
      </c>
      <c r="Z606" s="4" t="s">
        <v>7529</v>
      </c>
      <c r="AA606" s="3">
        <v>201</v>
      </c>
      <c r="AB606" s="3">
        <v>164</v>
      </c>
      <c r="AC606" s="3">
        <v>700</v>
      </c>
      <c r="AD606" s="3">
        <v>1</v>
      </c>
      <c r="AE606" s="3">
        <v>4</v>
      </c>
      <c r="AF606" s="3">
        <v>4</v>
      </c>
      <c r="AG606" s="3">
        <v>14</v>
      </c>
      <c r="AH606" s="3">
        <v>0</v>
      </c>
      <c r="AI606" s="3">
        <v>6</v>
      </c>
      <c r="AJ606" s="3">
        <v>1</v>
      </c>
      <c r="AK606" s="3">
        <v>1</v>
      </c>
      <c r="AL606" s="3">
        <v>3</v>
      </c>
      <c r="AM606" s="3">
        <v>6</v>
      </c>
      <c r="AN606" s="3">
        <v>0</v>
      </c>
      <c r="AO606" s="3">
        <v>2</v>
      </c>
      <c r="AP606" s="3">
        <v>0</v>
      </c>
      <c r="AQ606" s="3">
        <v>0</v>
      </c>
      <c r="AR606" s="2" t="s">
        <v>63</v>
      </c>
      <c r="AS606" s="2" t="s">
        <v>63</v>
      </c>
      <c r="AU606" s="5" t="str">
        <f>HYPERLINK("https://creighton-primo.hosted.exlibrisgroup.com/primo-explore/search?tab=default_tab&amp;search_scope=EVERYTHING&amp;vid=01CRU&amp;lang=en_US&amp;offset=0&amp;query=any,contains,991001743909702656","Catalog Record")</f>
        <v>Catalog Record</v>
      </c>
      <c r="AV606" s="5" t="str">
        <f>HYPERLINK("http://www.worldcat.org/oclc/52041266","WorldCat Record")</f>
        <v>WorldCat Record</v>
      </c>
      <c r="AW606" s="2" t="s">
        <v>7604</v>
      </c>
      <c r="AX606" s="2" t="s">
        <v>7614</v>
      </c>
      <c r="AY606" s="2" t="s">
        <v>7615</v>
      </c>
      <c r="AZ606" s="2" t="s">
        <v>7615</v>
      </c>
      <c r="BA606" s="2" t="s">
        <v>7616</v>
      </c>
      <c r="BB606" s="2" t="s">
        <v>79</v>
      </c>
      <c r="BD606" s="2" t="s">
        <v>7617</v>
      </c>
      <c r="BE606" s="2" t="s">
        <v>7618</v>
      </c>
      <c r="BF606" s="2" t="s">
        <v>7619</v>
      </c>
    </row>
    <row r="607" spans="1:58" ht="46.5" customHeight="1">
      <c r="A607" s="1"/>
      <c r="B607" s="1" t="s">
        <v>58</v>
      </c>
      <c r="C607" s="1" t="s">
        <v>59</v>
      </c>
      <c r="D607" s="1" t="s">
        <v>7620</v>
      </c>
      <c r="E607" s="1" t="s">
        <v>7621</v>
      </c>
      <c r="F607" s="1" t="s">
        <v>7622</v>
      </c>
      <c r="H607" s="2" t="s">
        <v>63</v>
      </c>
      <c r="I607" s="2" t="s">
        <v>64</v>
      </c>
      <c r="J607" s="2" t="s">
        <v>63</v>
      </c>
      <c r="K607" s="2" t="s">
        <v>92</v>
      </c>
      <c r="L607" s="2" t="s">
        <v>65</v>
      </c>
      <c r="M607" s="1" t="s">
        <v>7603</v>
      </c>
      <c r="N607" s="1" t="s">
        <v>7623</v>
      </c>
      <c r="O607" s="2" t="s">
        <v>1241</v>
      </c>
      <c r="P607" s="1" t="s">
        <v>469</v>
      </c>
      <c r="Q607" s="2" t="s">
        <v>70</v>
      </c>
      <c r="R607" s="2" t="s">
        <v>277</v>
      </c>
      <c r="T607" s="2" t="s">
        <v>72</v>
      </c>
      <c r="U607" s="3">
        <v>0</v>
      </c>
      <c r="V607" s="3">
        <v>0</v>
      </c>
      <c r="W607" s="4" t="s">
        <v>7624</v>
      </c>
      <c r="X607" s="4" t="s">
        <v>7624</v>
      </c>
      <c r="Y607" s="4" t="s">
        <v>7625</v>
      </c>
      <c r="Z607" s="4" t="s">
        <v>7625</v>
      </c>
      <c r="AA607" s="3">
        <v>247</v>
      </c>
      <c r="AB607" s="3">
        <v>212</v>
      </c>
      <c r="AC607" s="3">
        <v>700</v>
      </c>
      <c r="AD607" s="3">
        <v>2</v>
      </c>
      <c r="AE607" s="3">
        <v>4</v>
      </c>
      <c r="AF607" s="3">
        <v>4</v>
      </c>
      <c r="AG607" s="3">
        <v>14</v>
      </c>
      <c r="AH607" s="3">
        <v>2</v>
      </c>
      <c r="AI607" s="3">
        <v>6</v>
      </c>
      <c r="AJ607" s="3">
        <v>0</v>
      </c>
      <c r="AK607" s="3">
        <v>1</v>
      </c>
      <c r="AL607" s="3">
        <v>1</v>
      </c>
      <c r="AM607" s="3">
        <v>6</v>
      </c>
      <c r="AN607" s="3">
        <v>1</v>
      </c>
      <c r="AO607" s="3">
        <v>2</v>
      </c>
      <c r="AP607" s="3">
        <v>0</v>
      </c>
      <c r="AQ607" s="3">
        <v>0</v>
      </c>
      <c r="AR607" s="2" t="s">
        <v>63</v>
      </c>
      <c r="AS607" s="2" t="s">
        <v>63</v>
      </c>
      <c r="AU607" s="5" t="str">
        <f>HYPERLINK("https://creighton-primo.hosted.exlibrisgroup.com/primo-explore/search?tab=default_tab&amp;search_scope=EVERYTHING&amp;vid=01CRU&amp;lang=en_US&amp;offset=0&amp;query=any,contains,991001322359702656","Catalog Record")</f>
        <v>Catalog Record</v>
      </c>
      <c r="AV607" s="5" t="str">
        <f>HYPERLINK("http://www.worldcat.org/oclc/167769589","WorldCat Record")</f>
        <v>WorldCat Record</v>
      </c>
      <c r="AW607" s="2" t="s">
        <v>7604</v>
      </c>
      <c r="AX607" s="2" t="s">
        <v>7626</v>
      </c>
      <c r="AY607" s="2" t="s">
        <v>7627</v>
      </c>
      <c r="AZ607" s="2" t="s">
        <v>7627</v>
      </c>
      <c r="BA607" s="2" t="s">
        <v>7628</v>
      </c>
      <c r="BB607" s="2" t="s">
        <v>79</v>
      </c>
      <c r="BD607" s="2" t="s">
        <v>7629</v>
      </c>
      <c r="BE607" s="2" t="s">
        <v>7630</v>
      </c>
      <c r="BF607" s="2" t="s">
        <v>7631</v>
      </c>
    </row>
    <row r="608" spans="1:58" ht="46.5" customHeight="1">
      <c r="A608" s="1"/>
      <c r="B608" s="1" t="s">
        <v>58</v>
      </c>
      <c r="C608" s="1" t="s">
        <v>59</v>
      </c>
      <c r="D608" s="1" t="s">
        <v>7632</v>
      </c>
      <c r="E608" s="1" t="s">
        <v>7633</v>
      </c>
      <c r="F608" s="1" t="s">
        <v>7634</v>
      </c>
      <c r="H608" s="2" t="s">
        <v>63</v>
      </c>
      <c r="I608" s="2" t="s">
        <v>64</v>
      </c>
      <c r="J608" s="2" t="s">
        <v>63</v>
      </c>
      <c r="K608" s="2" t="s">
        <v>63</v>
      </c>
      <c r="L608" s="2" t="s">
        <v>65</v>
      </c>
      <c r="M608" s="1" t="s">
        <v>1323</v>
      </c>
      <c r="N608" s="1" t="s">
        <v>7635</v>
      </c>
      <c r="O608" s="2" t="s">
        <v>608</v>
      </c>
      <c r="P608" s="1" t="s">
        <v>1228</v>
      </c>
      <c r="Q608" s="2" t="s">
        <v>70</v>
      </c>
      <c r="R608" s="2" t="s">
        <v>277</v>
      </c>
      <c r="T608" s="2" t="s">
        <v>72</v>
      </c>
      <c r="U608" s="3">
        <v>4</v>
      </c>
      <c r="V608" s="3">
        <v>4</v>
      </c>
      <c r="W608" s="4" t="s">
        <v>7636</v>
      </c>
      <c r="X608" s="4" t="s">
        <v>7636</v>
      </c>
      <c r="Y608" s="4" t="s">
        <v>979</v>
      </c>
      <c r="Z608" s="4" t="s">
        <v>979</v>
      </c>
      <c r="AA608" s="3">
        <v>126</v>
      </c>
      <c r="AB608" s="3">
        <v>111</v>
      </c>
      <c r="AC608" s="3">
        <v>461</v>
      </c>
      <c r="AD608" s="3">
        <v>2</v>
      </c>
      <c r="AE608" s="3">
        <v>3</v>
      </c>
      <c r="AF608" s="3">
        <v>2</v>
      </c>
      <c r="AG608" s="3">
        <v>9</v>
      </c>
      <c r="AH608" s="3">
        <v>1</v>
      </c>
      <c r="AI608" s="3">
        <v>2</v>
      </c>
      <c r="AJ608" s="3">
        <v>1</v>
      </c>
      <c r="AK608" s="3">
        <v>2</v>
      </c>
      <c r="AL608" s="3">
        <v>1</v>
      </c>
      <c r="AM608" s="3">
        <v>5</v>
      </c>
      <c r="AN608" s="3">
        <v>0</v>
      </c>
      <c r="AO608" s="3">
        <v>1</v>
      </c>
      <c r="AP608" s="3">
        <v>0</v>
      </c>
      <c r="AQ608" s="3">
        <v>0</v>
      </c>
      <c r="AR608" s="2" t="s">
        <v>63</v>
      </c>
      <c r="AS608" s="2" t="s">
        <v>92</v>
      </c>
      <c r="AT608" s="5" t="str">
        <f>HYPERLINK("http://catalog.hathitrust.org/Record/012280356","HathiTrust Record")</f>
        <v>HathiTrust Record</v>
      </c>
      <c r="AU608" s="5" t="str">
        <f>HYPERLINK("https://creighton-primo.hosted.exlibrisgroup.com/primo-explore/search?tab=default_tab&amp;search_scope=EVERYTHING&amp;vid=01CRU&amp;lang=en_US&amp;offset=0&amp;query=any,contains,991001512899702656","Catalog Record")</f>
        <v>Catalog Record</v>
      </c>
      <c r="AV608" s="5" t="str">
        <f>HYPERLINK("http://www.worldcat.org/oclc/25867222","WorldCat Record")</f>
        <v>WorldCat Record</v>
      </c>
      <c r="AW608" s="2" t="s">
        <v>7637</v>
      </c>
      <c r="AX608" s="2" t="s">
        <v>7638</v>
      </c>
      <c r="AY608" s="2" t="s">
        <v>7639</v>
      </c>
      <c r="AZ608" s="2" t="s">
        <v>7639</v>
      </c>
      <c r="BA608" s="2" t="s">
        <v>7640</v>
      </c>
      <c r="BB608" s="2" t="s">
        <v>79</v>
      </c>
      <c r="BD608" s="2" t="s">
        <v>7641</v>
      </c>
      <c r="BE608" s="2" t="s">
        <v>7642</v>
      </c>
      <c r="BF608" s="2" t="s">
        <v>7643</v>
      </c>
    </row>
    <row r="609" spans="1:58" ht="46.5" customHeight="1">
      <c r="A609" s="1"/>
      <c r="B609" s="1" t="s">
        <v>58</v>
      </c>
      <c r="C609" s="1" t="s">
        <v>59</v>
      </c>
      <c r="D609" s="1" t="s">
        <v>7644</v>
      </c>
      <c r="E609" s="1" t="s">
        <v>7645</v>
      </c>
      <c r="F609" s="1" t="s">
        <v>7646</v>
      </c>
      <c r="H609" s="2" t="s">
        <v>63</v>
      </c>
      <c r="I609" s="2" t="s">
        <v>64</v>
      </c>
      <c r="J609" s="2" t="s">
        <v>63</v>
      </c>
      <c r="K609" s="2" t="s">
        <v>63</v>
      </c>
      <c r="L609" s="2" t="s">
        <v>65</v>
      </c>
      <c r="M609" s="1" t="s">
        <v>7647</v>
      </c>
      <c r="N609" s="1" t="s">
        <v>7648</v>
      </c>
      <c r="O609" s="2" t="s">
        <v>4266</v>
      </c>
      <c r="P609" s="1" t="s">
        <v>772</v>
      </c>
      <c r="Q609" s="2" t="s">
        <v>70</v>
      </c>
      <c r="R609" s="2" t="s">
        <v>691</v>
      </c>
      <c r="T609" s="2" t="s">
        <v>72</v>
      </c>
      <c r="U609" s="3">
        <v>7</v>
      </c>
      <c r="V609" s="3">
        <v>7</v>
      </c>
      <c r="W609" s="4" t="s">
        <v>7649</v>
      </c>
      <c r="X609" s="4" t="s">
        <v>7649</v>
      </c>
      <c r="Y609" s="4" t="s">
        <v>1696</v>
      </c>
      <c r="Z609" s="4" t="s">
        <v>1696</v>
      </c>
      <c r="AA609" s="3">
        <v>68</v>
      </c>
      <c r="AB609" s="3">
        <v>56</v>
      </c>
      <c r="AC609" s="3">
        <v>108</v>
      </c>
      <c r="AD609" s="3">
        <v>1</v>
      </c>
      <c r="AE609" s="3">
        <v>2</v>
      </c>
      <c r="AF609" s="3">
        <v>2</v>
      </c>
      <c r="AG609" s="3">
        <v>7</v>
      </c>
      <c r="AH609" s="3">
        <v>1</v>
      </c>
      <c r="AI609" s="3">
        <v>4</v>
      </c>
      <c r="AJ609" s="3">
        <v>1</v>
      </c>
      <c r="AK609" s="3">
        <v>2</v>
      </c>
      <c r="AL609" s="3">
        <v>0</v>
      </c>
      <c r="AM609" s="3">
        <v>1</v>
      </c>
      <c r="AN609" s="3">
        <v>0</v>
      </c>
      <c r="AO609" s="3">
        <v>1</v>
      </c>
      <c r="AP609" s="3">
        <v>0</v>
      </c>
      <c r="AQ609" s="3">
        <v>0</v>
      </c>
      <c r="AR609" s="2" t="s">
        <v>63</v>
      </c>
      <c r="AS609" s="2" t="s">
        <v>92</v>
      </c>
      <c r="AT609" s="5" t="str">
        <f>HYPERLINK("http://catalog.hathitrust.org/Record/001573653","HathiTrust Record")</f>
        <v>HathiTrust Record</v>
      </c>
      <c r="AU609" s="5" t="str">
        <f>HYPERLINK("https://creighton-primo.hosted.exlibrisgroup.com/primo-explore/search?tab=default_tab&amp;search_scope=EVERYTHING&amp;vid=01CRU&amp;lang=en_US&amp;offset=0&amp;query=any,contains,991000992379702656","Catalog Record")</f>
        <v>Catalog Record</v>
      </c>
      <c r="AV609" s="5" t="str">
        <f>HYPERLINK("http://www.worldcat.org/oclc/14591769","WorldCat Record")</f>
        <v>WorldCat Record</v>
      </c>
      <c r="AW609" s="2" t="s">
        <v>7650</v>
      </c>
      <c r="AX609" s="2" t="s">
        <v>7651</v>
      </c>
      <c r="AY609" s="2" t="s">
        <v>7652</v>
      </c>
      <c r="AZ609" s="2" t="s">
        <v>7652</v>
      </c>
      <c r="BA609" s="2" t="s">
        <v>7653</v>
      </c>
      <c r="BB609" s="2" t="s">
        <v>79</v>
      </c>
      <c r="BE609" s="2" t="s">
        <v>7654</v>
      </c>
      <c r="BF609" s="2" t="s">
        <v>7655</v>
      </c>
    </row>
    <row r="610" spans="1:58" ht="46.5" customHeight="1">
      <c r="A610" s="1"/>
      <c r="B610" s="1" t="s">
        <v>58</v>
      </c>
      <c r="C610" s="1" t="s">
        <v>59</v>
      </c>
      <c r="D610" s="1" t="s">
        <v>7656</v>
      </c>
      <c r="E610" s="1" t="s">
        <v>7657</v>
      </c>
      <c r="F610" s="1" t="s">
        <v>7658</v>
      </c>
      <c r="H610" s="2" t="s">
        <v>63</v>
      </c>
      <c r="I610" s="2" t="s">
        <v>64</v>
      </c>
      <c r="J610" s="2" t="s">
        <v>63</v>
      </c>
      <c r="K610" s="2" t="s">
        <v>63</v>
      </c>
      <c r="L610" s="2" t="s">
        <v>65</v>
      </c>
      <c r="M610" s="1" t="s">
        <v>7659</v>
      </c>
      <c r="N610" s="1" t="s">
        <v>7660</v>
      </c>
      <c r="O610" s="2" t="s">
        <v>132</v>
      </c>
      <c r="Q610" s="2" t="s">
        <v>70</v>
      </c>
      <c r="R610" s="2" t="s">
        <v>1541</v>
      </c>
      <c r="T610" s="2" t="s">
        <v>72</v>
      </c>
      <c r="U610" s="3">
        <v>3</v>
      </c>
      <c r="V610" s="3">
        <v>3</v>
      </c>
      <c r="W610" s="4" t="s">
        <v>7661</v>
      </c>
      <c r="X610" s="4" t="s">
        <v>7661</v>
      </c>
      <c r="Y610" s="4" t="s">
        <v>665</v>
      </c>
      <c r="Z610" s="4" t="s">
        <v>665</v>
      </c>
      <c r="AA610" s="3">
        <v>44</v>
      </c>
      <c r="AB610" s="3">
        <v>42</v>
      </c>
      <c r="AC610" s="3">
        <v>97</v>
      </c>
      <c r="AD610" s="3">
        <v>1</v>
      </c>
      <c r="AE610" s="3">
        <v>2</v>
      </c>
      <c r="AF610" s="3">
        <v>0</v>
      </c>
      <c r="AG610" s="3">
        <v>2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2</v>
      </c>
      <c r="AN610" s="3">
        <v>0</v>
      </c>
      <c r="AO610" s="3">
        <v>0</v>
      </c>
      <c r="AP610" s="3">
        <v>0</v>
      </c>
      <c r="AQ610" s="3">
        <v>0</v>
      </c>
      <c r="AR610" s="2" t="s">
        <v>63</v>
      </c>
      <c r="AS610" s="2" t="s">
        <v>63</v>
      </c>
      <c r="AU610" s="5" t="str">
        <f>HYPERLINK("https://creighton-primo.hosted.exlibrisgroup.com/primo-explore/search?tab=default_tab&amp;search_scope=EVERYTHING&amp;vid=01CRU&amp;lang=en_US&amp;offset=0&amp;query=any,contains,991001297989702656","Catalog Record")</f>
        <v>Catalog Record</v>
      </c>
      <c r="AV610" s="5" t="str">
        <f>HYPERLINK("http://www.worldcat.org/oclc/24068479","WorldCat Record")</f>
        <v>WorldCat Record</v>
      </c>
      <c r="AW610" s="2" t="s">
        <v>7662</v>
      </c>
      <c r="AX610" s="2" t="s">
        <v>7663</v>
      </c>
      <c r="AY610" s="2" t="s">
        <v>7664</v>
      </c>
      <c r="AZ610" s="2" t="s">
        <v>7664</v>
      </c>
      <c r="BA610" s="2" t="s">
        <v>7665</v>
      </c>
      <c r="BB610" s="2" t="s">
        <v>79</v>
      </c>
      <c r="BE610" s="2" t="s">
        <v>7666</v>
      </c>
      <c r="BF610" s="2" t="s">
        <v>7667</v>
      </c>
    </row>
    <row r="611" spans="1:58" ht="46.5" customHeight="1">
      <c r="A611" s="1"/>
      <c r="B611" s="1" t="s">
        <v>58</v>
      </c>
      <c r="C611" s="1" t="s">
        <v>59</v>
      </c>
      <c r="D611" s="1" t="s">
        <v>7668</v>
      </c>
      <c r="E611" s="1" t="s">
        <v>7669</v>
      </c>
      <c r="F611" s="1" t="s">
        <v>7670</v>
      </c>
      <c r="H611" s="2" t="s">
        <v>63</v>
      </c>
      <c r="I611" s="2" t="s">
        <v>64</v>
      </c>
      <c r="J611" s="2" t="s">
        <v>63</v>
      </c>
      <c r="K611" s="2" t="s">
        <v>63</v>
      </c>
      <c r="L611" s="2" t="s">
        <v>65</v>
      </c>
      <c r="M611" s="1" t="s">
        <v>7671</v>
      </c>
      <c r="N611" s="1" t="s">
        <v>7672</v>
      </c>
      <c r="O611" s="2" t="s">
        <v>7673</v>
      </c>
      <c r="Q611" s="2" t="s">
        <v>70</v>
      </c>
      <c r="R611" s="2" t="s">
        <v>691</v>
      </c>
      <c r="T611" s="2" t="s">
        <v>72</v>
      </c>
      <c r="U611" s="3">
        <v>2</v>
      </c>
      <c r="V611" s="3">
        <v>2</v>
      </c>
      <c r="W611" s="4" t="s">
        <v>7674</v>
      </c>
      <c r="X611" s="4" t="s">
        <v>7674</v>
      </c>
      <c r="Y611" s="4" t="s">
        <v>2159</v>
      </c>
      <c r="Z611" s="4" t="s">
        <v>2159</v>
      </c>
      <c r="AA611" s="3">
        <v>44</v>
      </c>
      <c r="AB611" s="3">
        <v>31</v>
      </c>
      <c r="AC611" s="3">
        <v>31</v>
      </c>
      <c r="AD611" s="3">
        <v>1</v>
      </c>
      <c r="AE611" s="3">
        <v>1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2" t="s">
        <v>63</v>
      </c>
      <c r="AS611" s="2" t="s">
        <v>63</v>
      </c>
      <c r="AU611" s="5" t="str">
        <f>HYPERLINK("https://creighton-primo.hosted.exlibrisgroup.com/primo-explore/search?tab=default_tab&amp;search_scope=EVERYTHING&amp;vid=01CRU&amp;lang=en_US&amp;offset=0&amp;query=any,contains,991000992249702656","Catalog Record")</f>
        <v>Catalog Record</v>
      </c>
      <c r="AV611" s="5" t="str">
        <f>HYPERLINK("http://www.worldcat.org/oclc/2406076","WorldCat Record")</f>
        <v>WorldCat Record</v>
      </c>
      <c r="AW611" s="2" t="s">
        <v>7675</v>
      </c>
      <c r="AX611" s="2" t="s">
        <v>7676</v>
      </c>
      <c r="AY611" s="2" t="s">
        <v>7677</v>
      </c>
      <c r="AZ611" s="2" t="s">
        <v>7677</v>
      </c>
      <c r="BA611" s="2" t="s">
        <v>7678</v>
      </c>
      <c r="BB611" s="2" t="s">
        <v>79</v>
      </c>
      <c r="BE611" s="2" t="s">
        <v>7679</v>
      </c>
      <c r="BF611" s="2" t="s">
        <v>7680</v>
      </c>
    </row>
    <row r="612" spans="1:58" ht="46.5" customHeight="1">
      <c r="A612" s="1"/>
      <c r="B612" s="1" t="s">
        <v>58</v>
      </c>
      <c r="C612" s="1" t="s">
        <v>59</v>
      </c>
      <c r="D612" s="1" t="s">
        <v>7681</v>
      </c>
      <c r="E612" s="1" t="s">
        <v>7682</v>
      </c>
      <c r="F612" s="1" t="s">
        <v>7683</v>
      </c>
      <c r="H612" s="2" t="s">
        <v>63</v>
      </c>
      <c r="I612" s="2" t="s">
        <v>64</v>
      </c>
      <c r="J612" s="2" t="s">
        <v>63</v>
      </c>
      <c r="K612" s="2" t="s">
        <v>63</v>
      </c>
      <c r="L612" s="2" t="s">
        <v>65</v>
      </c>
      <c r="N612" s="1" t="s">
        <v>7684</v>
      </c>
      <c r="O612" s="2" t="s">
        <v>608</v>
      </c>
      <c r="Q612" s="2" t="s">
        <v>70</v>
      </c>
      <c r="R612" s="2" t="s">
        <v>1364</v>
      </c>
      <c r="S612" s="1" t="s">
        <v>7685</v>
      </c>
      <c r="T612" s="2" t="s">
        <v>72</v>
      </c>
      <c r="U612" s="3">
        <v>9</v>
      </c>
      <c r="V612" s="3">
        <v>9</v>
      </c>
      <c r="W612" s="4" t="s">
        <v>7674</v>
      </c>
      <c r="X612" s="4" t="s">
        <v>7674</v>
      </c>
      <c r="Y612" s="4" t="s">
        <v>7686</v>
      </c>
      <c r="Z612" s="4" t="s">
        <v>7686</v>
      </c>
      <c r="AA612" s="3">
        <v>441</v>
      </c>
      <c r="AB612" s="3">
        <v>359</v>
      </c>
      <c r="AC612" s="3">
        <v>416</v>
      </c>
      <c r="AD612" s="3">
        <v>5</v>
      </c>
      <c r="AE612" s="3">
        <v>5</v>
      </c>
      <c r="AF612" s="3">
        <v>14</v>
      </c>
      <c r="AG612" s="3">
        <v>15</v>
      </c>
      <c r="AH612" s="3">
        <v>2</v>
      </c>
      <c r="AI612" s="3">
        <v>3</v>
      </c>
      <c r="AJ612" s="3">
        <v>4</v>
      </c>
      <c r="AK612" s="3">
        <v>4</v>
      </c>
      <c r="AL612" s="3">
        <v>5</v>
      </c>
      <c r="AM612" s="3">
        <v>6</v>
      </c>
      <c r="AN612" s="3">
        <v>4</v>
      </c>
      <c r="AO612" s="3">
        <v>4</v>
      </c>
      <c r="AP612" s="3">
        <v>0</v>
      </c>
      <c r="AQ612" s="3">
        <v>0</v>
      </c>
      <c r="AR612" s="2" t="s">
        <v>63</v>
      </c>
      <c r="AS612" s="2" t="s">
        <v>92</v>
      </c>
      <c r="AT612" s="5" t="str">
        <f>HYPERLINK("http://catalog.hathitrust.org/Record/002716584","HathiTrust Record")</f>
        <v>HathiTrust Record</v>
      </c>
      <c r="AU612" s="5" t="str">
        <f>HYPERLINK("https://creighton-primo.hosted.exlibrisgroup.com/primo-explore/search?tab=default_tab&amp;search_scope=EVERYTHING&amp;vid=01CRU&amp;lang=en_US&amp;offset=0&amp;query=any,contains,991001161429702656","Catalog Record")</f>
        <v>Catalog Record</v>
      </c>
      <c r="AV612" s="5" t="str">
        <f>HYPERLINK("http://www.worldcat.org/oclc/28291173","WorldCat Record")</f>
        <v>WorldCat Record</v>
      </c>
      <c r="AW612" s="2" t="s">
        <v>7687</v>
      </c>
      <c r="AX612" s="2" t="s">
        <v>7688</v>
      </c>
      <c r="AY612" s="2" t="s">
        <v>7689</v>
      </c>
      <c r="AZ612" s="2" t="s">
        <v>7689</v>
      </c>
      <c r="BA612" s="2" t="s">
        <v>7690</v>
      </c>
      <c r="BB612" s="2" t="s">
        <v>79</v>
      </c>
      <c r="BD612" s="2" t="s">
        <v>7691</v>
      </c>
      <c r="BE612" s="2" t="s">
        <v>7692</v>
      </c>
      <c r="BF612" s="2" t="s">
        <v>7693</v>
      </c>
    </row>
    <row r="613" spans="1:58" ht="46.5" customHeight="1">
      <c r="A613" s="1"/>
      <c r="B613" s="1" t="s">
        <v>58</v>
      </c>
      <c r="C613" s="1" t="s">
        <v>59</v>
      </c>
      <c r="D613" s="1" t="s">
        <v>7694</v>
      </c>
      <c r="E613" s="1" t="s">
        <v>7695</v>
      </c>
      <c r="F613" s="1" t="s">
        <v>7696</v>
      </c>
      <c r="H613" s="2" t="s">
        <v>63</v>
      </c>
      <c r="I613" s="2" t="s">
        <v>64</v>
      </c>
      <c r="J613" s="2" t="s">
        <v>63</v>
      </c>
      <c r="K613" s="2" t="s">
        <v>63</v>
      </c>
      <c r="L613" s="2" t="s">
        <v>65</v>
      </c>
      <c r="M613" s="1" t="s">
        <v>7697</v>
      </c>
      <c r="N613" s="1" t="s">
        <v>7698</v>
      </c>
      <c r="O613" s="2" t="s">
        <v>1404</v>
      </c>
      <c r="Q613" s="2" t="s">
        <v>70</v>
      </c>
      <c r="R613" s="2" t="s">
        <v>277</v>
      </c>
      <c r="T613" s="2" t="s">
        <v>72</v>
      </c>
      <c r="U613" s="3">
        <v>6</v>
      </c>
      <c r="V613" s="3">
        <v>6</v>
      </c>
      <c r="W613" s="4" t="s">
        <v>7699</v>
      </c>
      <c r="X613" s="4" t="s">
        <v>7699</v>
      </c>
      <c r="Y613" s="4" t="s">
        <v>1696</v>
      </c>
      <c r="Z613" s="4" t="s">
        <v>1696</v>
      </c>
      <c r="AA613" s="3">
        <v>81</v>
      </c>
      <c r="AB613" s="3">
        <v>48</v>
      </c>
      <c r="AC613" s="3">
        <v>55</v>
      </c>
      <c r="AD613" s="3">
        <v>1</v>
      </c>
      <c r="AE613" s="3">
        <v>1</v>
      </c>
      <c r="AF613" s="3">
        <v>1</v>
      </c>
      <c r="AG613" s="3">
        <v>1</v>
      </c>
      <c r="AH613" s="3">
        <v>1</v>
      </c>
      <c r="AI613" s="3">
        <v>1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2" t="s">
        <v>63</v>
      </c>
      <c r="AS613" s="2" t="s">
        <v>92</v>
      </c>
      <c r="AT613" s="5" t="str">
        <f>HYPERLINK("http://catalog.hathitrust.org/Record/001573805","HathiTrust Record")</f>
        <v>HathiTrust Record</v>
      </c>
      <c r="AU613" s="5" t="str">
        <f>HYPERLINK("https://creighton-primo.hosted.exlibrisgroup.com/primo-explore/search?tab=default_tab&amp;search_scope=EVERYTHING&amp;vid=01CRU&amp;lang=en_US&amp;offset=0&amp;query=any,contains,991000992169702656","Catalog Record")</f>
        <v>Catalog Record</v>
      </c>
      <c r="AV613" s="5" t="str">
        <f>HYPERLINK("http://www.worldcat.org/oclc/1824580","WorldCat Record")</f>
        <v>WorldCat Record</v>
      </c>
      <c r="AW613" s="2" t="s">
        <v>7700</v>
      </c>
      <c r="AX613" s="2" t="s">
        <v>7701</v>
      </c>
      <c r="AY613" s="2" t="s">
        <v>7702</v>
      </c>
      <c r="AZ613" s="2" t="s">
        <v>7702</v>
      </c>
      <c r="BA613" s="2" t="s">
        <v>7703</v>
      </c>
      <c r="BB613" s="2" t="s">
        <v>79</v>
      </c>
      <c r="BE613" s="2" t="s">
        <v>7704</v>
      </c>
      <c r="BF613" s="2" t="s">
        <v>7705</v>
      </c>
    </row>
    <row r="614" spans="1:58" ht="46.5" customHeight="1">
      <c r="A614" s="1"/>
      <c r="B614" s="1" t="s">
        <v>58</v>
      </c>
      <c r="C614" s="1" t="s">
        <v>59</v>
      </c>
      <c r="D614" s="1" t="s">
        <v>7706</v>
      </c>
      <c r="E614" s="1" t="s">
        <v>7707</v>
      </c>
      <c r="F614" s="1" t="s">
        <v>7708</v>
      </c>
      <c r="H614" s="2" t="s">
        <v>63</v>
      </c>
      <c r="I614" s="2" t="s">
        <v>64</v>
      </c>
      <c r="J614" s="2" t="s">
        <v>63</v>
      </c>
      <c r="K614" s="2" t="s">
        <v>92</v>
      </c>
      <c r="L614" s="2" t="s">
        <v>65</v>
      </c>
      <c r="M614" s="1" t="s">
        <v>7709</v>
      </c>
      <c r="N614" s="1" t="s">
        <v>7710</v>
      </c>
      <c r="O614" s="2" t="s">
        <v>1175</v>
      </c>
      <c r="P614" s="1" t="s">
        <v>469</v>
      </c>
      <c r="Q614" s="2" t="s">
        <v>70</v>
      </c>
      <c r="R614" s="2" t="s">
        <v>89</v>
      </c>
      <c r="T614" s="2" t="s">
        <v>72</v>
      </c>
      <c r="U614" s="3">
        <v>36</v>
      </c>
      <c r="V614" s="3">
        <v>36</v>
      </c>
      <c r="W614" s="4" t="s">
        <v>7674</v>
      </c>
      <c r="X614" s="4" t="s">
        <v>7674</v>
      </c>
      <c r="Y614" s="4" t="s">
        <v>2159</v>
      </c>
      <c r="Z614" s="4" t="s">
        <v>2159</v>
      </c>
      <c r="AA614" s="3">
        <v>170</v>
      </c>
      <c r="AB614" s="3">
        <v>117</v>
      </c>
      <c r="AC614" s="3">
        <v>391</v>
      </c>
      <c r="AD614" s="3">
        <v>1</v>
      </c>
      <c r="AE614" s="3">
        <v>3</v>
      </c>
      <c r="AF614" s="3">
        <v>5</v>
      </c>
      <c r="AG614" s="3">
        <v>12</v>
      </c>
      <c r="AH614" s="3">
        <v>2</v>
      </c>
      <c r="AI614" s="3">
        <v>5</v>
      </c>
      <c r="AJ614" s="3">
        <v>1</v>
      </c>
      <c r="AK614" s="3">
        <v>3</v>
      </c>
      <c r="AL614" s="3">
        <v>3</v>
      </c>
      <c r="AM614" s="3">
        <v>5</v>
      </c>
      <c r="AN614" s="3">
        <v>0</v>
      </c>
      <c r="AO614" s="3">
        <v>2</v>
      </c>
      <c r="AP614" s="3">
        <v>0</v>
      </c>
      <c r="AQ614" s="3">
        <v>0</v>
      </c>
      <c r="AR614" s="2" t="s">
        <v>63</v>
      </c>
      <c r="AS614" s="2" t="s">
        <v>92</v>
      </c>
      <c r="AT614" s="5" t="str">
        <f>HYPERLINK("http://catalog.hathitrust.org/Record/000263074","HathiTrust Record")</f>
        <v>HathiTrust Record</v>
      </c>
      <c r="AU614" s="5" t="str">
        <f>HYPERLINK("https://creighton-primo.hosted.exlibrisgroup.com/primo-explore/search?tab=default_tab&amp;search_scope=EVERYTHING&amp;vid=01CRU&amp;lang=en_US&amp;offset=0&amp;query=any,contains,991000992129702656","Catalog Record")</f>
        <v>Catalog Record</v>
      </c>
      <c r="AV614" s="5" t="str">
        <f>HYPERLINK("http://www.worldcat.org/oclc/7555681","WorldCat Record")</f>
        <v>WorldCat Record</v>
      </c>
      <c r="AW614" s="2" t="s">
        <v>7711</v>
      </c>
      <c r="AX614" s="2" t="s">
        <v>7712</v>
      </c>
      <c r="AY614" s="2" t="s">
        <v>7713</v>
      </c>
      <c r="AZ614" s="2" t="s">
        <v>7713</v>
      </c>
      <c r="BA614" s="2" t="s">
        <v>7714</v>
      </c>
      <c r="BB614" s="2" t="s">
        <v>79</v>
      </c>
      <c r="BD614" s="2" t="s">
        <v>7715</v>
      </c>
      <c r="BE614" s="2" t="s">
        <v>7716</v>
      </c>
      <c r="BF614" s="2" t="s">
        <v>7717</v>
      </c>
    </row>
    <row r="615" spans="1:58" ht="46.5" customHeight="1">
      <c r="A615" s="1"/>
      <c r="B615" s="1" t="s">
        <v>58</v>
      </c>
      <c r="C615" s="1" t="s">
        <v>59</v>
      </c>
      <c r="D615" s="1" t="s">
        <v>7718</v>
      </c>
      <c r="E615" s="1" t="s">
        <v>7719</v>
      </c>
      <c r="F615" s="1" t="s">
        <v>7720</v>
      </c>
      <c r="H615" s="2" t="s">
        <v>63</v>
      </c>
      <c r="I615" s="2" t="s">
        <v>64</v>
      </c>
      <c r="J615" s="2" t="s">
        <v>63</v>
      </c>
      <c r="K615" s="2" t="s">
        <v>63</v>
      </c>
      <c r="L615" s="2" t="s">
        <v>65</v>
      </c>
      <c r="M615" s="1" t="s">
        <v>7721</v>
      </c>
      <c r="N615" s="1" t="s">
        <v>7722</v>
      </c>
      <c r="O615" s="2" t="s">
        <v>468</v>
      </c>
      <c r="Q615" s="2" t="s">
        <v>70</v>
      </c>
      <c r="R615" s="2" t="s">
        <v>377</v>
      </c>
      <c r="T615" s="2" t="s">
        <v>72</v>
      </c>
      <c r="U615" s="3">
        <v>6</v>
      </c>
      <c r="V615" s="3">
        <v>6</v>
      </c>
      <c r="W615" s="4" t="s">
        <v>7723</v>
      </c>
      <c r="X615" s="4" t="s">
        <v>7723</v>
      </c>
      <c r="Y615" s="4" t="s">
        <v>2062</v>
      </c>
      <c r="Z615" s="4" t="s">
        <v>2062</v>
      </c>
      <c r="AA615" s="3">
        <v>83</v>
      </c>
      <c r="AB615" s="3">
        <v>16</v>
      </c>
      <c r="AC615" s="3">
        <v>611</v>
      </c>
      <c r="AD615" s="3">
        <v>1</v>
      </c>
      <c r="AE615" s="3">
        <v>9</v>
      </c>
      <c r="AF615" s="3">
        <v>0</v>
      </c>
      <c r="AG615" s="3">
        <v>9</v>
      </c>
      <c r="AH615" s="3">
        <v>0</v>
      </c>
      <c r="AI615" s="3">
        <v>1</v>
      </c>
      <c r="AJ615" s="3">
        <v>0</v>
      </c>
      <c r="AK615" s="3">
        <v>1</v>
      </c>
      <c r="AL615" s="3">
        <v>0</v>
      </c>
      <c r="AM615" s="3">
        <v>2</v>
      </c>
      <c r="AN615" s="3">
        <v>0</v>
      </c>
      <c r="AO615" s="3">
        <v>6</v>
      </c>
      <c r="AP615" s="3">
        <v>0</v>
      </c>
      <c r="AQ615" s="3">
        <v>0</v>
      </c>
      <c r="AR615" s="2" t="s">
        <v>63</v>
      </c>
      <c r="AS615" s="2" t="s">
        <v>63</v>
      </c>
      <c r="AU615" s="5" t="str">
        <f>HYPERLINK("https://creighton-primo.hosted.exlibrisgroup.com/primo-explore/search?tab=default_tab&amp;search_scope=EVERYTHING&amp;vid=01CRU&amp;lang=en_US&amp;offset=0&amp;query=any,contains,991000992009702656","Catalog Record")</f>
        <v>Catalog Record</v>
      </c>
      <c r="AV615" s="5" t="str">
        <f>HYPERLINK("http://www.worldcat.org/oclc/2090997","WorldCat Record")</f>
        <v>WorldCat Record</v>
      </c>
      <c r="AW615" s="2" t="s">
        <v>7724</v>
      </c>
      <c r="AX615" s="2" t="s">
        <v>7725</v>
      </c>
      <c r="AY615" s="2" t="s">
        <v>7726</v>
      </c>
      <c r="AZ615" s="2" t="s">
        <v>7726</v>
      </c>
      <c r="BA615" s="2" t="s">
        <v>7727</v>
      </c>
      <c r="BB615" s="2" t="s">
        <v>79</v>
      </c>
      <c r="BE615" s="2" t="s">
        <v>7728</v>
      </c>
      <c r="BF615" s="2" t="s">
        <v>7729</v>
      </c>
    </row>
    <row r="616" spans="1:58" ht="46.5" customHeight="1">
      <c r="A616" s="1"/>
      <c r="B616" s="1" t="s">
        <v>58</v>
      </c>
      <c r="C616" s="1" t="s">
        <v>59</v>
      </c>
      <c r="D616" s="1" t="s">
        <v>7730</v>
      </c>
      <c r="E616" s="1" t="s">
        <v>7731</v>
      </c>
      <c r="F616" s="1" t="s">
        <v>7732</v>
      </c>
      <c r="H616" s="2" t="s">
        <v>63</v>
      </c>
      <c r="I616" s="2" t="s">
        <v>64</v>
      </c>
      <c r="J616" s="2" t="s">
        <v>63</v>
      </c>
      <c r="K616" s="2" t="s">
        <v>63</v>
      </c>
      <c r="L616" s="2" t="s">
        <v>65</v>
      </c>
      <c r="M616" s="1" t="s">
        <v>7733</v>
      </c>
      <c r="N616" s="1" t="s">
        <v>7734</v>
      </c>
      <c r="O616" s="2" t="s">
        <v>2059</v>
      </c>
      <c r="Q616" s="2" t="s">
        <v>70</v>
      </c>
      <c r="R616" s="2" t="s">
        <v>892</v>
      </c>
      <c r="T616" s="2" t="s">
        <v>72</v>
      </c>
      <c r="U616" s="3">
        <v>7</v>
      </c>
      <c r="V616" s="3">
        <v>7</v>
      </c>
      <c r="W616" s="4" t="s">
        <v>7735</v>
      </c>
      <c r="X616" s="4" t="s">
        <v>7735</v>
      </c>
      <c r="Y616" s="4" t="s">
        <v>2062</v>
      </c>
      <c r="Z616" s="4" t="s">
        <v>2062</v>
      </c>
      <c r="AA616" s="3">
        <v>1158</v>
      </c>
      <c r="AB616" s="3">
        <v>1077</v>
      </c>
      <c r="AC616" s="3">
        <v>1091</v>
      </c>
      <c r="AD616" s="3">
        <v>10</v>
      </c>
      <c r="AE616" s="3">
        <v>10</v>
      </c>
      <c r="AF616" s="3">
        <v>22</v>
      </c>
      <c r="AG616" s="3">
        <v>22</v>
      </c>
      <c r="AH616" s="3">
        <v>8</v>
      </c>
      <c r="AI616" s="3">
        <v>8</v>
      </c>
      <c r="AJ616" s="3">
        <v>4</v>
      </c>
      <c r="AK616" s="3">
        <v>4</v>
      </c>
      <c r="AL616" s="3">
        <v>9</v>
      </c>
      <c r="AM616" s="3">
        <v>9</v>
      </c>
      <c r="AN616" s="3">
        <v>6</v>
      </c>
      <c r="AO616" s="3">
        <v>6</v>
      </c>
      <c r="AP616" s="3">
        <v>0</v>
      </c>
      <c r="AQ616" s="3">
        <v>0</v>
      </c>
      <c r="AR616" s="2" t="s">
        <v>63</v>
      </c>
      <c r="AS616" s="2" t="s">
        <v>92</v>
      </c>
      <c r="AT616" s="5" t="str">
        <f>HYPERLINK("http://catalog.hathitrust.org/Record/001493887","HathiTrust Record")</f>
        <v>HathiTrust Record</v>
      </c>
      <c r="AU616" s="5" t="str">
        <f>HYPERLINK("https://creighton-primo.hosted.exlibrisgroup.com/primo-explore/search?tab=default_tab&amp;search_scope=EVERYTHING&amp;vid=01CRU&amp;lang=en_US&amp;offset=0&amp;query=any,contains,991000992059702656","Catalog Record")</f>
        <v>Catalog Record</v>
      </c>
      <c r="AV616" s="5" t="str">
        <f>HYPERLINK("http://www.worldcat.org/oclc/552260","WorldCat Record")</f>
        <v>WorldCat Record</v>
      </c>
      <c r="AW616" s="2" t="s">
        <v>7736</v>
      </c>
      <c r="AX616" s="2" t="s">
        <v>7737</v>
      </c>
      <c r="AY616" s="2" t="s">
        <v>7738</v>
      </c>
      <c r="AZ616" s="2" t="s">
        <v>7738</v>
      </c>
      <c r="BA616" s="2" t="s">
        <v>7739</v>
      </c>
      <c r="BB616" s="2" t="s">
        <v>79</v>
      </c>
      <c r="BE616" s="2" t="s">
        <v>7740</v>
      </c>
      <c r="BF616" s="2" t="s">
        <v>7741</v>
      </c>
    </row>
    <row r="617" spans="1:58" ht="46.5" customHeight="1">
      <c r="A617" s="1"/>
      <c r="B617" s="1" t="s">
        <v>58</v>
      </c>
      <c r="C617" s="1" t="s">
        <v>59</v>
      </c>
      <c r="D617" s="1" t="s">
        <v>7742</v>
      </c>
      <c r="E617" s="1" t="s">
        <v>7743</v>
      </c>
      <c r="F617" s="1" t="s">
        <v>7744</v>
      </c>
      <c r="H617" s="2" t="s">
        <v>63</v>
      </c>
      <c r="I617" s="2" t="s">
        <v>64</v>
      </c>
      <c r="J617" s="2" t="s">
        <v>63</v>
      </c>
      <c r="K617" s="2" t="s">
        <v>63</v>
      </c>
      <c r="L617" s="2" t="s">
        <v>65</v>
      </c>
      <c r="M617" s="1" t="s">
        <v>7745</v>
      </c>
      <c r="N617" s="1" t="s">
        <v>7746</v>
      </c>
      <c r="O617" s="2" t="s">
        <v>7747</v>
      </c>
      <c r="P617" s="1" t="s">
        <v>69</v>
      </c>
      <c r="Q617" s="2" t="s">
        <v>70</v>
      </c>
      <c r="R617" s="2" t="s">
        <v>2284</v>
      </c>
      <c r="T617" s="2" t="s">
        <v>72</v>
      </c>
      <c r="U617" s="3">
        <v>10</v>
      </c>
      <c r="V617" s="3">
        <v>10</v>
      </c>
      <c r="W617" s="4" t="s">
        <v>7748</v>
      </c>
      <c r="X617" s="4" t="s">
        <v>7748</v>
      </c>
      <c r="Y617" s="4" t="s">
        <v>2062</v>
      </c>
      <c r="Z617" s="4" t="s">
        <v>2062</v>
      </c>
      <c r="AA617" s="3">
        <v>121</v>
      </c>
      <c r="AB617" s="3">
        <v>94</v>
      </c>
      <c r="AC617" s="3">
        <v>598</v>
      </c>
      <c r="AD617" s="3">
        <v>2</v>
      </c>
      <c r="AE617" s="3">
        <v>13</v>
      </c>
      <c r="AF617" s="3">
        <v>5</v>
      </c>
      <c r="AG617" s="3">
        <v>31</v>
      </c>
      <c r="AH617" s="3">
        <v>2</v>
      </c>
      <c r="AI617" s="3">
        <v>8</v>
      </c>
      <c r="AJ617" s="3">
        <v>2</v>
      </c>
      <c r="AK617" s="3">
        <v>7</v>
      </c>
      <c r="AL617" s="3">
        <v>1</v>
      </c>
      <c r="AM617" s="3">
        <v>8</v>
      </c>
      <c r="AN617" s="3">
        <v>1</v>
      </c>
      <c r="AO617" s="3">
        <v>11</v>
      </c>
      <c r="AP617" s="3">
        <v>0</v>
      </c>
      <c r="AQ617" s="3">
        <v>1</v>
      </c>
      <c r="AR617" s="2" t="s">
        <v>63</v>
      </c>
      <c r="AS617" s="2" t="s">
        <v>63</v>
      </c>
      <c r="AU617" s="5" t="str">
        <f>HYPERLINK("https://creighton-primo.hosted.exlibrisgroup.com/primo-explore/search?tab=default_tab&amp;search_scope=EVERYTHING&amp;vid=01CRU&amp;lang=en_US&amp;offset=0&amp;query=any,contains,991000991959702656","Catalog Record")</f>
        <v>Catalog Record</v>
      </c>
      <c r="AV617" s="5" t="str">
        <f>HYPERLINK("http://www.worldcat.org/oclc/824858","WorldCat Record")</f>
        <v>WorldCat Record</v>
      </c>
      <c r="AW617" s="2" t="s">
        <v>7749</v>
      </c>
      <c r="AX617" s="2" t="s">
        <v>7750</v>
      </c>
      <c r="AY617" s="2" t="s">
        <v>7751</v>
      </c>
      <c r="AZ617" s="2" t="s">
        <v>7751</v>
      </c>
      <c r="BA617" s="2" t="s">
        <v>7752</v>
      </c>
      <c r="BB617" s="2" t="s">
        <v>79</v>
      </c>
      <c r="BE617" s="2" t="s">
        <v>7753</v>
      </c>
      <c r="BF617" s="2" t="s">
        <v>7754</v>
      </c>
    </row>
    <row r="618" spans="1:58" ht="46.5" customHeight="1">
      <c r="A618" s="1"/>
      <c r="B618" s="1" t="s">
        <v>58</v>
      </c>
      <c r="C618" s="1" t="s">
        <v>59</v>
      </c>
      <c r="D618" s="1" t="s">
        <v>7755</v>
      </c>
      <c r="E618" s="1" t="s">
        <v>7756</v>
      </c>
      <c r="F618" s="1" t="s">
        <v>7757</v>
      </c>
      <c r="H618" s="2" t="s">
        <v>63</v>
      </c>
      <c r="I618" s="2" t="s">
        <v>64</v>
      </c>
      <c r="J618" s="2" t="s">
        <v>63</v>
      </c>
      <c r="K618" s="2" t="s">
        <v>63</v>
      </c>
      <c r="L618" s="2" t="s">
        <v>65</v>
      </c>
      <c r="M618" s="1" t="s">
        <v>7758</v>
      </c>
      <c r="N618" s="1" t="s">
        <v>7759</v>
      </c>
      <c r="O618" s="2" t="s">
        <v>468</v>
      </c>
      <c r="Q618" s="2" t="s">
        <v>70</v>
      </c>
      <c r="R618" s="2" t="s">
        <v>555</v>
      </c>
      <c r="T618" s="2" t="s">
        <v>72</v>
      </c>
      <c r="U618" s="3">
        <v>10</v>
      </c>
      <c r="V618" s="3">
        <v>10</v>
      </c>
      <c r="W618" s="4" t="s">
        <v>7735</v>
      </c>
      <c r="X618" s="4" t="s">
        <v>7735</v>
      </c>
      <c r="Y618" s="4" t="s">
        <v>2062</v>
      </c>
      <c r="Z618" s="4" t="s">
        <v>2062</v>
      </c>
      <c r="AA618" s="3">
        <v>649</v>
      </c>
      <c r="AB618" s="3">
        <v>555</v>
      </c>
      <c r="AC618" s="3">
        <v>563</v>
      </c>
      <c r="AD618" s="3">
        <v>3</v>
      </c>
      <c r="AE618" s="3">
        <v>3</v>
      </c>
      <c r="AF618" s="3">
        <v>19</v>
      </c>
      <c r="AG618" s="3">
        <v>19</v>
      </c>
      <c r="AH618" s="3">
        <v>8</v>
      </c>
      <c r="AI618" s="3">
        <v>8</v>
      </c>
      <c r="AJ618" s="3">
        <v>6</v>
      </c>
      <c r="AK618" s="3">
        <v>6</v>
      </c>
      <c r="AL618" s="3">
        <v>7</v>
      </c>
      <c r="AM618" s="3">
        <v>7</v>
      </c>
      <c r="AN618" s="3">
        <v>2</v>
      </c>
      <c r="AO618" s="3">
        <v>2</v>
      </c>
      <c r="AP618" s="3">
        <v>0</v>
      </c>
      <c r="AQ618" s="3">
        <v>0</v>
      </c>
      <c r="AR618" s="2" t="s">
        <v>63</v>
      </c>
      <c r="AS618" s="2" t="s">
        <v>63</v>
      </c>
      <c r="AU618" s="5" t="str">
        <f>HYPERLINK("https://creighton-primo.hosted.exlibrisgroup.com/primo-explore/search?tab=default_tab&amp;search_scope=EVERYTHING&amp;vid=01CRU&amp;lang=en_US&amp;offset=0&amp;query=any,contains,991000991929702656","Catalog Record")</f>
        <v>Catalog Record</v>
      </c>
      <c r="AV618" s="5" t="str">
        <f>HYPERLINK("http://www.worldcat.org/oclc/315554","WorldCat Record")</f>
        <v>WorldCat Record</v>
      </c>
      <c r="AW618" s="2" t="s">
        <v>7760</v>
      </c>
      <c r="AX618" s="2" t="s">
        <v>7761</v>
      </c>
      <c r="AY618" s="2" t="s">
        <v>7762</v>
      </c>
      <c r="AZ618" s="2" t="s">
        <v>7762</v>
      </c>
      <c r="BA618" s="2" t="s">
        <v>7763</v>
      </c>
      <c r="BB618" s="2" t="s">
        <v>79</v>
      </c>
      <c r="BD618" s="2" t="s">
        <v>7764</v>
      </c>
      <c r="BE618" s="2" t="s">
        <v>7765</v>
      </c>
      <c r="BF618" s="2" t="s">
        <v>7766</v>
      </c>
    </row>
    <row r="619" spans="1:58" ht="46.5" customHeight="1">
      <c r="A619" s="1"/>
      <c r="B619" s="1" t="s">
        <v>58</v>
      </c>
      <c r="C619" s="1" t="s">
        <v>59</v>
      </c>
      <c r="D619" s="1" t="s">
        <v>7767</v>
      </c>
      <c r="E619" s="1" t="s">
        <v>7768</v>
      </c>
      <c r="F619" s="1" t="s">
        <v>7769</v>
      </c>
      <c r="H619" s="2" t="s">
        <v>63</v>
      </c>
      <c r="I619" s="2" t="s">
        <v>64</v>
      </c>
      <c r="J619" s="2" t="s">
        <v>63</v>
      </c>
      <c r="K619" s="2" t="s">
        <v>63</v>
      </c>
      <c r="L619" s="2" t="s">
        <v>65</v>
      </c>
      <c r="M619" s="1" t="s">
        <v>7770</v>
      </c>
      <c r="N619" s="1" t="s">
        <v>7771</v>
      </c>
      <c r="O619" s="2" t="s">
        <v>7747</v>
      </c>
      <c r="Q619" s="2" t="s">
        <v>70</v>
      </c>
      <c r="R619" s="2" t="s">
        <v>277</v>
      </c>
      <c r="T619" s="2" t="s">
        <v>72</v>
      </c>
      <c r="U619" s="3">
        <v>15</v>
      </c>
      <c r="V619" s="3">
        <v>15</v>
      </c>
      <c r="W619" s="4" t="s">
        <v>7772</v>
      </c>
      <c r="X619" s="4" t="s">
        <v>7772</v>
      </c>
      <c r="Y619" s="4" t="s">
        <v>2159</v>
      </c>
      <c r="Z619" s="4" t="s">
        <v>2159</v>
      </c>
      <c r="AA619" s="3">
        <v>523</v>
      </c>
      <c r="AB619" s="3">
        <v>482</v>
      </c>
      <c r="AC619" s="3">
        <v>511</v>
      </c>
      <c r="AD619" s="3">
        <v>4</v>
      </c>
      <c r="AE619" s="3">
        <v>4</v>
      </c>
      <c r="AF619" s="3">
        <v>12</v>
      </c>
      <c r="AG619" s="3">
        <v>12</v>
      </c>
      <c r="AH619" s="3">
        <v>4</v>
      </c>
      <c r="AI619" s="3">
        <v>4</v>
      </c>
      <c r="AJ619" s="3">
        <v>3</v>
      </c>
      <c r="AK619" s="3">
        <v>3</v>
      </c>
      <c r="AL619" s="3">
        <v>5</v>
      </c>
      <c r="AM619" s="3">
        <v>5</v>
      </c>
      <c r="AN619" s="3">
        <v>2</v>
      </c>
      <c r="AO619" s="3">
        <v>2</v>
      </c>
      <c r="AP619" s="3">
        <v>0</v>
      </c>
      <c r="AQ619" s="3">
        <v>0</v>
      </c>
      <c r="AR619" s="2" t="s">
        <v>63</v>
      </c>
      <c r="AS619" s="2" t="s">
        <v>63</v>
      </c>
      <c r="AU619" s="5" t="str">
        <f>HYPERLINK("https://creighton-primo.hosted.exlibrisgroup.com/primo-explore/search?tab=default_tab&amp;search_scope=EVERYTHING&amp;vid=01CRU&amp;lang=en_US&amp;offset=0&amp;query=any,contains,991000991909702656","Catalog Record")</f>
        <v>Catalog Record</v>
      </c>
      <c r="AV619" s="5" t="str">
        <f>HYPERLINK("http://www.worldcat.org/oclc/711515","WorldCat Record")</f>
        <v>WorldCat Record</v>
      </c>
      <c r="AW619" s="2" t="s">
        <v>7773</v>
      </c>
      <c r="AX619" s="2" t="s">
        <v>7774</v>
      </c>
      <c r="AY619" s="2" t="s">
        <v>7775</v>
      </c>
      <c r="AZ619" s="2" t="s">
        <v>7775</v>
      </c>
      <c r="BA619" s="2" t="s">
        <v>7776</v>
      </c>
      <c r="BB619" s="2" t="s">
        <v>79</v>
      </c>
      <c r="BE619" s="2" t="s">
        <v>7777</v>
      </c>
      <c r="BF619" s="2" t="s">
        <v>7778</v>
      </c>
    </row>
    <row r="620" spans="1:58" ht="46.5" customHeight="1">
      <c r="A620" s="1"/>
      <c r="B620" s="1" t="s">
        <v>58</v>
      </c>
      <c r="C620" s="1" t="s">
        <v>59</v>
      </c>
      <c r="D620" s="1" t="s">
        <v>7779</v>
      </c>
      <c r="E620" s="1" t="s">
        <v>7780</v>
      </c>
      <c r="F620" s="1" t="s">
        <v>7781</v>
      </c>
      <c r="H620" s="2" t="s">
        <v>63</v>
      </c>
      <c r="I620" s="2" t="s">
        <v>64</v>
      </c>
      <c r="J620" s="2" t="s">
        <v>63</v>
      </c>
      <c r="K620" s="2" t="s">
        <v>63</v>
      </c>
      <c r="L620" s="2" t="s">
        <v>65</v>
      </c>
      <c r="M620" s="1" t="s">
        <v>7782</v>
      </c>
      <c r="N620" s="1" t="s">
        <v>7783</v>
      </c>
      <c r="O620" s="2" t="s">
        <v>690</v>
      </c>
      <c r="Q620" s="2" t="s">
        <v>70</v>
      </c>
      <c r="R620" s="2" t="s">
        <v>277</v>
      </c>
      <c r="T620" s="2" t="s">
        <v>72</v>
      </c>
      <c r="U620" s="3">
        <v>13</v>
      </c>
      <c r="V620" s="3">
        <v>13</v>
      </c>
      <c r="W620" s="4" t="s">
        <v>7784</v>
      </c>
      <c r="X620" s="4" t="s">
        <v>7784</v>
      </c>
      <c r="Y620" s="4" t="s">
        <v>2062</v>
      </c>
      <c r="Z620" s="4" t="s">
        <v>2062</v>
      </c>
      <c r="AA620" s="3">
        <v>361</v>
      </c>
      <c r="AB620" s="3">
        <v>338</v>
      </c>
      <c r="AC620" s="3">
        <v>760</v>
      </c>
      <c r="AD620" s="3">
        <v>2</v>
      </c>
      <c r="AE620" s="3">
        <v>4</v>
      </c>
      <c r="AF620" s="3">
        <v>3</v>
      </c>
      <c r="AG620" s="3">
        <v>5</v>
      </c>
      <c r="AH620" s="3">
        <v>2</v>
      </c>
      <c r="AI620" s="3">
        <v>4</v>
      </c>
      <c r="AJ620" s="3">
        <v>0</v>
      </c>
      <c r="AK620" s="3">
        <v>0</v>
      </c>
      <c r="AL620" s="3">
        <v>0</v>
      </c>
      <c r="AM620" s="3">
        <v>1</v>
      </c>
      <c r="AN620" s="3">
        <v>1</v>
      </c>
      <c r="AO620" s="3">
        <v>1</v>
      </c>
      <c r="AP620" s="3">
        <v>0</v>
      </c>
      <c r="AQ620" s="3">
        <v>0</v>
      </c>
      <c r="AR620" s="2" t="s">
        <v>63</v>
      </c>
      <c r="AS620" s="2" t="s">
        <v>63</v>
      </c>
      <c r="AU620" s="5" t="str">
        <f>HYPERLINK("https://creighton-primo.hosted.exlibrisgroup.com/primo-explore/search?tab=default_tab&amp;search_scope=EVERYTHING&amp;vid=01CRU&amp;lang=en_US&amp;offset=0&amp;query=any,contains,991000991839702656","Catalog Record")</f>
        <v>Catalog Record</v>
      </c>
      <c r="AV620" s="5" t="str">
        <f>HYPERLINK("http://www.worldcat.org/oclc/1183112","WorldCat Record")</f>
        <v>WorldCat Record</v>
      </c>
      <c r="AW620" s="2" t="s">
        <v>7785</v>
      </c>
      <c r="AX620" s="2" t="s">
        <v>7786</v>
      </c>
      <c r="AY620" s="2" t="s">
        <v>7787</v>
      </c>
      <c r="AZ620" s="2" t="s">
        <v>7787</v>
      </c>
      <c r="BA620" s="2" t="s">
        <v>7788</v>
      </c>
      <c r="BB620" s="2" t="s">
        <v>79</v>
      </c>
      <c r="BE620" s="2" t="s">
        <v>7789</v>
      </c>
      <c r="BF620" s="2" t="s">
        <v>7790</v>
      </c>
    </row>
    <row r="621" spans="1:58" ht="46.5" customHeight="1">
      <c r="A621" s="1"/>
      <c r="B621" s="1" t="s">
        <v>58</v>
      </c>
      <c r="C621" s="1" t="s">
        <v>59</v>
      </c>
      <c r="D621" s="1" t="s">
        <v>7791</v>
      </c>
      <c r="E621" s="1" t="s">
        <v>7792</v>
      </c>
      <c r="F621" s="1" t="s">
        <v>7793</v>
      </c>
      <c r="H621" s="2" t="s">
        <v>63</v>
      </c>
      <c r="I621" s="2" t="s">
        <v>64</v>
      </c>
      <c r="J621" s="2" t="s">
        <v>63</v>
      </c>
      <c r="K621" s="2" t="s">
        <v>63</v>
      </c>
      <c r="L621" s="2" t="s">
        <v>65</v>
      </c>
      <c r="M621" s="1" t="s">
        <v>7794</v>
      </c>
      <c r="N621" s="1" t="s">
        <v>1990</v>
      </c>
      <c r="O621" s="2" t="s">
        <v>608</v>
      </c>
      <c r="Q621" s="2" t="s">
        <v>70</v>
      </c>
      <c r="R621" s="2" t="s">
        <v>89</v>
      </c>
      <c r="T621" s="2" t="s">
        <v>72</v>
      </c>
      <c r="U621" s="3">
        <v>48</v>
      </c>
      <c r="V621" s="3">
        <v>48</v>
      </c>
      <c r="W621" s="4" t="s">
        <v>7795</v>
      </c>
      <c r="X621" s="4" t="s">
        <v>7795</v>
      </c>
      <c r="Y621" s="4" t="s">
        <v>7796</v>
      </c>
      <c r="Z621" s="4" t="s">
        <v>7796</v>
      </c>
      <c r="AA621" s="3">
        <v>214</v>
      </c>
      <c r="AB621" s="3">
        <v>164</v>
      </c>
      <c r="AC621" s="3">
        <v>321</v>
      </c>
      <c r="AD621" s="3">
        <v>2</v>
      </c>
      <c r="AE621" s="3">
        <v>3</v>
      </c>
      <c r="AF621" s="3">
        <v>6</v>
      </c>
      <c r="AG621" s="3">
        <v>13</v>
      </c>
      <c r="AH621" s="3">
        <v>3</v>
      </c>
      <c r="AI621" s="3">
        <v>7</v>
      </c>
      <c r="AJ621" s="3">
        <v>1</v>
      </c>
      <c r="AK621" s="3">
        <v>3</v>
      </c>
      <c r="AL621" s="3">
        <v>3</v>
      </c>
      <c r="AM621" s="3">
        <v>4</v>
      </c>
      <c r="AN621" s="3">
        <v>1</v>
      </c>
      <c r="AO621" s="3">
        <v>2</v>
      </c>
      <c r="AP621" s="3">
        <v>0</v>
      </c>
      <c r="AQ621" s="3">
        <v>0</v>
      </c>
      <c r="AR621" s="2" t="s">
        <v>63</v>
      </c>
      <c r="AS621" s="2" t="s">
        <v>63</v>
      </c>
      <c r="AU621" s="5" t="str">
        <f>HYPERLINK("https://creighton-primo.hosted.exlibrisgroup.com/primo-explore/search?tab=default_tab&amp;search_scope=EVERYTHING&amp;vid=01CRU&amp;lang=en_US&amp;offset=0&amp;query=any,contains,991001509659702656","Catalog Record")</f>
        <v>Catalog Record</v>
      </c>
      <c r="AV621" s="5" t="str">
        <f>HYPERLINK("http://www.worldcat.org/oclc/25509156","WorldCat Record")</f>
        <v>WorldCat Record</v>
      </c>
      <c r="AW621" s="2" t="s">
        <v>7797</v>
      </c>
      <c r="AX621" s="2" t="s">
        <v>7798</v>
      </c>
      <c r="AY621" s="2" t="s">
        <v>7799</v>
      </c>
      <c r="AZ621" s="2" t="s">
        <v>7799</v>
      </c>
      <c r="BA621" s="2" t="s">
        <v>7800</v>
      </c>
      <c r="BB621" s="2" t="s">
        <v>79</v>
      </c>
      <c r="BD621" s="2" t="s">
        <v>7801</v>
      </c>
      <c r="BE621" s="2" t="s">
        <v>7802</v>
      </c>
      <c r="BF621" s="2" t="s">
        <v>7803</v>
      </c>
    </row>
    <row r="622" spans="1:58" ht="46.5" customHeight="1">
      <c r="A622" s="1"/>
      <c r="B622" s="1" t="s">
        <v>58</v>
      </c>
      <c r="C622" s="1" t="s">
        <v>59</v>
      </c>
      <c r="D622" s="1" t="s">
        <v>7804</v>
      </c>
      <c r="E622" s="1" t="s">
        <v>7805</v>
      </c>
      <c r="F622" s="1" t="s">
        <v>7806</v>
      </c>
      <c r="H622" s="2" t="s">
        <v>63</v>
      </c>
      <c r="I622" s="2" t="s">
        <v>64</v>
      </c>
      <c r="J622" s="2" t="s">
        <v>63</v>
      </c>
      <c r="K622" s="2" t="s">
        <v>63</v>
      </c>
      <c r="L622" s="2" t="s">
        <v>65</v>
      </c>
      <c r="N622" s="1" t="s">
        <v>7807</v>
      </c>
      <c r="O622" s="2" t="s">
        <v>87</v>
      </c>
      <c r="Q622" s="2" t="s">
        <v>70</v>
      </c>
      <c r="R622" s="2" t="s">
        <v>89</v>
      </c>
      <c r="S622" s="1" t="s">
        <v>7808</v>
      </c>
      <c r="T622" s="2" t="s">
        <v>72</v>
      </c>
      <c r="U622" s="3">
        <v>15</v>
      </c>
      <c r="V622" s="3">
        <v>15</v>
      </c>
      <c r="W622" s="4" t="s">
        <v>7809</v>
      </c>
      <c r="X622" s="4" t="s">
        <v>7809</v>
      </c>
      <c r="Y622" s="4" t="s">
        <v>380</v>
      </c>
      <c r="Z622" s="4" t="s">
        <v>380</v>
      </c>
      <c r="AA622" s="3">
        <v>136</v>
      </c>
      <c r="AB622" s="3">
        <v>93</v>
      </c>
      <c r="AC622" s="3">
        <v>125</v>
      </c>
      <c r="AD622" s="3">
        <v>1</v>
      </c>
      <c r="AE622" s="3">
        <v>1</v>
      </c>
      <c r="AF622" s="3">
        <v>1</v>
      </c>
      <c r="AG622" s="3">
        <v>2</v>
      </c>
      <c r="AH622" s="3">
        <v>0</v>
      </c>
      <c r="AI622" s="3">
        <v>1</v>
      </c>
      <c r="AJ622" s="3">
        <v>1</v>
      </c>
      <c r="AK622" s="3">
        <v>1</v>
      </c>
      <c r="AL622" s="3">
        <v>0</v>
      </c>
      <c r="AM622" s="3">
        <v>1</v>
      </c>
      <c r="AN622" s="3">
        <v>0</v>
      </c>
      <c r="AO622" s="3">
        <v>0</v>
      </c>
      <c r="AP622" s="3">
        <v>0</v>
      </c>
      <c r="AQ622" s="3">
        <v>0</v>
      </c>
      <c r="AR622" s="2" t="s">
        <v>63</v>
      </c>
      <c r="AS622" s="2" t="s">
        <v>92</v>
      </c>
      <c r="AT622" s="5" t="str">
        <f>HYPERLINK("http://catalog.hathitrust.org/Record/000918457","HathiTrust Record")</f>
        <v>HathiTrust Record</v>
      </c>
      <c r="AU622" s="5" t="str">
        <f>HYPERLINK("https://creighton-primo.hosted.exlibrisgroup.com/primo-explore/search?tab=default_tab&amp;search_scope=EVERYTHING&amp;vid=01CRU&amp;lang=en_US&amp;offset=0&amp;query=any,contains,991001422969702656","Catalog Record")</f>
        <v>Catalog Record</v>
      </c>
      <c r="AV622" s="5" t="str">
        <f>HYPERLINK("http://www.worldcat.org/oclc/15860347","WorldCat Record")</f>
        <v>WorldCat Record</v>
      </c>
      <c r="AW622" s="2" t="s">
        <v>7810</v>
      </c>
      <c r="AX622" s="2" t="s">
        <v>7811</v>
      </c>
      <c r="AY622" s="2" t="s">
        <v>7812</v>
      </c>
      <c r="AZ622" s="2" t="s">
        <v>7812</v>
      </c>
      <c r="BA622" s="2" t="s">
        <v>7813</v>
      </c>
      <c r="BB622" s="2" t="s">
        <v>79</v>
      </c>
      <c r="BD622" s="2" t="s">
        <v>7814</v>
      </c>
      <c r="BE622" s="2" t="s">
        <v>7815</v>
      </c>
      <c r="BF622" s="2" t="s">
        <v>7816</v>
      </c>
    </row>
    <row r="623" spans="1:58" ht="46.5" customHeight="1">
      <c r="A623" s="1"/>
      <c r="B623" s="1" t="s">
        <v>58</v>
      </c>
      <c r="C623" s="1" t="s">
        <v>59</v>
      </c>
      <c r="D623" s="1" t="s">
        <v>7817</v>
      </c>
      <c r="E623" s="1" t="s">
        <v>7818</v>
      </c>
      <c r="F623" s="1" t="s">
        <v>7819</v>
      </c>
      <c r="H623" s="2" t="s">
        <v>63</v>
      </c>
      <c r="I623" s="2" t="s">
        <v>64</v>
      </c>
      <c r="J623" s="2" t="s">
        <v>63</v>
      </c>
      <c r="K623" s="2" t="s">
        <v>63</v>
      </c>
      <c r="L623" s="2" t="s">
        <v>65</v>
      </c>
      <c r="N623" s="1" t="s">
        <v>7820</v>
      </c>
      <c r="O623" s="2" t="s">
        <v>348</v>
      </c>
      <c r="Q623" s="2" t="s">
        <v>70</v>
      </c>
      <c r="R623" s="2" t="s">
        <v>377</v>
      </c>
      <c r="T623" s="2" t="s">
        <v>72</v>
      </c>
      <c r="U623" s="3">
        <v>4</v>
      </c>
      <c r="V623" s="3">
        <v>4</v>
      </c>
      <c r="W623" s="4" t="s">
        <v>7821</v>
      </c>
      <c r="X623" s="4" t="s">
        <v>7821</v>
      </c>
      <c r="Y623" s="4" t="s">
        <v>7822</v>
      </c>
      <c r="Z623" s="4" t="s">
        <v>7822</v>
      </c>
      <c r="AA623" s="3">
        <v>121</v>
      </c>
      <c r="AB623" s="3">
        <v>65</v>
      </c>
      <c r="AC623" s="3">
        <v>187</v>
      </c>
      <c r="AD623" s="3">
        <v>1</v>
      </c>
      <c r="AE623" s="3">
        <v>1</v>
      </c>
      <c r="AF623" s="3">
        <v>1</v>
      </c>
      <c r="AG623" s="3">
        <v>4</v>
      </c>
      <c r="AH623" s="3">
        <v>0</v>
      </c>
      <c r="AI623" s="3">
        <v>2</v>
      </c>
      <c r="AJ623" s="3">
        <v>0</v>
      </c>
      <c r="AK623" s="3">
        <v>1</v>
      </c>
      <c r="AL623" s="3">
        <v>1</v>
      </c>
      <c r="AM623" s="3">
        <v>2</v>
      </c>
      <c r="AN623" s="3">
        <v>0</v>
      </c>
      <c r="AO623" s="3">
        <v>0</v>
      </c>
      <c r="AP623" s="3">
        <v>0</v>
      </c>
      <c r="AQ623" s="3">
        <v>0</v>
      </c>
      <c r="AR623" s="2" t="s">
        <v>63</v>
      </c>
      <c r="AS623" s="2" t="s">
        <v>92</v>
      </c>
      <c r="AT623" s="5" t="str">
        <f>HYPERLINK("http://catalog.hathitrust.org/Record/003976527","HathiTrust Record")</f>
        <v>HathiTrust Record</v>
      </c>
      <c r="AU623" s="5" t="str">
        <f>HYPERLINK("https://creighton-primo.hosted.exlibrisgroup.com/primo-explore/search?tab=default_tab&amp;search_scope=EVERYTHING&amp;vid=01CRU&amp;lang=en_US&amp;offset=0&amp;query=any,contains,991000795429702656","Catalog Record")</f>
        <v>Catalog Record</v>
      </c>
      <c r="AV623" s="5" t="str">
        <f>HYPERLINK("http://www.worldcat.org/oclc/37696634","WorldCat Record")</f>
        <v>WorldCat Record</v>
      </c>
      <c r="AW623" s="2" t="s">
        <v>7823</v>
      </c>
      <c r="AX623" s="2" t="s">
        <v>7824</v>
      </c>
      <c r="AY623" s="2" t="s">
        <v>7825</v>
      </c>
      <c r="AZ623" s="2" t="s">
        <v>7825</v>
      </c>
      <c r="BA623" s="2" t="s">
        <v>7826</v>
      </c>
      <c r="BB623" s="2" t="s">
        <v>79</v>
      </c>
      <c r="BD623" s="2" t="s">
        <v>7827</v>
      </c>
      <c r="BE623" s="2" t="s">
        <v>7828</v>
      </c>
      <c r="BF623" s="2" t="s">
        <v>7829</v>
      </c>
    </row>
    <row r="624" spans="1:58" ht="46.5" customHeight="1">
      <c r="A624" s="1"/>
      <c r="B624" s="1" t="s">
        <v>58</v>
      </c>
      <c r="C624" s="1" t="s">
        <v>59</v>
      </c>
      <c r="D624" s="1" t="s">
        <v>7830</v>
      </c>
      <c r="E624" s="1" t="s">
        <v>7831</v>
      </c>
      <c r="F624" s="1" t="s">
        <v>7832</v>
      </c>
      <c r="H624" s="2" t="s">
        <v>63</v>
      </c>
      <c r="I624" s="2" t="s">
        <v>64</v>
      </c>
      <c r="J624" s="2" t="s">
        <v>63</v>
      </c>
      <c r="K624" s="2" t="s">
        <v>63</v>
      </c>
      <c r="L624" s="2" t="s">
        <v>65</v>
      </c>
      <c r="N624" s="1" t="s">
        <v>7833</v>
      </c>
      <c r="O624" s="2" t="s">
        <v>1884</v>
      </c>
      <c r="P624" s="1" t="s">
        <v>157</v>
      </c>
      <c r="Q624" s="2" t="s">
        <v>70</v>
      </c>
      <c r="R624" s="2" t="s">
        <v>424</v>
      </c>
      <c r="T624" s="2" t="s">
        <v>72</v>
      </c>
      <c r="U624" s="3">
        <v>1</v>
      </c>
      <c r="V624" s="3">
        <v>1</v>
      </c>
      <c r="W624" s="4" t="s">
        <v>7834</v>
      </c>
      <c r="X624" s="4" t="s">
        <v>7834</v>
      </c>
      <c r="Y624" s="4" t="s">
        <v>6226</v>
      </c>
      <c r="Z624" s="4" t="s">
        <v>6226</v>
      </c>
      <c r="AA624" s="3">
        <v>114</v>
      </c>
      <c r="AB624" s="3">
        <v>83</v>
      </c>
      <c r="AC624" s="3">
        <v>139</v>
      </c>
      <c r="AD624" s="3">
        <v>1</v>
      </c>
      <c r="AE624" s="3">
        <v>1</v>
      </c>
      <c r="AF624" s="3">
        <v>2</v>
      </c>
      <c r="AG624" s="3">
        <v>5</v>
      </c>
      <c r="AH624" s="3">
        <v>1</v>
      </c>
      <c r="AI624" s="3">
        <v>3</v>
      </c>
      <c r="AJ624" s="3">
        <v>1</v>
      </c>
      <c r="AK624" s="3">
        <v>2</v>
      </c>
      <c r="AL624" s="3">
        <v>0</v>
      </c>
      <c r="AM624" s="3">
        <v>2</v>
      </c>
      <c r="AN624" s="3">
        <v>0</v>
      </c>
      <c r="AO624" s="3">
        <v>0</v>
      </c>
      <c r="AP624" s="3">
        <v>0</v>
      </c>
      <c r="AQ624" s="3">
        <v>0</v>
      </c>
      <c r="AR624" s="2" t="s">
        <v>63</v>
      </c>
      <c r="AS624" s="2" t="s">
        <v>63</v>
      </c>
      <c r="AU624" s="5" t="str">
        <f>HYPERLINK("https://creighton-primo.hosted.exlibrisgroup.com/primo-explore/search?tab=default_tab&amp;search_scope=EVERYTHING&amp;vid=01CRU&amp;lang=en_US&amp;offset=0&amp;query=any,contains,991000321209702656","Catalog Record")</f>
        <v>Catalog Record</v>
      </c>
      <c r="AV624" s="5" t="str">
        <f>HYPERLINK("http://www.worldcat.org/oclc/43095597","WorldCat Record")</f>
        <v>WorldCat Record</v>
      </c>
      <c r="AW624" s="2" t="s">
        <v>7835</v>
      </c>
      <c r="AX624" s="2" t="s">
        <v>7836</v>
      </c>
      <c r="AY624" s="2" t="s">
        <v>7837</v>
      </c>
      <c r="AZ624" s="2" t="s">
        <v>7837</v>
      </c>
      <c r="BA624" s="2" t="s">
        <v>7838</v>
      </c>
      <c r="BB624" s="2" t="s">
        <v>79</v>
      </c>
      <c r="BD624" s="2" t="s">
        <v>7839</v>
      </c>
      <c r="BE624" s="2" t="s">
        <v>7840</v>
      </c>
      <c r="BF624" s="2" t="s">
        <v>7841</v>
      </c>
    </row>
    <row r="625" spans="1:58" ht="46.5" customHeight="1">
      <c r="A625" s="1"/>
      <c r="B625" s="1" t="s">
        <v>58</v>
      </c>
      <c r="C625" s="1" t="s">
        <v>59</v>
      </c>
      <c r="D625" s="1" t="s">
        <v>7842</v>
      </c>
      <c r="E625" s="1" t="s">
        <v>7843</v>
      </c>
      <c r="F625" s="1" t="s">
        <v>7844</v>
      </c>
      <c r="H625" s="2" t="s">
        <v>63</v>
      </c>
      <c r="I625" s="2" t="s">
        <v>64</v>
      </c>
      <c r="J625" s="2" t="s">
        <v>63</v>
      </c>
      <c r="K625" s="2" t="s">
        <v>63</v>
      </c>
      <c r="L625" s="2" t="s">
        <v>65</v>
      </c>
      <c r="N625" s="1" t="s">
        <v>7845</v>
      </c>
      <c r="O625" s="2" t="s">
        <v>145</v>
      </c>
      <c r="Q625" s="2" t="s">
        <v>70</v>
      </c>
      <c r="R625" s="2" t="s">
        <v>1364</v>
      </c>
      <c r="T625" s="2" t="s">
        <v>72</v>
      </c>
      <c r="U625" s="3">
        <v>5</v>
      </c>
      <c r="V625" s="3">
        <v>5</v>
      </c>
      <c r="W625" s="4" t="s">
        <v>7846</v>
      </c>
      <c r="X625" s="4" t="s">
        <v>7846</v>
      </c>
      <c r="Y625" s="4" t="s">
        <v>7847</v>
      </c>
      <c r="Z625" s="4" t="s">
        <v>7847</v>
      </c>
      <c r="AA625" s="3">
        <v>69</v>
      </c>
      <c r="AB625" s="3">
        <v>59</v>
      </c>
      <c r="AC625" s="3">
        <v>70</v>
      </c>
      <c r="AD625" s="3">
        <v>1</v>
      </c>
      <c r="AE625" s="3">
        <v>1</v>
      </c>
      <c r="AF625" s="3">
        <v>2</v>
      </c>
      <c r="AG625" s="3">
        <v>2</v>
      </c>
      <c r="AH625" s="3">
        <v>2</v>
      </c>
      <c r="AI625" s="3">
        <v>2</v>
      </c>
      <c r="AJ625" s="3">
        <v>0</v>
      </c>
      <c r="AK625" s="3">
        <v>0</v>
      </c>
      <c r="AL625" s="3">
        <v>1</v>
      </c>
      <c r="AM625" s="3">
        <v>1</v>
      </c>
      <c r="AN625" s="3">
        <v>0</v>
      </c>
      <c r="AO625" s="3">
        <v>0</v>
      </c>
      <c r="AP625" s="3">
        <v>0</v>
      </c>
      <c r="AQ625" s="3">
        <v>0</v>
      </c>
      <c r="AR625" s="2" t="s">
        <v>63</v>
      </c>
      <c r="AS625" s="2" t="s">
        <v>92</v>
      </c>
      <c r="AT625" s="5" t="str">
        <f>HYPERLINK("http://catalog.hathitrust.org/Record/003039870","HathiTrust Record")</f>
        <v>HathiTrust Record</v>
      </c>
      <c r="AU625" s="5" t="str">
        <f>HYPERLINK("https://creighton-primo.hosted.exlibrisgroup.com/primo-explore/search?tab=default_tab&amp;search_scope=EVERYTHING&amp;vid=01CRU&amp;lang=en_US&amp;offset=0&amp;query=any,contains,991001505549702656","Catalog Record")</f>
        <v>Catalog Record</v>
      </c>
      <c r="AV625" s="5" t="str">
        <f>HYPERLINK("http://www.worldcat.org/oclc/32389235","WorldCat Record")</f>
        <v>WorldCat Record</v>
      </c>
      <c r="AW625" s="2" t="s">
        <v>7848</v>
      </c>
      <c r="AX625" s="2" t="s">
        <v>7849</v>
      </c>
      <c r="AY625" s="2" t="s">
        <v>7850</v>
      </c>
      <c r="AZ625" s="2" t="s">
        <v>7850</v>
      </c>
      <c r="BA625" s="2" t="s">
        <v>7851</v>
      </c>
      <c r="BB625" s="2" t="s">
        <v>79</v>
      </c>
      <c r="BD625" s="2" t="s">
        <v>7852</v>
      </c>
      <c r="BE625" s="2" t="s">
        <v>7853</v>
      </c>
      <c r="BF625" s="2" t="s">
        <v>7854</v>
      </c>
    </row>
    <row r="626" spans="1:58" ht="46.5" customHeight="1">
      <c r="A626" s="1"/>
      <c r="B626" s="1" t="s">
        <v>58</v>
      </c>
      <c r="C626" s="1" t="s">
        <v>59</v>
      </c>
      <c r="D626" s="1" t="s">
        <v>7855</v>
      </c>
      <c r="E626" s="1" t="s">
        <v>7856</v>
      </c>
      <c r="F626" s="1" t="s">
        <v>7857</v>
      </c>
      <c r="H626" s="2" t="s">
        <v>63</v>
      </c>
      <c r="I626" s="2" t="s">
        <v>64</v>
      </c>
      <c r="J626" s="2" t="s">
        <v>63</v>
      </c>
      <c r="K626" s="2" t="s">
        <v>63</v>
      </c>
      <c r="L626" s="2" t="s">
        <v>65</v>
      </c>
      <c r="M626" s="1" t="s">
        <v>7858</v>
      </c>
      <c r="N626" s="1" t="s">
        <v>7859</v>
      </c>
      <c r="O626" s="2" t="s">
        <v>275</v>
      </c>
      <c r="P626" s="1" t="s">
        <v>7860</v>
      </c>
      <c r="Q626" s="2" t="s">
        <v>70</v>
      </c>
      <c r="R626" s="2" t="s">
        <v>470</v>
      </c>
      <c r="T626" s="2" t="s">
        <v>72</v>
      </c>
      <c r="U626" s="3">
        <v>2</v>
      </c>
      <c r="V626" s="3">
        <v>2</v>
      </c>
      <c r="W626" s="4" t="s">
        <v>7861</v>
      </c>
      <c r="X626" s="4" t="s">
        <v>7861</v>
      </c>
      <c r="Y626" s="4" t="s">
        <v>514</v>
      </c>
      <c r="Z626" s="4" t="s">
        <v>514</v>
      </c>
      <c r="AA626" s="3">
        <v>53</v>
      </c>
      <c r="AB626" s="3">
        <v>41</v>
      </c>
      <c r="AC626" s="3">
        <v>188</v>
      </c>
      <c r="AD626" s="3">
        <v>1</v>
      </c>
      <c r="AE626" s="3">
        <v>1</v>
      </c>
      <c r="AF626" s="3">
        <v>1</v>
      </c>
      <c r="AG626" s="3">
        <v>6</v>
      </c>
      <c r="AH626" s="3">
        <v>1</v>
      </c>
      <c r="AI626" s="3">
        <v>1</v>
      </c>
      <c r="AJ626" s="3">
        <v>0</v>
      </c>
      <c r="AK626" s="3">
        <v>1</v>
      </c>
      <c r="AL626" s="3">
        <v>1</v>
      </c>
      <c r="AM626" s="3">
        <v>6</v>
      </c>
      <c r="AN626" s="3">
        <v>0</v>
      </c>
      <c r="AO626" s="3">
        <v>0</v>
      </c>
      <c r="AP626" s="3">
        <v>0</v>
      </c>
      <c r="AQ626" s="3">
        <v>0</v>
      </c>
      <c r="AR626" s="2" t="s">
        <v>63</v>
      </c>
      <c r="AS626" s="2" t="s">
        <v>92</v>
      </c>
      <c r="AT626" s="5" t="str">
        <f>HYPERLINK("http://catalog.hathitrust.org/Record/003120405","HathiTrust Record")</f>
        <v>HathiTrust Record</v>
      </c>
      <c r="AU626" s="5" t="str">
        <f>HYPERLINK("https://creighton-primo.hosted.exlibrisgroup.com/primo-explore/search?tab=default_tab&amp;search_scope=EVERYTHING&amp;vid=01CRU&amp;lang=en_US&amp;offset=0&amp;query=any,contains,991000836119702656","Catalog Record")</f>
        <v>Catalog Record</v>
      </c>
      <c r="AV626" s="5" t="str">
        <f>HYPERLINK("http://www.worldcat.org/oclc/34085231","WorldCat Record")</f>
        <v>WorldCat Record</v>
      </c>
      <c r="AW626" s="2" t="s">
        <v>7862</v>
      </c>
      <c r="AX626" s="2" t="s">
        <v>7863</v>
      </c>
      <c r="AY626" s="2" t="s">
        <v>7864</v>
      </c>
      <c r="AZ626" s="2" t="s">
        <v>7864</v>
      </c>
      <c r="BA626" s="2" t="s">
        <v>7865</v>
      </c>
      <c r="BB626" s="2" t="s">
        <v>79</v>
      </c>
      <c r="BD626" s="2" t="s">
        <v>7866</v>
      </c>
      <c r="BE626" s="2" t="s">
        <v>7867</v>
      </c>
      <c r="BF626" s="2" t="s">
        <v>7868</v>
      </c>
    </row>
    <row r="627" spans="1:58" ht="46.5" customHeight="1">
      <c r="A627" s="1"/>
      <c r="B627" s="1" t="s">
        <v>58</v>
      </c>
      <c r="C627" s="1" t="s">
        <v>59</v>
      </c>
      <c r="D627" s="1" t="s">
        <v>7869</v>
      </c>
      <c r="E627" s="1" t="s">
        <v>7870</v>
      </c>
      <c r="F627" s="1" t="s">
        <v>7871</v>
      </c>
      <c r="H627" s="2" t="s">
        <v>63</v>
      </c>
      <c r="I627" s="2" t="s">
        <v>64</v>
      </c>
      <c r="J627" s="2" t="s">
        <v>63</v>
      </c>
      <c r="K627" s="2" t="s">
        <v>63</v>
      </c>
      <c r="L627" s="2" t="s">
        <v>65</v>
      </c>
      <c r="N627" s="1" t="s">
        <v>1990</v>
      </c>
      <c r="O627" s="2" t="s">
        <v>608</v>
      </c>
      <c r="Q627" s="2" t="s">
        <v>70</v>
      </c>
      <c r="R627" s="2" t="s">
        <v>89</v>
      </c>
      <c r="T627" s="2" t="s">
        <v>72</v>
      </c>
      <c r="U627" s="3">
        <v>4</v>
      </c>
      <c r="V627" s="3">
        <v>4</v>
      </c>
      <c r="W627" s="4" t="s">
        <v>1136</v>
      </c>
      <c r="X627" s="4" t="s">
        <v>1136</v>
      </c>
      <c r="Y627" s="4" t="s">
        <v>979</v>
      </c>
      <c r="Z627" s="4" t="s">
        <v>979</v>
      </c>
      <c r="AA627" s="3">
        <v>72</v>
      </c>
      <c r="AB627" s="3">
        <v>60</v>
      </c>
      <c r="AC627" s="3">
        <v>60</v>
      </c>
      <c r="AD627" s="3">
        <v>1</v>
      </c>
      <c r="AE627" s="3">
        <v>1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0</v>
      </c>
      <c r="AR627" s="2" t="s">
        <v>63</v>
      </c>
      <c r="AS627" s="2" t="s">
        <v>63</v>
      </c>
      <c r="AU627" s="5" t="str">
        <f>HYPERLINK("https://creighton-primo.hosted.exlibrisgroup.com/primo-explore/search?tab=default_tab&amp;search_scope=EVERYTHING&amp;vid=01CRU&amp;lang=en_US&amp;offset=0&amp;query=any,contains,991001511269702656","Catalog Record")</f>
        <v>Catalog Record</v>
      </c>
      <c r="AV627" s="5" t="str">
        <f>HYPERLINK("http://www.worldcat.org/oclc/26160254","WorldCat Record")</f>
        <v>WorldCat Record</v>
      </c>
      <c r="AW627" s="2" t="s">
        <v>7872</v>
      </c>
      <c r="AX627" s="2" t="s">
        <v>7873</v>
      </c>
      <c r="AY627" s="2" t="s">
        <v>7874</v>
      </c>
      <c r="AZ627" s="2" t="s">
        <v>7874</v>
      </c>
      <c r="BA627" s="2" t="s">
        <v>7875</v>
      </c>
      <c r="BB627" s="2" t="s">
        <v>79</v>
      </c>
      <c r="BD627" s="2" t="s">
        <v>7876</v>
      </c>
      <c r="BE627" s="2" t="s">
        <v>7877</v>
      </c>
      <c r="BF627" s="2" t="s">
        <v>7878</v>
      </c>
    </row>
    <row r="628" spans="1:58" ht="46.5" customHeight="1">
      <c r="A628" s="1"/>
      <c r="B628" s="1" t="s">
        <v>58</v>
      </c>
      <c r="C628" s="1" t="s">
        <v>59</v>
      </c>
      <c r="D628" s="1" t="s">
        <v>7879</v>
      </c>
      <c r="E628" s="1" t="s">
        <v>7880</v>
      </c>
      <c r="F628" s="1" t="s">
        <v>7881</v>
      </c>
      <c r="H628" s="2" t="s">
        <v>63</v>
      </c>
      <c r="I628" s="2" t="s">
        <v>64</v>
      </c>
      <c r="J628" s="2" t="s">
        <v>63</v>
      </c>
      <c r="K628" s="2" t="s">
        <v>63</v>
      </c>
      <c r="L628" s="2" t="s">
        <v>65</v>
      </c>
      <c r="M628" s="1" t="s">
        <v>7882</v>
      </c>
      <c r="N628" s="1" t="s">
        <v>7883</v>
      </c>
      <c r="O628" s="2" t="s">
        <v>540</v>
      </c>
      <c r="Q628" s="2" t="s">
        <v>70</v>
      </c>
      <c r="R628" s="2" t="s">
        <v>277</v>
      </c>
      <c r="T628" s="2" t="s">
        <v>72</v>
      </c>
      <c r="U628" s="3">
        <v>0</v>
      </c>
      <c r="V628" s="3">
        <v>0</v>
      </c>
      <c r="W628" s="4" t="s">
        <v>7884</v>
      </c>
      <c r="X628" s="4" t="s">
        <v>7884</v>
      </c>
      <c r="Y628" s="4" t="s">
        <v>7884</v>
      </c>
      <c r="Z628" s="4" t="s">
        <v>7884</v>
      </c>
      <c r="AA628" s="3">
        <v>949</v>
      </c>
      <c r="AB628" s="3">
        <v>812</v>
      </c>
      <c r="AC628" s="3">
        <v>891</v>
      </c>
      <c r="AD628" s="3">
        <v>6</v>
      </c>
      <c r="AE628" s="3">
        <v>6</v>
      </c>
      <c r="AF628" s="3">
        <v>24</v>
      </c>
      <c r="AG628" s="3">
        <v>25</v>
      </c>
      <c r="AH628" s="3">
        <v>9</v>
      </c>
      <c r="AI628" s="3">
        <v>10</v>
      </c>
      <c r="AJ628" s="3">
        <v>8</v>
      </c>
      <c r="AK628" s="3">
        <v>9</v>
      </c>
      <c r="AL628" s="3">
        <v>11</v>
      </c>
      <c r="AM628" s="3">
        <v>11</v>
      </c>
      <c r="AN628" s="3">
        <v>3</v>
      </c>
      <c r="AO628" s="3">
        <v>3</v>
      </c>
      <c r="AP628" s="3">
        <v>0</v>
      </c>
      <c r="AQ628" s="3">
        <v>0</v>
      </c>
      <c r="AR628" s="2" t="s">
        <v>63</v>
      </c>
      <c r="AS628" s="2" t="s">
        <v>63</v>
      </c>
      <c r="AU628" s="5" t="str">
        <f>HYPERLINK("https://creighton-primo.hosted.exlibrisgroup.com/primo-explore/search?tab=default_tab&amp;search_scope=EVERYTHING&amp;vid=01CRU&amp;lang=en_US&amp;offset=0&amp;query=any,contains,991001319229702656","Catalog Record")</f>
        <v>Catalog Record</v>
      </c>
      <c r="AV628" s="5" t="str">
        <f>HYPERLINK("http://www.worldcat.org/oclc/62593856","WorldCat Record")</f>
        <v>WorldCat Record</v>
      </c>
      <c r="AW628" s="2" t="s">
        <v>7885</v>
      </c>
      <c r="AX628" s="2" t="s">
        <v>7886</v>
      </c>
      <c r="AY628" s="2" t="s">
        <v>7887</v>
      </c>
      <c r="AZ628" s="2" t="s">
        <v>7887</v>
      </c>
      <c r="BA628" s="2" t="s">
        <v>7888</v>
      </c>
      <c r="BB628" s="2" t="s">
        <v>79</v>
      </c>
      <c r="BD628" s="2" t="s">
        <v>7889</v>
      </c>
      <c r="BE628" s="2" t="s">
        <v>7890</v>
      </c>
      <c r="BF628" s="2" t="s">
        <v>7891</v>
      </c>
    </row>
    <row r="629" spans="1:58" ht="46.5" customHeight="1">
      <c r="A629" s="1"/>
      <c r="B629" s="1" t="s">
        <v>58</v>
      </c>
      <c r="C629" s="1" t="s">
        <v>59</v>
      </c>
      <c r="D629" s="1" t="s">
        <v>7892</v>
      </c>
      <c r="E629" s="1" t="s">
        <v>7893</v>
      </c>
      <c r="F629" s="1" t="s">
        <v>7894</v>
      </c>
      <c r="H629" s="2" t="s">
        <v>63</v>
      </c>
      <c r="I629" s="2" t="s">
        <v>64</v>
      </c>
      <c r="J629" s="2" t="s">
        <v>63</v>
      </c>
      <c r="K629" s="2" t="s">
        <v>63</v>
      </c>
      <c r="L629" s="2" t="s">
        <v>65</v>
      </c>
      <c r="M629" s="1" t="s">
        <v>7895</v>
      </c>
      <c r="N629" s="1" t="s">
        <v>1990</v>
      </c>
      <c r="O629" s="2" t="s">
        <v>132</v>
      </c>
      <c r="P629" s="1" t="s">
        <v>7896</v>
      </c>
      <c r="Q629" s="2" t="s">
        <v>70</v>
      </c>
      <c r="R629" s="2" t="s">
        <v>1541</v>
      </c>
      <c r="T629" s="2" t="s">
        <v>72</v>
      </c>
      <c r="U629" s="3">
        <v>10</v>
      </c>
      <c r="V629" s="3">
        <v>10</v>
      </c>
      <c r="W629" s="4" t="s">
        <v>7897</v>
      </c>
      <c r="X629" s="4" t="s">
        <v>7897</v>
      </c>
      <c r="Y629" s="4" t="s">
        <v>979</v>
      </c>
      <c r="Z629" s="4" t="s">
        <v>979</v>
      </c>
      <c r="AA629" s="3">
        <v>49</v>
      </c>
      <c r="AB629" s="3">
        <v>34</v>
      </c>
      <c r="AC629" s="3">
        <v>51</v>
      </c>
      <c r="AD629" s="3">
        <v>1</v>
      </c>
      <c r="AE629" s="3">
        <v>1</v>
      </c>
      <c r="AF629" s="3">
        <v>1</v>
      </c>
      <c r="AG629" s="3">
        <v>1</v>
      </c>
      <c r="AH629" s="3">
        <v>1</v>
      </c>
      <c r="AI629" s="3">
        <v>1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2" t="s">
        <v>63</v>
      </c>
      <c r="AS629" s="2" t="s">
        <v>63</v>
      </c>
      <c r="AU629" s="5" t="str">
        <f>HYPERLINK("https://creighton-primo.hosted.exlibrisgroup.com/primo-explore/search?tab=default_tab&amp;search_scope=EVERYTHING&amp;vid=01CRU&amp;lang=en_US&amp;offset=0&amp;query=any,contains,991001512289702656","Catalog Record")</f>
        <v>Catalog Record</v>
      </c>
      <c r="AV629" s="5" t="str">
        <f>HYPERLINK("http://www.worldcat.org/oclc/26550460","WorldCat Record")</f>
        <v>WorldCat Record</v>
      </c>
      <c r="AW629" s="2" t="s">
        <v>7898</v>
      </c>
      <c r="AX629" s="2" t="s">
        <v>7899</v>
      </c>
      <c r="AY629" s="2" t="s">
        <v>7900</v>
      </c>
      <c r="AZ629" s="2" t="s">
        <v>7900</v>
      </c>
      <c r="BA629" s="2" t="s">
        <v>7901</v>
      </c>
      <c r="BB629" s="2" t="s">
        <v>79</v>
      </c>
      <c r="BD629" s="2" t="s">
        <v>7902</v>
      </c>
      <c r="BE629" s="2" t="s">
        <v>7903</v>
      </c>
      <c r="BF629" s="2" t="s">
        <v>7904</v>
      </c>
    </row>
    <row r="630" spans="1:58" ht="46.5" customHeight="1">
      <c r="A630" s="1"/>
      <c r="B630" s="1" t="s">
        <v>58</v>
      </c>
      <c r="C630" s="1" t="s">
        <v>59</v>
      </c>
      <c r="D630" s="1" t="s">
        <v>7905</v>
      </c>
      <c r="E630" s="1" t="s">
        <v>7906</v>
      </c>
      <c r="F630" s="1" t="s">
        <v>7907</v>
      </c>
      <c r="H630" s="2" t="s">
        <v>63</v>
      </c>
      <c r="I630" s="2" t="s">
        <v>64</v>
      </c>
      <c r="J630" s="2" t="s">
        <v>63</v>
      </c>
      <c r="K630" s="2" t="s">
        <v>63</v>
      </c>
      <c r="L630" s="2" t="s">
        <v>65</v>
      </c>
      <c r="M630" s="1" t="s">
        <v>7085</v>
      </c>
      <c r="N630" s="1" t="s">
        <v>2044</v>
      </c>
      <c r="O630" s="2" t="s">
        <v>87</v>
      </c>
      <c r="Q630" s="2" t="s">
        <v>70</v>
      </c>
      <c r="R630" s="2" t="s">
        <v>89</v>
      </c>
      <c r="T630" s="2" t="s">
        <v>72</v>
      </c>
      <c r="U630" s="3">
        <v>5</v>
      </c>
      <c r="V630" s="3">
        <v>5</v>
      </c>
      <c r="W630" s="4" t="s">
        <v>7908</v>
      </c>
      <c r="X630" s="4" t="s">
        <v>7908</v>
      </c>
      <c r="Y630" s="4" t="s">
        <v>2159</v>
      </c>
      <c r="Z630" s="4" t="s">
        <v>2159</v>
      </c>
      <c r="AA630" s="3">
        <v>142</v>
      </c>
      <c r="AB630" s="3">
        <v>110</v>
      </c>
      <c r="AC630" s="3">
        <v>110</v>
      </c>
      <c r="AD630" s="3">
        <v>1</v>
      </c>
      <c r="AE630" s="3">
        <v>1</v>
      </c>
      <c r="AF630" s="3">
        <v>3</v>
      </c>
      <c r="AG630" s="3">
        <v>3</v>
      </c>
      <c r="AH630" s="3">
        <v>0</v>
      </c>
      <c r="AI630" s="3">
        <v>0</v>
      </c>
      <c r="AJ630" s="3">
        <v>2</v>
      </c>
      <c r="AK630" s="3">
        <v>2</v>
      </c>
      <c r="AL630" s="3">
        <v>1</v>
      </c>
      <c r="AM630" s="3">
        <v>1</v>
      </c>
      <c r="AN630" s="3">
        <v>0</v>
      </c>
      <c r="AO630" s="3">
        <v>0</v>
      </c>
      <c r="AP630" s="3">
        <v>0</v>
      </c>
      <c r="AQ630" s="3">
        <v>0</v>
      </c>
      <c r="AR630" s="2" t="s">
        <v>63</v>
      </c>
      <c r="AS630" s="2" t="s">
        <v>63</v>
      </c>
      <c r="AU630" s="5" t="str">
        <f>HYPERLINK("https://creighton-primo.hosted.exlibrisgroup.com/primo-explore/search?tab=default_tab&amp;search_scope=EVERYTHING&amp;vid=01CRU&amp;lang=en_US&amp;offset=0&amp;query=any,contains,991001266899702656","Catalog Record")</f>
        <v>Catalog Record</v>
      </c>
      <c r="AV630" s="5" t="str">
        <f>HYPERLINK("http://www.worldcat.org/oclc/15018790","WorldCat Record")</f>
        <v>WorldCat Record</v>
      </c>
      <c r="AW630" s="2" t="s">
        <v>7909</v>
      </c>
      <c r="AX630" s="2" t="s">
        <v>7910</v>
      </c>
      <c r="AY630" s="2" t="s">
        <v>7911</v>
      </c>
      <c r="AZ630" s="2" t="s">
        <v>7911</v>
      </c>
      <c r="BA630" s="2" t="s">
        <v>7912</v>
      </c>
      <c r="BB630" s="2" t="s">
        <v>79</v>
      </c>
      <c r="BD630" s="2" t="s">
        <v>7913</v>
      </c>
      <c r="BE630" s="2" t="s">
        <v>7914</v>
      </c>
      <c r="BF630" s="2" t="s">
        <v>7915</v>
      </c>
    </row>
    <row r="631" spans="1:58" ht="46.5" customHeight="1">
      <c r="A631" s="1"/>
      <c r="B631" s="1" t="s">
        <v>58</v>
      </c>
      <c r="C631" s="1" t="s">
        <v>59</v>
      </c>
      <c r="D631" s="1" t="s">
        <v>7916</v>
      </c>
      <c r="E631" s="1" t="s">
        <v>7917</v>
      </c>
      <c r="F631" s="1" t="s">
        <v>7918</v>
      </c>
      <c r="H631" s="2" t="s">
        <v>63</v>
      </c>
      <c r="I631" s="2" t="s">
        <v>64</v>
      </c>
      <c r="J631" s="2" t="s">
        <v>63</v>
      </c>
      <c r="K631" s="2" t="s">
        <v>63</v>
      </c>
      <c r="L631" s="2" t="s">
        <v>65</v>
      </c>
      <c r="N631" s="1" t="s">
        <v>2326</v>
      </c>
      <c r="O631" s="2" t="s">
        <v>407</v>
      </c>
      <c r="Q631" s="2" t="s">
        <v>70</v>
      </c>
      <c r="R631" s="2" t="s">
        <v>277</v>
      </c>
      <c r="S631" s="1" t="s">
        <v>7919</v>
      </c>
      <c r="T631" s="2" t="s">
        <v>72</v>
      </c>
      <c r="U631" s="3">
        <v>9</v>
      </c>
      <c r="V631" s="3">
        <v>9</v>
      </c>
      <c r="W631" s="4" t="s">
        <v>7897</v>
      </c>
      <c r="X631" s="4" t="s">
        <v>7897</v>
      </c>
      <c r="Y631" s="4" t="s">
        <v>7920</v>
      </c>
      <c r="Z631" s="4" t="s">
        <v>7920</v>
      </c>
      <c r="AA631" s="3">
        <v>172</v>
      </c>
      <c r="AB631" s="3">
        <v>119</v>
      </c>
      <c r="AC631" s="3">
        <v>159</v>
      </c>
      <c r="AD631" s="3">
        <v>1</v>
      </c>
      <c r="AE631" s="3">
        <v>1</v>
      </c>
      <c r="AF631" s="3">
        <v>5</v>
      </c>
      <c r="AG631" s="3">
        <v>5</v>
      </c>
      <c r="AH631" s="3">
        <v>4</v>
      </c>
      <c r="AI631" s="3">
        <v>4</v>
      </c>
      <c r="AJ631" s="3">
        <v>2</v>
      </c>
      <c r="AK631" s="3">
        <v>2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2" t="s">
        <v>63</v>
      </c>
      <c r="AS631" s="2" t="s">
        <v>63</v>
      </c>
      <c r="AU631" s="5" t="str">
        <f>HYPERLINK("https://creighton-primo.hosted.exlibrisgroup.com/primo-explore/search?tab=default_tab&amp;search_scope=EVERYTHING&amp;vid=01CRU&amp;lang=en_US&amp;offset=0&amp;query=any,contains,991001305099702656","Catalog Record")</f>
        <v>Catalog Record</v>
      </c>
      <c r="AV631" s="5" t="str">
        <f>HYPERLINK("http://www.worldcat.org/oclc/20491808","WorldCat Record")</f>
        <v>WorldCat Record</v>
      </c>
      <c r="AW631" s="2" t="s">
        <v>7921</v>
      </c>
      <c r="AX631" s="2" t="s">
        <v>7922</v>
      </c>
      <c r="AY631" s="2" t="s">
        <v>7923</v>
      </c>
      <c r="AZ631" s="2" t="s">
        <v>7923</v>
      </c>
      <c r="BA631" s="2" t="s">
        <v>7924</v>
      </c>
      <c r="BB631" s="2" t="s">
        <v>79</v>
      </c>
      <c r="BD631" s="2" t="s">
        <v>7925</v>
      </c>
      <c r="BE631" s="2" t="s">
        <v>7926</v>
      </c>
      <c r="BF631" s="2" t="s">
        <v>7927</v>
      </c>
    </row>
    <row r="632" spans="1:58" ht="46.5" customHeight="1">
      <c r="A632" s="1"/>
      <c r="B632" s="1" t="s">
        <v>58</v>
      </c>
      <c r="C632" s="1" t="s">
        <v>59</v>
      </c>
      <c r="D632" s="1" t="s">
        <v>7928</v>
      </c>
      <c r="E632" s="1" t="s">
        <v>7929</v>
      </c>
      <c r="F632" s="1" t="s">
        <v>7930</v>
      </c>
      <c r="H632" s="2" t="s">
        <v>63</v>
      </c>
      <c r="I632" s="2" t="s">
        <v>64</v>
      </c>
      <c r="J632" s="2" t="s">
        <v>63</v>
      </c>
      <c r="K632" s="2" t="s">
        <v>63</v>
      </c>
      <c r="L632" s="2" t="s">
        <v>65</v>
      </c>
      <c r="M632" s="1" t="s">
        <v>7931</v>
      </c>
      <c r="N632" s="1" t="s">
        <v>7932</v>
      </c>
      <c r="O632" s="2" t="s">
        <v>132</v>
      </c>
      <c r="P632" s="1" t="s">
        <v>376</v>
      </c>
      <c r="Q632" s="2" t="s">
        <v>70</v>
      </c>
      <c r="R632" s="2" t="s">
        <v>555</v>
      </c>
      <c r="T632" s="2" t="s">
        <v>72</v>
      </c>
      <c r="U632" s="3">
        <v>8</v>
      </c>
      <c r="V632" s="3">
        <v>8</v>
      </c>
      <c r="W632" s="4" t="s">
        <v>7933</v>
      </c>
      <c r="X632" s="4" t="s">
        <v>7933</v>
      </c>
      <c r="Y632" s="4" t="s">
        <v>7934</v>
      </c>
      <c r="Z632" s="4" t="s">
        <v>7934</v>
      </c>
      <c r="AA632" s="3">
        <v>98</v>
      </c>
      <c r="AB632" s="3">
        <v>79</v>
      </c>
      <c r="AC632" s="3">
        <v>81</v>
      </c>
      <c r="AD632" s="3">
        <v>1</v>
      </c>
      <c r="AE632" s="3">
        <v>1</v>
      </c>
      <c r="AF632" s="3">
        <v>2</v>
      </c>
      <c r="AG632" s="3">
        <v>2</v>
      </c>
      <c r="AH632" s="3">
        <v>0</v>
      </c>
      <c r="AI632" s="3">
        <v>0</v>
      </c>
      <c r="AJ632" s="3">
        <v>1</v>
      </c>
      <c r="AK632" s="3">
        <v>1</v>
      </c>
      <c r="AL632" s="3">
        <v>2</v>
      </c>
      <c r="AM632" s="3">
        <v>2</v>
      </c>
      <c r="AN632" s="3">
        <v>0</v>
      </c>
      <c r="AO632" s="3">
        <v>0</v>
      </c>
      <c r="AP632" s="3">
        <v>0</v>
      </c>
      <c r="AQ632" s="3">
        <v>0</v>
      </c>
      <c r="AR632" s="2" t="s">
        <v>63</v>
      </c>
      <c r="AS632" s="2" t="s">
        <v>92</v>
      </c>
      <c r="AT632" s="5" t="str">
        <f>HYPERLINK("http://catalog.hathitrust.org/Record/002549936","HathiTrust Record")</f>
        <v>HathiTrust Record</v>
      </c>
      <c r="AU632" s="5" t="str">
        <f>HYPERLINK("https://creighton-primo.hosted.exlibrisgroup.com/primo-explore/search?tab=default_tab&amp;search_scope=EVERYTHING&amp;vid=01CRU&amp;lang=en_US&amp;offset=0&amp;query=any,contains,991001307949702656","Catalog Record")</f>
        <v>Catalog Record</v>
      </c>
      <c r="AV632" s="5" t="str">
        <f>HYPERLINK("http://www.worldcat.org/oclc/24889759","WorldCat Record")</f>
        <v>WorldCat Record</v>
      </c>
      <c r="AW632" s="2" t="s">
        <v>7935</v>
      </c>
      <c r="AX632" s="2" t="s">
        <v>7936</v>
      </c>
      <c r="AY632" s="2" t="s">
        <v>7937</v>
      </c>
      <c r="AZ632" s="2" t="s">
        <v>7937</v>
      </c>
      <c r="BA632" s="2" t="s">
        <v>7938</v>
      </c>
      <c r="BB632" s="2" t="s">
        <v>79</v>
      </c>
      <c r="BD632" s="2" t="s">
        <v>7939</v>
      </c>
      <c r="BE632" s="2" t="s">
        <v>7940</v>
      </c>
      <c r="BF632" s="2" t="s">
        <v>7941</v>
      </c>
    </row>
    <row r="633" spans="1:58" ht="46.5" customHeight="1">
      <c r="A633" s="1"/>
      <c r="B633" s="1" t="s">
        <v>58</v>
      </c>
      <c r="C633" s="1" t="s">
        <v>59</v>
      </c>
      <c r="D633" s="1" t="s">
        <v>7942</v>
      </c>
      <c r="E633" s="1" t="s">
        <v>7943</v>
      </c>
      <c r="F633" s="1" t="s">
        <v>7944</v>
      </c>
      <c r="H633" s="2" t="s">
        <v>63</v>
      </c>
      <c r="I633" s="2" t="s">
        <v>64</v>
      </c>
      <c r="J633" s="2" t="s">
        <v>63</v>
      </c>
      <c r="K633" s="2" t="s">
        <v>63</v>
      </c>
      <c r="L633" s="2" t="s">
        <v>65</v>
      </c>
      <c r="M633" s="1" t="s">
        <v>7945</v>
      </c>
      <c r="N633" s="1" t="s">
        <v>7946</v>
      </c>
      <c r="O633" s="2" t="s">
        <v>440</v>
      </c>
      <c r="Q633" s="2" t="s">
        <v>70</v>
      </c>
      <c r="R633" s="2" t="s">
        <v>200</v>
      </c>
      <c r="T633" s="2" t="s">
        <v>72</v>
      </c>
      <c r="U633" s="3">
        <v>4</v>
      </c>
      <c r="V633" s="3">
        <v>4</v>
      </c>
      <c r="W633" s="4" t="s">
        <v>978</v>
      </c>
      <c r="X633" s="4" t="s">
        <v>978</v>
      </c>
      <c r="Y633" s="4" t="s">
        <v>2088</v>
      </c>
      <c r="Z633" s="4" t="s">
        <v>2088</v>
      </c>
      <c r="AA633" s="3">
        <v>50</v>
      </c>
      <c r="AB633" s="3">
        <v>40</v>
      </c>
      <c r="AC633" s="3">
        <v>75</v>
      </c>
      <c r="AD633" s="3">
        <v>1</v>
      </c>
      <c r="AE633" s="3">
        <v>1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2" t="s">
        <v>63</v>
      </c>
      <c r="AS633" s="2" t="s">
        <v>92</v>
      </c>
      <c r="AT633" s="5" t="str">
        <f>HYPERLINK("http://catalog.hathitrust.org/Record/004325127","HathiTrust Record")</f>
        <v>HathiTrust Record</v>
      </c>
      <c r="AU633" s="5" t="str">
        <f>HYPERLINK("https://creighton-primo.hosted.exlibrisgroup.com/primo-explore/search?tab=default_tab&amp;search_scope=EVERYTHING&amp;vid=01CRU&amp;lang=en_US&amp;offset=0&amp;query=any,contains,991000352529702656","Catalog Record")</f>
        <v>Catalog Record</v>
      </c>
      <c r="AV633" s="5" t="str">
        <f>HYPERLINK("http://www.worldcat.org/oclc/52337451","WorldCat Record")</f>
        <v>WorldCat Record</v>
      </c>
      <c r="AW633" s="2" t="s">
        <v>7947</v>
      </c>
      <c r="AX633" s="2" t="s">
        <v>7948</v>
      </c>
      <c r="AY633" s="2" t="s">
        <v>7949</v>
      </c>
      <c r="AZ633" s="2" t="s">
        <v>7949</v>
      </c>
      <c r="BA633" s="2" t="s">
        <v>7950</v>
      </c>
      <c r="BB633" s="2" t="s">
        <v>79</v>
      </c>
      <c r="BD633" s="2" t="s">
        <v>7951</v>
      </c>
      <c r="BE633" s="2" t="s">
        <v>7952</v>
      </c>
      <c r="BF633" s="2" t="s">
        <v>7953</v>
      </c>
    </row>
    <row r="634" spans="1:58" ht="46.5" customHeight="1">
      <c r="A634" s="1"/>
      <c r="B634" s="1" t="s">
        <v>58</v>
      </c>
      <c r="C634" s="1" t="s">
        <v>59</v>
      </c>
      <c r="D634" s="1" t="s">
        <v>7954</v>
      </c>
      <c r="E634" s="1" t="s">
        <v>7955</v>
      </c>
      <c r="F634" s="1" t="s">
        <v>7956</v>
      </c>
      <c r="H634" s="2" t="s">
        <v>63</v>
      </c>
      <c r="I634" s="2" t="s">
        <v>64</v>
      </c>
      <c r="J634" s="2" t="s">
        <v>63</v>
      </c>
      <c r="K634" s="2" t="s">
        <v>63</v>
      </c>
      <c r="L634" s="2" t="s">
        <v>65</v>
      </c>
      <c r="N634" s="1" t="s">
        <v>7957</v>
      </c>
      <c r="O634" s="2" t="s">
        <v>132</v>
      </c>
      <c r="P634" s="1" t="s">
        <v>7958</v>
      </c>
      <c r="Q634" s="2" t="s">
        <v>70</v>
      </c>
      <c r="R634" s="2" t="s">
        <v>2284</v>
      </c>
      <c r="T634" s="2" t="s">
        <v>72</v>
      </c>
      <c r="U634" s="3">
        <v>7</v>
      </c>
      <c r="V634" s="3">
        <v>7</v>
      </c>
      <c r="W634" s="4" t="s">
        <v>7959</v>
      </c>
      <c r="X634" s="4" t="s">
        <v>7959</v>
      </c>
      <c r="Y634" s="4" t="s">
        <v>4945</v>
      </c>
      <c r="Z634" s="4" t="s">
        <v>4945</v>
      </c>
      <c r="AA634" s="3">
        <v>9</v>
      </c>
      <c r="AB634" s="3">
        <v>8</v>
      </c>
      <c r="AC634" s="3">
        <v>8</v>
      </c>
      <c r="AD634" s="3">
        <v>1</v>
      </c>
      <c r="AE634" s="3">
        <v>1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2" t="s">
        <v>63</v>
      </c>
      <c r="AS634" s="2" t="s">
        <v>63</v>
      </c>
      <c r="AU634" s="5" t="str">
        <f>HYPERLINK("https://creighton-primo.hosted.exlibrisgroup.com/primo-explore/search?tab=default_tab&amp;search_scope=EVERYTHING&amp;vid=01CRU&amp;lang=en_US&amp;offset=0&amp;query=any,contains,991001341649702656","Catalog Record")</f>
        <v>Catalog Record</v>
      </c>
      <c r="AV634" s="5" t="str">
        <f>HYPERLINK("http://www.worldcat.org/oclc/26203223","WorldCat Record")</f>
        <v>WorldCat Record</v>
      </c>
      <c r="AW634" s="2" t="s">
        <v>7960</v>
      </c>
      <c r="AX634" s="2" t="s">
        <v>7961</v>
      </c>
      <c r="AY634" s="2" t="s">
        <v>7962</v>
      </c>
      <c r="AZ634" s="2" t="s">
        <v>7962</v>
      </c>
      <c r="BA634" s="2" t="s">
        <v>7963</v>
      </c>
      <c r="BB634" s="2" t="s">
        <v>79</v>
      </c>
      <c r="BD634" s="2" t="s">
        <v>7964</v>
      </c>
      <c r="BE634" s="2" t="s">
        <v>7965</v>
      </c>
      <c r="BF634" s="2" t="s">
        <v>7966</v>
      </c>
    </row>
    <row r="635" spans="1:58" ht="46.5" customHeight="1">
      <c r="A635" s="1"/>
      <c r="B635" s="1" t="s">
        <v>58</v>
      </c>
      <c r="C635" s="1" t="s">
        <v>59</v>
      </c>
      <c r="D635" s="1" t="s">
        <v>7967</v>
      </c>
      <c r="E635" s="1" t="s">
        <v>7968</v>
      </c>
      <c r="F635" s="1" t="s">
        <v>7969</v>
      </c>
      <c r="H635" s="2" t="s">
        <v>63</v>
      </c>
      <c r="I635" s="2" t="s">
        <v>64</v>
      </c>
      <c r="J635" s="2" t="s">
        <v>63</v>
      </c>
      <c r="K635" s="2" t="s">
        <v>63</v>
      </c>
      <c r="L635" s="2" t="s">
        <v>65</v>
      </c>
      <c r="N635" s="1" t="s">
        <v>7970</v>
      </c>
      <c r="O635" s="2" t="s">
        <v>215</v>
      </c>
      <c r="Q635" s="2" t="s">
        <v>70</v>
      </c>
      <c r="R635" s="2" t="s">
        <v>260</v>
      </c>
      <c r="T635" s="2" t="s">
        <v>72</v>
      </c>
      <c r="U635" s="3">
        <v>3</v>
      </c>
      <c r="V635" s="3">
        <v>3</v>
      </c>
      <c r="W635" s="4" t="s">
        <v>7971</v>
      </c>
      <c r="X635" s="4" t="s">
        <v>7971</v>
      </c>
      <c r="Y635" s="4" t="s">
        <v>2253</v>
      </c>
      <c r="Z635" s="4" t="s">
        <v>2253</v>
      </c>
      <c r="AA635" s="3">
        <v>65</v>
      </c>
      <c r="AB635" s="3">
        <v>48</v>
      </c>
      <c r="AC635" s="3">
        <v>48</v>
      </c>
      <c r="AD635" s="3">
        <v>1</v>
      </c>
      <c r="AE635" s="3">
        <v>1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2" t="s">
        <v>63</v>
      </c>
      <c r="AS635" s="2" t="s">
        <v>63</v>
      </c>
      <c r="AU635" s="5" t="str">
        <f>HYPERLINK("https://creighton-primo.hosted.exlibrisgroup.com/primo-explore/search?tab=default_tab&amp;search_scope=EVERYTHING&amp;vid=01CRU&amp;lang=en_US&amp;offset=0&amp;query=any,contains,991001282219702656","Catalog Record")</f>
        <v>Catalog Record</v>
      </c>
      <c r="AV635" s="5" t="str">
        <f>HYPERLINK("http://www.worldcat.org/oclc/9827818","WorldCat Record")</f>
        <v>WorldCat Record</v>
      </c>
      <c r="AW635" s="2" t="s">
        <v>7972</v>
      </c>
      <c r="AX635" s="2" t="s">
        <v>7973</v>
      </c>
      <c r="AY635" s="2" t="s">
        <v>7974</v>
      </c>
      <c r="AZ635" s="2" t="s">
        <v>7974</v>
      </c>
      <c r="BA635" s="2" t="s">
        <v>7975</v>
      </c>
      <c r="BB635" s="2" t="s">
        <v>79</v>
      </c>
      <c r="BD635" s="2" t="s">
        <v>7976</v>
      </c>
      <c r="BE635" s="2" t="s">
        <v>7977</v>
      </c>
      <c r="BF635" s="2" t="s">
        <v>7978</v>
      </c>
    </row>
    <row r="636" spans="1:58" ht="46.5" customHeight="1">
      <c r="A636" s="1"/>
      <c r="B636" s="1" t="s">
        <v>58</v>
      </c>
      <c r="C636" s="1" t="s">
        <v>59</v>
      </c>
      <c r="D636" s="1" t="s">
        <v>7979</v>
      </c>
      <c r="E636" s="1" t="s">
        <v>7980</v>
      </c>
      <c r="F636" s="1" t="s">
        <v>7981</v>
      </c>
      <c r="H636" s="2" t="s">
        <v>63</v>
      </c>
      <c r="I636" s="2" t="s">
        <v>64</v>
      </c>
      <c r="J636" s="2" t="s">
        <v>63</v>
      </c>
      <c r="K636" s="2" t="s">
        <v>92</v>
      </c>
      <c r="L636" s="2" t="s">
        <v>65</v>
      </c>
      <c r="N636" s="1" t="s">
        <v>7982</v>
      </c>
      <c r="O636" s="2" t="s">
        <v>1600</v>
      </c>
      <c r="P636" s="1" t="s">
        <v>7983</v>
      </c>
      <c r="Q636" s="2" t="s">
        <v>70</v>
      </c>
      <c r="R636" s="2" t="s">
        <v>691</v>
      </c>
      <c r="T636" s="2" t="s">
        <v>72</v>
      </c>
      <c r="U636" s="3">
        <v>0</v>
      </c>
      <c r="V636" s="3">
        <v>0</v>
      </c>
      <c r="W636" s="4" t="s">
        <v>7984</v>
      </c>
      <c r="X636" s="4" t="s">
        <v>7984</v>
      </c>
      <c r="Y636" s="4" t="s">
        <v>2062</v>
      </c>
      <c r="Z636" s="4" t="s">
        <v>2062</v>
      </c>
      <c r="AA636" s="3">
        <v>51</v>
      </c>
      <c r="AB636" s="3">
        <v>46</v>
      </c>
      <c r="AC636" s="3">
        <v>393</v>
      </c>
      <c r="AD636" s="3">
        <v>1</v>
      </c>
      <c r="AE636" s="3">
        <v>1</v>
      </c>
      <c r="AF636" s="3">
        <v>1</v>
      </c>
      <c r="AG636" s="3">
        <v>6</v>
      </c>
      <c r="AH636" s="3">
        <v>0</v>
      </c>
      <c r="AI636" s="3">
        <v>2</v>
      </c>
      <c r="AJ636" s="3">
        <v>1</v>
      </c>
      <c r="AK636" s="3">
        <v>2</v>
      </c>
      <c r="AL636" s="3">
        <v>0</v>
      </c>
      <c r="AM636" s="3">
        <v>3</v>
      </c>
      <c r="AN636" s="3">
        <v>0</v>
      </c>
      <c r="AO636" s="3">
        <v>0</v>
      </c>
      <c r="AP636" s="3">
        <v>0</v>
      </c>
      <c r="AQ636" s="3">
        <v>0</v>
      </c>
      <c r="AR636" s="2" t="s">
        <v>63</v>
      </c>
      <c r="AS636" s="2" t="s">
        <v>63</v>
      </c>
      <c r="AU636" s="5" t="str">
        <f>HYPERLINK("https://creighton-primo.hosted.exlibrisgroup.com/primo-explore/search?tab=default_tab&amp;search_scope=EVERYTHING&amp;vid=01CRU&amp;lang=en_US&amp;offset=0&amp;query=any,contains,991000992549702656","Catalog Record")</f>
        <v>Catalog Record</v>
      </c>
      <c r="AV636" s="5" t="str">
        <f>HYPERLINK("http://www.worldcat.org/oclc/424524","WorldCat Record")</f>
        <v>WorldCat Record</v>
      </c>
      <c r="AW636" s="2" t="s">
        <v>7985</v>
      </c>
      <c r="AX636" s="2" t="s">
        <v>7986</v>
      </c>
      <c r="AY636" s="2" t="s">
        <v>7987</v>
      </c>
      <c r="AZ636" s="2" t="s">
        <v>7987</v>
      </c>
      <c r="BA636" s="2" t="s">
        <v>7988</v>
      </c>
      <c r="BB636" s="2" t="s">
        <v>79</v>
      </c>
      <c r="BE636" s="2" t="s">
        <v>7989</v>
      </c>
      <c r="BF636" s="2" t="s">
        <v>7990</v>
      </c>
    </row>
    <row r="637" spans="1:58" ht="46.5" customHeight="1">
      <c r="A637" s="1"/>
      <c r="B637" s="1" t="s">
        <v>58</v>
      </c>
      <c r="C637" s="1" t="s">
        <v>59</v>
      </c>
      <c r="D637" s="1" t="s">
        <v>7991</v>
      </c>
      <c r="E637" s="1" t="s">
        <v>7992</v>
      </c>
      <c r="F637" s="1" t="s">
        <v>7981</v>
      </c>
      <c r="H637" s="2" t="s">
        <v>63</v>
      </c>
      <c r="I637" s="2" t="s">
        <v>64</v>
      </c>
      <c r="J637" s="2" t="s">
        <v>63</v>
      </c>
      <c r="K637" s="2" t="s">
        <v>92</v>
      </c>
      <c r="L637" s="2" t="s">
        <v>65</v>
      </c>
      <c r="N637" s="1" t="s">
        <v>7993</v>
      </c>
      <c r="O637" s="2" t="s">
        <v>1501</v>
      </c>
      <c r="P637" s="1" t="s">
        <v>6462</v>
      </c>
      <c r="Q637" s="2" t="s">
        <v>70</v>
      </c>
      <c r="R637" s="2" t="s">
        <v>691</v>
      </c>
      <c r="T637" s="2" t="s">
        <v>72</v>
      </c>
      <c r="U637" s="3">
        <v>1</v>
      </c>
      <c r="V637" s="3">
        <v>1</v>
      </c>
      <c r="W637" s="4" t="s">
        <v>3794</v>
      </c>
      <c r="X637" s="4" t="s">
        <v>3794</v>
      </c>
      <c r="Y637" s="4" t="s">
        <v>2062</v>
      </c>
      <c r="Z637" s="4" t="s">
        <v>2062</v>
      </c>
      <c r="AA637" s="3">
        <v>48</v>
      </c>
      <c r="AB637" s="3">
        <v>41</v>
      </c>
      <c r="AC637" s="3">
        <v>393</v>
      </c>
      <c r="AD637" s="3">
        <v>1</v>
      </c>
      <c r="AE637" s="3">
        <v>1</v>
      </c>
      <c r="AF637" s="3">
        <v>0</v>
      </c>
      <c r="AG637" s="3">
        <v>6</v>
      </c>
      <c r="AH637" s="3">
        <v>0</v>
      </c>
      <c r="AI637" s="3">
        <v>2</v>
      </c>
      <c r="AJ637" s="3">
        <v>0</v>
      </c>
      <c r="AK637" s="3">
        <v>2</v>
      </c>
      <c r="AL637" s="3">
        <v>0</v>
      </c>
      <c r="AM637" s="3">
        <v>3</v>
      </c>
      <c r="AN637" s="3">
        <v>0</v>
      </c>
      <c r="AO637" s="3">
        <v>0</v>
      </c>
      <c r="AP637" s="3">
        <v>0</v>
      </c>
      <c r="AQ637" s="3">
        <v>0</v>
      </c>
      <c r="AR637" s="2" t="s">
        <v>63</v>
      </c>
      <c r="AS637" s="2" t="s">
        <v>63</v>
      </c>
      <c r="AU637" s="5" t="str">
        <f>HYPERLINK("https://creighton-primo.hosted.exlibrisgroup.com/primo-explore/search?tab=default_tab&amp;search_scope=EVERYTHING&amp;vid=01CRU&amp;lang=en_US&amp;offset=0&amp;query=any,contains,991000992499702656","Catalog Record")</f>
        <v>Catalog Record</v>
      </c>
      <c r="AV637" s="5" t="str">
        <f>HYPERLINK("http://www.worldcat.org/oclc/927241","WorldCat Record")</f>
        <v>WorldCat Record</v>
      </c>
      <c r="AW637" s="2" t="s">
        <v>7985</v>
      </c>
      <c r="AX637" s="2" t="s">
        <v>7994</v>
      </c>
      <c r="AY637" s="2" t="s">
        <v>7995</v>
      </c>
      <c r="AZ637" s="2" t="s">
        <v>7995</v>
      </c>
      <c r="BA637" s="2" t="s">
        <v>7996</v>
      </c>
      <c r="BB637" s="2" t="s">
        <v>79</v>
      </c>
      <c r="BE637" s="2" t="s">
        <v>7997</v>
      </c>
      <c r="BF637" s="2" t="s">
        <v>7998</v>
      </c>
    </row>
    <row r="638" spans="1:58" ht="46.5" customHeight="1">
      <c r="A638" s="1"/>
      <c r="B638" s="1" t="s">
        <v>58</v>
      </c>
      <c r="C638" s="1" t="s">
        <v>59</v>
      </c>
      <c r="D638" s="1" t="s">
        <v>7999</v>
      </c>
      <c r="E638" s="1" t="s">
        <v>8000</v>
      </c>
      <c r="F638" s="1" t="s">
        <v>8001</v>
      </c>
      <c r="H638" s="2" t="s">
        <v>63</v>
      </c>
      <c r="I638" s="2" t="s">
        <v>64</v>
      </c>
      <c r="J638" s="2" t="s">
        <v>63</v>
      </c>
      <c r="K638" s="2" t="s">
        <v>63</v>
      </c>
      <c r="L638" s="2" t="s">
        <v>65</v>
      </c>
      <c r="M638" s="1" t="s">
        <v>8002</v>
      </c>
      <c r="N638" s="1" t="s">
        <v>8003</v>
      </c>
      <c r="O638" s="2" t="s">
        <v>407</v>
      </c>
      <c r="P638" s="1" t="s">
        <v>157</v>
      </c>
      <c r="Q638" s="2" t="s">
        <v>70</v>
      </c>
      <c r="R638" s="2" t="s">
        <v>377</v>
      </c>
      <c r="T638" s="2" t="s">
        <v>72</v>
      </c>
      <c r="U638" s="3">
        <v>11</v>
      </c>
      <c r="V638" s="3">
        <v>11</v>
      </c>
      <c r="W638" s="4" t="s">
        <v>8004</v>
      </c>
      <c r="X638" s="4" t="s">
        <v>8004</v>
      </c>
      <c r="Y638" s="4" t="s">
        <v>5089</v>
      </c>
      <c r="Z638" s="4" t="s">
        <v>5089</v>
      </c>
      <c r="AA638" s="3">
        <v>75</v>
      </c>
      <c r="AB638" s="3">
        <v>31</v>
      </c>
      <c r="AC638" s="3">
        <v>62</v>
      </c>
      <c r="AD638" s="3">
        <v>1</v>
      </c>
      <c r="AE638" s="3">
        <v>1</v>
      </c>
      <c r="AF638" s="3">
        <v>0</v>
      </c>
      <c r="AG638" s="3">
        <v>1</v>
      </c>
      <c r="AH638" s="3">
        <v>0</v>
      </c>
      <c r="AI638" s="3">
        <v>1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2" t="s">
        <v>63</v>
      </c>
      <c r="AS638" s="2" t="s">
        <v>63</v>
      </c>
      <c r="AU638" s="5" t="str">
        <f>HYPERLINK("https://creighton-primo.hosted.exlibrisgroup.com/primo-explore/search?tab=default_tab&amp;search_scope=EVERYTHING&amp;vid=01CRU&amp;lang=en_US&amp;offset=0&amp;query=any,contains,991000815939702656","Catalog Record")</f>
        <v>Catalog Record</v>
      </c>
      <c r="AV638" s="5" t="str">
        <f>HYPERLINK("http://www.worldcat.org/oclc/23256714","WorldCat Record")</f>
        <v>WorldCat Record</v>
      </c>
      <c r="AW638" s="2" t="s">
        <v>8005</v>
      </c>
      <c r="AX638" s="2" t="s">
        <v>8006</v>
      </c>
      <c r="AY638" s="2" t="s">
        <v>8007</v>
      </c>
      <c r="AZ638" s="2" t="s">
        <v>8007</v>
      </c>
      <c r="BA638" s="2" t="s">
        <v>8008</v>
      </c>
      <c r="BB638" s="2" t="s">
        <v>79</v>
      </c>
      <c r="BD638" s="2" t="s">
        <v>8009</v>
      </c>
      <c r="BE638" s="2" t="s">
        <v>8010</v>
      </c>
      <c r="BF638" s="2" t="s">
        <v>8011</v>
      </c>
    </row>
    <row r="639" spans="1:58" ht="46.5" customHeight="1">
      <c r="A639" s="1"/>
      <c r="B639" s="1" t="s">
        <v>58</v>
      </c>
      <c r="C639" s="1" t="s">
        <v>59</v>
      </c>
      <c r="D639" s="1" t="s">
        <v>8012</v>
      </c>
      <c r="E639" s="1" t="s">
        <v>8013</v>
      </c>
      <c r="F639" s="1" t="s">
        <v>8014</v>
      </c>
      <c r="H639" s="2" t="s">
        <v>63</v>
      </c>
      <c r="I639" s="2" t="s">
        <v>64</v>
      </c>
      <c r="J639" s="2" t="s">
        <v>63</v>
      </c>
      <c r="K639" s="2" t="s">
        <v>63</v>
      </c>
      <c r="L639" s="2" t="s">
        <v>65</v>
      </c>
      <c r="M639" s="1" t="s">
        <v>8002</v>
      </c>
      <c r="N639" s="1" t="s">
        <v>8015</v>
      </c>
      <c r="O639" s="2" t="s">
        <v>132</v>
      </c>
      <c r="Q639" s="2" t="s">
        <v>70</v>
      </c>
      <c r="R639" s="2" t="s">
        <v>377</v>
      </c>
      <c r="T639" s="2" t="s">
        <v>72</v>
      </c>
      <c r="U639" s="3">
        <v>8</v>
      </c>
      <c r="V639" s="3">
        <v>8</v>
      </c>
      <c r="W639" s="4" t="s">
        <v>1417</v>
      </c>
      <c r="X639" s="4" t="s">
        <v>1417</v>
      </c>
      <c r="Y639" s="4" t="s">
        <v>2748</v>
      </c>
      <c r="Z639" s="4" t="s">
        <v>2748</v>
      </c>
      <c r="AA639" s="3">
        <v>42</v>
      </c>
      <c r="AB639" s="3">
        <v>13</v>
      </c>
      <c r="AC639" s="3">
        <v>21</v>
      </c>
      <c r="AD639" s="3">
        <v>1</v>
      </c>
      <c r="AE639" s="3">
        <v>1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2" t="s">
        <v>63</v>
      </c>
      <c r="AS639" s="2" t="s">
        <v>63</v>
      </c>
      <c r="AU639" s="5" t="str">
        <f>HYPERLINK("https://creighton-primo.hosted.exlibrisgroup.com/primo-explore/search?tab=default_tab&amp;search_scope=EVERYTHING&amp;vid=01CRU&amp;lang=en_US&amp;offset=0&amp;query=any,contains,991001352239702656","Catalog Record")</f>
        <v>Catalog Record</v>
      </c>
      <c r="AV639" s="5" t="str">
        <f>HYPERLINK("http://www.worldcat.org/oclc/27849290","WorldCat Record")</f>
        <v>WorldCat Record</v>
      </c>
      <c r="AW639" s="2" t="s">
        <v>8016</v>
      </c>
      <c r="AX639" s="2" t="s">
        <v>8017</v>
      </c>
      <c r="AY639" s="2" t="s">
        <v>8018</v>
      </c>
      <c r="AZ639" s="2" t="s">
        <v>8018</v>
      </c>
      <c r="BA639" s="2" t="s">
        <v>8019</v>
      </c>
      <c r="BB639" s="2" t="s">
        <v>79</v>
      </c>
      <c r="BD639" s="2" t="s">
        <v>8020</v>
      </c>
      <c r="BE639" s="2" t="s">
        <v>8021</v>
      </c>
      <c r="BF639" s="2" t="s">
        <v>8022</v>
      </c>
    </row>
    <row r="640" spans="1:58" ht="46.5" customHeight="1">
      <c r="A640" s="1"/>
      <c r="B640" s="1" t="s">
        <v>58</v>
      </c>
      <c r="C640" s="1" t="s">
        <v>59</v>
      </c>
      <c r="D640" s="1" t="s">
        <v>8023</v>
      </c>
      <c r="E640" s="1" t="s">
        <v>8024</v>
      </c>
      <c r="F640" s="1" t="s">
        <v>8025</v>
      </c>
      <c r="H640" s="2" t="s">
        <v>63</v>
      </c>
      <c r="I640" s="2" t="s">
        <v>64</v>
      </c>
      <c r="J640" s="2" t="s">
        <v>63</v>
      </c>
      <c r="K640" s="2" t="s">
        <v>63</v>
      </c>
      <c r="L640" s="2" t="s">
        <v>65</v>
      </c>
      <c r="N640" s="1" t="s">
        <v>8026</v>
      </c>
      <c r="O640" s="2" t="s">
        <v>132</v>
      </c>
      <c r="Q640" s="2" t="s">
        <v>70</v>
      </c>
      <c r="R640" s="2" t="s">
        <v>277</v>
      </c>
      <c r="T640" s="2" t="s">
        <v>72</v>
      </c>
      <c r="U640" s="3">
        <v>4</v>
      </c>
      <c r="V640" s="3">
        <v>4</v>
      </c>
      <c r="W640" s="4" t="s">
        <v>8027</v>
      </c>
      <c r="X640" s="4" t="s">
        <v>8027</v>
      </c>
      <c r="Y640" s="4" t="s">
        <v>8028</v>
      </c>
      <c r="Z640" s="4" t="s">
        <v>8028</v>
      </c>
      <c r="AA640" s="3">
        <v>52</v>
      </c>
      <c r="AB640" s="3">
        <v>51</v>
      </c>
      <c r="AC640" s="3">
        <v>56</v>
      </c>
      <c r="AD640" s="3">
        <v>1</v>
      </c>
      <c r="AE640" s="3">
        <v>1</v>
      </c>
      <c r="AF640" s="3">
        <v>1</v>
      </c>
      <c r="AG640" s="3">
        <v>1</v>
      </c>
      <c r="AH640" s="3">
        <v>1</v>
      </c>
      <c r="AI640" s="3">
        <v>1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2" t="s">
        <v>63</v>
      </c>
      <c r="AS640" s="2" t="s">
        <v>63</v>
      </c>
      <c r="AU640" s="5" t="str">
        <f>HYPERLINK("https://creighton-primo.hosted.exlibrisgroup.com/primo-explore/search?tab=default_tab&amp;search_scope=EVERYTHING&amp;vid=01CRU&amp;lang=en_US&amp;offset=0&amp;query=any,contains,991001305689702656","Catalog Record")</f>
        <v>Catalog Record</v>
      </c>
      <c r="AV640" s="5" t="str">
        <f>HYPERLINK("http://www.worldcat.org/oclc/25506595","WorldCat Record")</f>
        <v>WorldCat Record</v>
      </c>
      <c r="AW640" s="2" t="s">
        <v>8029</v>
      </c>
      <c r="AX640" s="2" t="s">
        <v>8030</v>
      </c>
      <c r="AY640" s="2" t="s">
        <v>8031</v>
      </c>
      <c r="AZ640" s="2" t="s">
        <v>8031</v>
      </c>
      <c r="BA640" s="2" t="s">
        <v>8032</v>
      </c>
      <c r="BB640" s="2" t="s">
        <v>79</v>
      </c>
      <c r="BD640" s="2" t="s">
        <v>8033</v>
      </c>
      <c r="BE640" s="2" t="s">
        <v>8034</v>
      </c>
      <c r="BF640" s="2" t="s">
        <v>8035</v>
      </c>
    </row>
    <row r="641" spans="1:58" ht="46.5" customHeight="1">
      <c r="A641" s="1"/>
      <c r="B641" s="1" t="s">
        <v>58</v>
      </c>
      <c r="C641" s="1" t="s">
        <v>59</v>
      </c>
      <c r="D641" s="1" t="s">
        <v>8036</v>
      </c>
      <c r="E641" s="1" t="s">
        <v>8037</v>
      </c>
      <c r="F641" s="1" t="s">
        <v>8038</v>
      </c>
      <c r="H641" s="2" t="s">
        <v>63</v>
      </c>
      <c r="I641" s="2" t="s">
        <v>64</v>
      </c>
      <c r="J641" s="2" t="s">
        <v>63</v>
      </c>
      <c r="K641" s="2" t="s">
        <v>63</v>
      </c>
      <c r="L641" s="2" t="s">
        <v>65</v>
      </c>
      <c r="N641" s="1" t="s">
        <v>8039</v>
      </c>
      <c r="O641" s="2" t="s">
        <v>554</v>
      </c>
      <c r="Q641" s="2" t="s">
        <v>70</v>
      </c>
      <c r="R641" s="2" t="s">
        <v>277</v>
      </c>
      <c r="T641" s="2" t="s">
        <v>72</v>
      </c>
      <c r="U641" s="3">
        <v>9</v>
      </c>
      <c r="V641" s="3">
        <v>9</v>
      </c>
      <c r="W641" s="4" t="s">
        <v>6747</v>
      </c>
      <c r="X641" s="4" t="s">
        <v>6747</v>
      </c>
      <c r="Y641" s="4" t="s">
        <v>8040</v>
      </c>
      <c r="Z641" s="4" t="s">
        <v>8040</v>
      </c>
      <c r="AA641" s="3">
        <v>38</v>
      </c>
      <c r="AB641" s="3">
        <v>36</v>
      </c>
      <c r="AC641" s="3">
        <v>37</v>
      </c>
      <c r="AD641" s="3">
        <v>2</v>
      </c>
      <c r="AE641" s="3">
        <v>2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2" t="s">
        <v>63</v>
      </c>
      <c r="AS641" s="2" t="s">
        <v>63</v>
      </c>
      <c r="AU641" s="5" t="str">
        <f>HYPERLINK("https://creighton-primo.hosted.exlibrisgroup.com/primo-explore/search?tab=default_tab&amp;search_scope=EVERYTHING&amp;vid=01CRU&amp;lang=en_US&amp;offset=0&amp;query=any,contains,991000549029702656","Catalog Record")</f>
        <v>Catalog Record</v>
      </c>
      <c r="AV641" s="5" t="str">
        <f>HYPERLINK("http://www.worldcat.org/oclc/29463652","WorldCat Record")</f>
        <v>WorldCat Record</v>
      </c>
      <c r="AW641" s="2" t="s">
        <v>8041</v>
      </c>
      <c r="AX641" s="2" t="s">
        <v>8042</v>
      </c>
      <c r="AY641" s="2" t="s">
        <v>8043</v>
      </c>
      <c r="AZ641" s="2" t="s">
        <v>8043</v>
      </c>
      <c r="BA641" s="2" t="s">
        <v>8044</v>
      </c>
      <c r="BB641" s="2" t="s">
        <v>79</v>
      </c>
      <c r="BD641" s="2" t="s">
        <v>8045</v>
      </c>
      <c r="BE641" s="2" t="s">
        <v>8046</v>
      </c>
      <c r="BF641" s="2" t="s">
        <v>8047</v>
      </c>
    </row>
    <row r="642" spans="1:58" ht="46.5" customHeight="1">
      <c r="A642" s="1"/>
      <c r="B642" s="1" t="s">
        <v>58</v>
      </c>
      <c r="C642" s="1" t="s">
        <v>59</v>
      </c>
      <c r="D642" s="1" t="s">
        <v>8048</v>
      </c>
      <c r="E642" s="1" t="s">
        <v>8049</v>
      </c>
      <c r="F642" s="1" t="s">
        <v>8050</v>
      </c>
      <c r="H642" s="2" t="s">
        <v>63</v>
      </c>
      <c r="I642" s="2" t="s">
        <v>64</v>
      </c>
      <c r="J642" s="2" t="s">
        <v>63</v>
      </c>
      <c r="K642" s="2" t="s">
        <v>63</v>
      </c>
      <c r="L642" s="2" t="s">
        <v>65</v>
      </c>
      <c r="N642" s="1" t="s">
        <v>8051</v>
      </c>
      <c r="O642" s="2" t="s">
        <v>275</v>
      </c>
      <c r="Q642" s="2" t="s">
        <v>70</v>
      </c>
      <c r="R642" s="2" t="s">
        <v>200</v>
      </c>
      <c r="T642" s="2" t="s">
        <v>72</v>
      </c>
      <c r="U642" s="3">
        <v>16</v>
      </c>
      <c r="V642" s="3">
        <v>16</v>
      </c>
      <c r="W642" s="4" t="s">
        <v>8052</v>
      </c>
      <c r="X642" s="4" t="s">
        <v>8052</v>
      </c>
      <c r="Y642" s="4" t="s">
        <v>6856</v>
      </c>
      <c r="Z642" s="4" t="s">
        <v>6856</v>
      </c>
      <c r="AA642" s="3">
        <v>46</v>
      </c>
      <c r="AB642" s="3">
        <v>40</v>
      </c>
      <c r="AC642" s="3">
        <v>40</v>
      </c>
      <c r="AD642" s="3">
        <v>1</v>
      </c>
      <c r="AE642" s="3">
        <v>1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2" t="s">
        <v>63</v>
      </c>
      <c r="AS642" s="2" t="s">
        <v>63</v>
      </c>
      <c r="AU642" s="5" t="str">
        <f>HYPERLINK("https://creighton-primo.hosted.exlibrisgroup.com/primo-explore/search?tab=default_tab&amp;search_scope=EVERYTHING&amp;vid=01CRU&amp;lang=en_US&amp;offset=0&amp;query=any,contains,991000526289702656","Catalog Record")</f>
        <v>Catalog Record</v>
      </c>
      <c r="AV642" s="5" t="str">
        <f>HYPERLINK("http://www.worldcat.org/oclc/33860272","WorldCat Record")</f>
        <v>WorldCat Record</v>
      </c>
      <c r="AW642" s="2" t="s">
        <v>8053</v>
      </c>
      <c r="AX642" s="2" t="s">
        <v>8054</v>
      </c>
      <c r="AY642" s="2" t="s">
        <v>8055</v>
      </c>
      <c r="AZ642" s="2" t="s">
        <v>8055</v>
      </c>
      <c r="BA642" s="2" t="s">
        <v>8056</v>
      </c>
      <c r="BB642" s="2" t="s">
        <v>79</v>
      </c>
      <c r="BD642" s="2" t="s">
        <v>8057</v>
      </c>
      <c r="BE642" s="2" t="s">
        <v>8058</v>
      </c>
      <c r="BF642" s="2" t="s">
        <v>8059</v>
      </c>
    </row>
    <row r="643" spans="1:58" ht="46.5" customHeight="1">
      <c r="A643" s="1"/>
      <c r="B643" s="1" t="s">
        <v>58</v>
      </c>
      <c r="C643" s="1" t="s">
        <v>59</v>
      </c>
      <c r="D643" s="1" t="s">
        <v>8060</v>
      </c>
      <c r="E643" s="1" t="s">
        <v>8061</v>
      </c>
      <c r="F643" s="1" t="s">
        <v>8062</v>
      </c>
      <c r="H643" s="2" t="s">
        <v>63</v>
      </c>
      <c r="I643" s="2" t="s">
        <v>64</v>
      </c>
      <c r="J643" s="2" t="s">
        <v>63</v>
      </c>
      <c r="K643" s="2" t="s">
        <v>63</v>
      </c>
      <c r="L643" s="2" t="s">
        <v>65</v>
      </c>
      <c r="M643" s="1" t="s">
        <v>8063</v>
      </c>
      <c r="N643" s="1" t="s">
        <v>2943</v>
      </c>
      <c r="O643" s="2" t="s">
        <v>540</v>
      </c>
      <c r="P643" s="1" t="s">
        <v>157</v>
      </c>
      <c r="Q643" s="2" t="s">
        <v>70</v>
      </c>
      <c r="R643" s="2" t="s">
        <v>260</v>
      </c>
      <c r="T643" s="2" t="s">
        <v>72</v>
      </c>
      <c r="U643" s="3">
        <v>3</v>
      </c>
      <c r="V643" s="3">
        <v>3</v>
      </c>
      <c r="W643" s="4" t="s">
        <v>8064</v>
      </c>
      <c r="X643" s="4" t="s">
        <v>8064</v>
      </c>
      <c r="Y643" s="4" t="s">
        <v>8065</v>
      </c>
      <c r="Z643" s="4" t="s">
        <v>8065</v>
      </c>
      <c r="AA643" s="3">
        <v>124</v>
      </c>
      <c r="AB643" s="3">
        <v>76</v>
      </c>
      <c r="AC643" s="3">
        <v>76</v>
      </c>
      <c r="AD643" s="3">
        <v>2</v>
      </c>
      <c r="AE643" s="3">
        <v>2</v>
      </c>
      <c r="AF643" s="3">
        <v>2</v>
      </c>
      <c r="AG643" s="3">
        <v>2</v>
      </c>
      <c r="AH643" s="3">
        <v>0</v>
      </c>
      <c r="AI643" s="3">
        <v>0</v>
      </c>
      <c r="AJ643" s="3">
        <v>1</v>
      </c>
      <c r="AK643" s="3">
        <v>1</v>
      </c>
      <c r="AL643" s="3">
        <v>0</v>
      </c>
      <c r="AM643" s="3">
        <v>0</v>
      </c>
      <c r="AN643" s="3">
        <v>1</v>
      </c>
      <c r="AO643" s="3">
        <v>1</v>
      </c>
      <c r="AP643" s="3">
        <v>0</v>
      </c>
      <c r="AQ643" s="3">
        <v>0</v>
      </c>
      <c r="AR643" s="2" t="s">
        <v>63</v>
      </c>
      <c r="AS643" s="2" t="s">
        <v>63</v>
      </c>
      <c r="AU643" s="5" t="str">
        <f>HYPERLINK("https://creighton-primo.hosted.exlibrisgroup.com/primo-explore/search?tab=default_tab&amp;search_scope=EVERYTHING&amp;vid=01CRU&amp;lang=en_US&amp;offset=0&amp;query=any,contains,991000466349702656","Catalog Record")</f>
        <v>Catalog Record</v>
      </c>
      <c r="AV643" s="5" t="str">
        <f>HYPERLINK("http://www.worldcat.org/oclc/61121117","WorldCat Record")</f>
        <v>WorldCat Record</v>
      </c>
      <c r="AW643" s="2" t="s">
        <v>8066</v>
      </c>
      <c r="AX643" s="2" t="s">
        <v>8067</v>
      </c>
      <c r="AY643" s="2" t="s">
        <v>8068</v>
      </c>
      <c r="AZ643" s="2" t="s">
        <v>8068</v>
      </c>
      <c r="BA643" s="2" t="s">
        <v>8069</v>
      </c>
      <c r="BB643" s="2" t="s">
        <v>79</v>
      </c>
      <c r="BD643" s="2" t="s">
        <v>8070</v>
      </c>
      <c r="BE643" s="2" t="s">
        <v>8071</v>
      </c>
      <c r="BF643" s="2" t="s">
        <v>8072</v>
      </c>
    </row>
    <row r="644" spans="1:58" ht="46.5" customHeight="1">
      <c r="A644" s="1"/>
      <c r="B644" s="1" t="s">
        <v>58</v>
      </c>
      <c r="C644" s="1" t="s">
        <v>59</v>
      </c>
      <c r="D644" s="1" t="s">
        <v>8073</v>
      </c>
      <c r="E644" s="1" t="s">
        <v>8074</v>
      </c>
      <c r="F644" s="1" t="s">
        <v>8075</v>
      </c>
      <c r="H644" s="2" t="s">
        <v>63</v>
      </c>
      <c r="I644" s="2" t="s">
        <v>64</v>
      </c>
      <c r="J644" s="2" t="s">
        <v>63</v>
      </c>
      <c r="K644" s="2" t="s">
        <v>63</v>
      </c>
      <c r="L644" s="2" t="s">
        <v>65</v>
      </c>
      <c r="N644" s="1" t="s">
        <v>2326</v>
      </c>
      <c r="O644" s="2" t="s">
        <v>407</v>
      </c>
      <c r="Q644" s="2" t="s">
        <v>70</v>
      </c>
      <c r="R644" s="2" t="s">
        <v>277</v>
      </c>
      <c r="S644" s="1" t="s">
        <v>8076</v>
      </c>
      <c r="T644" s="2" t="s">
        <v>72</v>
      </c>
      <c r="U644" s="3">
        <v>9</v>
      </c>
      <c r="V644" s="3">
        <v>9</v>
      </c>
      <c r="W644" s="4" t="s">
        <v>922</v>
      </c>
      <c r="X644" s="4" t="s">
        <v>922</v>
      </c>
      <c r="Y644" s="4" t="s">
        <v>8077</v>
      </c>
      <c r="Z644" s="4" t="s">
        <v>8077</v>
      </c>
      <c r="AA644" s="3">
        <v>142</v>
      </c>
      <c r="AB644" s="3">
        <v>102</v>
      </c>
      <c r="AC644" s="3">
        <v>107</v>
      </c>
      <c r="AD644" s="3">
        <v>1</v>
      </c>
      <c r="AE644" s="3">
        <v>1</v>
      </c>
      <c r="AF644" s="3">
        <v>3</v>
      </c>
      <c r="AG644" s="3">
        <v>3</v>
      </c>
      <c r="AH644" s="3">
        <v>2</v>
      </c>
      <c r="AI644" s="3">
        <v>2</v>
      </c>
      <c r="AJ644" s="3">
        <v>1</v>
      </c>
      <c r="AK644" s="3">
        <v>1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2" t="s">
        <v>63</v>
      </c>
      <c r="AS644" s="2" t="s">
        <v>63</v>
      </c>
      <c r="AU644" s="5" t="str">
        <f>HYPERLINK("https://creighton-primo.hosted.exlibrisgroup.com/primo-explore/search?tab=default_tab&amp;search_scope=EVERYTHING&amp;vid=01CRU&amp;lang=en_US&amp;offset=0&amp;query=any,contains,991001356449702656","Catalog Record")</f>
        <v>Catalog Record</v>
      </c>
      <c r="AV644" s="5" t="str">
        <f>HYPERLINK("http://www.worldcat.org/oclc/20265507","WorldCat Record")</f>
        <v>WorldCat Record</v>
      </c>
      <c r="AW644" s="2" t="s">
        <v>8078</v>
      </c>
      <c r="AX644" s="2" t="s">
        <v>8079</v>
      </c>
      <c r="AY644" s="2" t="s">
        <v>8080</v>
      </c>
      <c r="AZ644" s="2" t="s">
        <v>8080</v>
      </c>
      <c r="BA644" s="2" t="s">
        <v>8081</v>
      </c>
      <c r="BB644" s="2" t="s">
        <v>79</v>
      </c>
      <c r="BD644" s="2" t="s">
        <v>8082</v>
      </c>
      <c r="BE644" s="2" t="s">
        <v>8083</v>
      </c>
      <c r="BF644" s="2" t="s">
        <v>8084</v>
      </c>
    </row>
    <row r="645" spans="1:58" ht="46.5" customHeight="1">
      <c r="A645" s="1"/>
      <c r="B645" s="1" t="s">
        <v>58</v>
      </c>
      <c r="C645" s="1" t="s">
        <v>59</v>
      </c>
      <c r="D645" s="1" t="s">
        <v>8085</v>
      </c>
      <c r="E645" s="1" t="s">
        <v>8086</v>
      </c>
      <c r="F645" s="1" t="s">
        <v>8087</v>
      </c>
      <c r="H645" s="2" t="s">
        <v>63</v>
      </c>
      <c r="I645" s="2" t="s">
        <v>64</v>
      </c>
      <c r="J645" s="2" t="s">
        <v>63</v>
      </c>
      <c r="K645" s="2" t="s">
        <v>63</v>
      </c>
      <c r="L645" s="2" t="s">
        <v>65</v>
      </c>
      <c r="N645" s="1" t="s">
        <v>8088</v>
      </c>
      <c r="O645" s="2" t="s">
        <v>608</v>
      </c>
      <c r="P645" s="1" t="s">
        <v>8089</v>
      </c>
      <c r="Q645" s="2" t="s">
        <v>8090</v>
      </c>
      <c r="R645" s="2" t="s">
        <v>8091</v>
      </c>
      <c r="T645" s="2" t="s">
        <v>72</v>
      </c>
      <c r="U645" s="3">
        <v>4</v>
      </c>
      <c r="V645" s="3">
        <v>4</v>
      </c>
      <c r="W645" s="4" t="s">
        <v>8092</v>
      </c>
      <c r="X645" s="4" t="s">
        <v>8092</v>
      </c>
      <c r="Y645" s="4" t="s">
        <v>788</v>
      </c>
      <c r="Z645" s="4" t="s">
        <v>788</v>
      </c>
      <c r="AA645" s="3">
        <v>19</v>
      </c>
      <c r="AB645" s="3">
        <v>3</v>
      </c>
      <c r="AC645" s="3">
        <v>3</v>
      </c>
      <c r="AD645" s="3">
        <v>1</v>
      </c>
      <c r="AE645" s="3">
        <v>1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2" t="s">
        <v>63</v>
      </c>
      <c r="AS645" s="2" t="s">
        <v>63</v>
      </c>
      <c r="AU645" s="5" t="str">
        <f>HYPERLINK("https://creighton-primo.hosted.exlibrisgroup.com/primo-explore/search?tab=default_tab&amp;search_scope=EVERYTHING&amp;vid=01CRU&amp;lang=en_US&amp;offset=0&amp;query=any,contains,991001344019702656","Catalog Record")</f>
        <v>Catalog Record</v>
      </c>
      <c r="AV645" s="5" t="str">
        <f>HYPERLINK("http://www.worldcat.org/oclc/27861892","WorldCat Record")</f>
        <v>WorldCat Record</v>
      </c>
      <c r="AW645" s="2" t="s">
        <v>8093</v>
      </c>
      <c r="AX645" s="2" t="s">
        <v>8094</v>
      </c>
      <c r="AY645" s="2" t="s">
        <v>8095</v>
      </c>
      <c r="AZ645" s="2" t="s">
        <v>8095</v>
      </c>
      <c r="BA645" s="2" t="s">
        <v>8096</v>
      </c>
      <c r="BB645" s="2" t="s">
        <v>79</v>
      </c>
      <c r="BD645" s="2" t="s">
        <v>8097</v>
      </c>
      <c r="BE645" s="2" t="s">
        <v>8098</v>
      </c>
      <c r="BF645" s="2" t="s">
        <v>8099</v>
      </c>
    </row>
    <row r="646" spans="1:58" ht="46.5" customHeight="1">
      <c r="A646" s="1"/>
      <c r="B646" s="1" t="s">
        <v>58</v>
      </c>
      <c r="C646" s="1" t="s">
        <v>59</v>
      </c>
      <c r="D646" s="1" t="s">
        <v>8100</v>
      </c>
      <c r="E646" s="1" t="s">
        <v>8101</v>
      </c>
      <c r="F646" s="1" t="s">
        <v>8102</v>
      </c>
      <c r="H646" s="2" t="s">
        <v>63</v>
      </c>
      <c r="I646" s="2" t="s">
        <v>64</v>
      </c>
      <c r="J646" s="2" t="s">
        <v>63</v>
      </c>
      <c r="K646" s="2" t="s">
        <v>92</v>
      </c>
      <c r="L646" s="2" t="s">
        <v>65</v>
      </c>
      <c r="M646" s="1" t="s">
        <v>8103</v>
      </c>
      <c r="N646" s="1" t="s">
        <v>1363</v>
      </c>
      <c r="O646" s="2" t="s">
        <v>1296</v>
      </c>
      <c r="P646" s="1" t="s">
        <v>157</v>
      </c>
      <c r="Q646" s="2" t="s">
        <v>70</v>
      </c>
      <c r="R646" s="2" t="s">
        <v>1364</v>
      </c>
      <c r="T646" s="2" t="s">
        <v>72</v>
      </c>
      <c r="U646" s="3">
        <v>5</v>
      </c>
      <c r="V646" s="3">
        <v>5</v>
      </c>
      <c r="W646" s="4" t="s">
        <v>8104</v>
      </c>
      <c r="X646" s="4" t="s">
        <v>8104</v>
      </c>
      <c r="Y646" s="4" t="s">
        <v>3833</v>
      </c>
      <c r="Z646" s="4" t="s">
        <v>3833</v>
      </c>
      <c r="AA646" s="3">
        <v>103</v>
      </c>
      <c r="AB646" s="3">
        <v>69</v>
      </c>
      <c r="AC646" s="3">
        <v>167</v>
      </c>
      <c r="AD646" s="3">
        <v>1</v>
      </c>
      <c r="AE646" s="3">
        <v>1</v>
      </c>
      <c r="AF646" s="3">
        <v>1</v>
      </c>
      <c r="AG646" s="3">
        <v>6</v>
      </c>
      <c r="AH646" s="3">
        <v>0</v>
      </c>
      <c r="AI646" s="3">
        <v>4</v>
      </c>
      <c r="AJ646" s="3">
        <v>1</v>
      </c>
      <c r="AK646" s="3">
        <v>2</v>
      </c>
      <c r="AL646" s="3">
        <v>0</v>
      </c>
      <c r="AM646" s="3">
        <v>2</v>
      </c>
      <c r="AN646" s="3">
        <v>0</v>
      </c>
      <c r="AO646" s="3">
        <v>0</v>
      </c>
      <c r="AP646" s="3">
        <v>0</v>
      </c>
      <c r="AQ646" s="3">
        <v>0</v>
      </c>
      <c r="AR646" s="2" t="s">
        <v>63</v>
      </c>
      <c r="AS646" s="2" t="s">
        <v>63</v>
      </c>
      <c r="AU646" s="5" t="str">
        <f>HYPERLINK("https://creighton-primo.hosted.exlibrisgroup.com/primo-explore/search?tab=default_tab&amp;search_scope=EVERYTHING&amp;vid=01CRU&amp;lang=en_US&amp;offset=0&amp;query=any,contains,991000342839702656","Catalog Record")</f>
        <v>Catalog Record</v>
      </c>
      <c r="AV646" s="5" t="str">
        <f>HYPERLINK("http://www.worldcat.org/oclc/49057633","WorldCat Record")</f>
        <v>WorldCat Record</v>
      </c>
      <c r="AW646" s="2" t="s">
        <v>8105</v>
      </c>
      <c r="AX646" s="2" t="s">
        <v>8106</v>
      </c>
      <c r="AY646" s="2" t="s">
        <v>8107</v>
      </c>
      <c r="AZ646" s="2" t="s">
        <v>8107</v>
      </c>
      <c r="BA646" s="2" t="s">
        <v>8108</v>
      </c>
      <c r="BB646" s="2" t="s">
        <v>79</v>
      </c>
      <c r="BD646" s="2" t="s">
        <v>8109</v>
      </c>
      <c r="BE646" s="2" t="s">
        <v>8110</v>
      </c>
      <c r="BF646" s="2" t="s">
        <v>8111</v>
      </c>
    </row>
    <row r="647" spans="1:58" ht="46.5" customHeight="1">
      <c r="A647" s="1"/>
      <c r="B647" s="1" t="s">
        <v>58</v>
      </c>
      <c r="C647" s="1" t="s">
        <v>59</v>
      </c>
      <c r="D647" s="1" t="s">
        <v>8112</v>
      </c>
      <c r="E647" s="1" t="s">
        <v>8113</v>
      </c>
      <c r="F647" s="1" t="s">
        <v>8114</v>
      </c>
      <c r="H647" s="2" t="s">
        <v>63</v>
      </c>
      <c r="I647" s="2" t="s">
        <v>64</v>
      </c>
      <c r="J647" s="2" t="s">
        <v>63</v>
      </c>
      <c r="K647" s="2" t="s">
        <v>92</v>
      </c>
      <c r="L647" s="2" t="s">
        <v>64</v>
      </c>
      <c r="N647" s="1" t="s">
        <v>8115</v>
      </c>
      <c r="O647" s="2" t="s">
        <v>440</v>
      </c>
      <c r="Q647" s="2" t="s">
        <v>70</v>
      </c>
      <c r="R647" s="2" t="s">
        <v>277</v>
      </c>
      <c r="T647" s="2" t="s">
        <v>72</v>
      </c>
      <c r="U647" s="3">
        <v>12</v>
      </c>
      <c r="V647" s="3">
        <v>12</v>
      </c>
      <c r="W647" s="4" t="s">
        <v>8116</v>
      </c>
      <c r="X647" s="4" t="s">
        <v>8116</v>
      </c>
      <c r="Y647" s="4" t="s">
        <v>8117</v>
      </c>
      <c r="Z647" s="4" t="s">
        <v>8117</v>
      </c>
      <c r="AA647" s="3">
        <v>118</v>
      </c>
      <c r="AB647" s="3">
        <v>67</v>
      </c>
      <c r="AC647" s="3">
        <v>139</v>
      </c>
      <c r="AD647" s="3">
        <v>1</v>
      </c>
      <c r="AE647" s="3">
        <v>1</v>
      </c>
      <c r="AF647" s="3">
        <v>4</v>
      </c>
      <c r="AG647" s="3">
        <v>7</v>
      </c>
      <c r="AH647" s="3">
        <v>3</v>
      </c>
      <c r="AI647" s="3">
        <v>4</v>
      </c>
      <c r="AJ647" s="3">
        <v>2</v>
      </c>
      <c r="AK647" s="3">
        <v>3</v>
      </c>
      <c r="AL647" s="3">
        <v>1</v>
      </c>
      <c r="AM647" s="3">
        <v>2</v>
      </c>
      <c r="AN647" s="3">
        <v>0</v>
      </c>
      <c r="AO647" s="3">
        <v>0</v>
      </c>
      <c r="AP647" s="3">
        <v>0</v>
      </c>
      <c r="AQ647" s="3">
        <v>0</v>
      </c>
      <c r="AR647" s="2" t="s">
        <v>63</v>
      </c>
      <c r="AS647" s="2" t="s">
        <v>92</v>
      </c>
      <c r="AT647" s="5" t="str">
        <f>HYPERLINK("http://catalog.hathitrust.org/Record/004298884","HathiTrust Record")</f>
        <v>HathiTrust Record</v>
      </c>
      <c r="AU647" s="5" t="str">
        <f>HYPERLINK("https://creighton-primo.hosted.exlibrisgroup.com/primo-explore/search?tab=default_tab&amp;search_scope=EVERYTHING&amp;vid=01CRU&amp;lang=en_US&amp;offset=0&amp;query=any,contains,991000351499702656","Catalog Record")</f>
        <v>Catalog Record</v>
      </c>
      <c r="AV647" s="5" t="str">
        <f>HYPERLINK("http://www.worldcat.org/oclc/51333617","WorldCat Record")</f>
        <v>WorldCat Record</v>
      </c>
      <c r="AW647" s="2" t="s">
        <v>8118</v>
      </c>
      <c r="AX647" s="2" t="s">
        <v>8119</v>
      </c>
      <c r="AY647" s="2" t="s">
        <v>8120</v>
      </c>
      <c r="AZ647" s="2" t="s">
        <v>8120</v>
      </c>
      <c r="BA647" s="2" t="s">
        <v>8121</v>
      </c>
      <c r="BB647" s="2" t="s">
        <v>79</v>
      </c>
      <c r="BD647" s="2" t="s">
        <v>8122</v>
      </c>
      <c r="BE647" s="2" t="s">
        <v>8123</v>
      </c>
      <c r="BF647" s="2" t="s">
        <v>8124</v>
      </c>
    </row>
    <row r="648" spans="1:58" ht="46.5" customHeight="1">
      <c r="A648" s="1"/>
      <c r="B648" s="1" t="s">
        <v>58</v>
      </c>
      <c r="C648" s="1" t="s">
        <v>59</v>
      </c>
      <c r="D648" s="1" t="s">
        <v>8125</v>
      </c>
      <c r="E648" s="1" t="s">
        <v>8126</v>
      </c>
      <c r="F648" s="1" t="s">
        <v>8127</v>
      </c>
      <c r="H648" s="2" t="s">
        <v>63</v>
      </c>
      <c r="I648" s="2" t="s">
        <v>64</v>
      </c>
      <c r="J648" s="2" t="s">
        <v>63</v>
      </c>
      <c r="K648" s="2" t="s">
        <v>63</v>
      </c>
      <c r="L648" s="2" t="s">
        <v>65</v>
      </c>
      <c r="N648" s="1" t="s">
        <v>8128</v>
      </c>
      <c r="O648" s="2" t="s">
        <v>608</v>
      </c>
      <c r="Q648" s="2" t="s">
        <v>70</v>
      </c>
      <c r="R648" s="2" t="s">
        <v>277</v>
      </c>
      <c r="T648" s="2" t="s">
        <v>72</v>
      </c>
      <c r="U648" s="3">
        <v>7</v>
      </c>
      <c r="V648" s="3">
        <v>7</v>
      </c>
      <c r="W648" s="4" t="s">
        <v>677</v>
      </c>
      <c r="X648" s="4" t="s">
        <v>677</v>
      </c>
      <c r="Y648" s="4" t="s">
        <v>8129</v>
      </c>
      <c r="Z648" s="4" t="s">
        <v>8129</v>
      </c>
      <c r="AA648" s="3">
        <v>153</v>
      </c>
      <c r="AB648" s="3">
        <v>88</v>
      </c>
      <c r="AC648" s="3">
        <v>114</v>
      </c>
      <c r="AD648" s="3">
        <v>1</v>
      </c>
      <c r="AE648" s="3">
        <v>2</v>
      </c>
      <c r="AF648" s="3">
        <v>6</v>
      </c>
      <c r="AG648" s="3">
        <v>7</v>
      </c>
      <c r="AH648" s="3">
        <v>4</v>
      </c>
      <c r="AI648" s="3">
        <v>4</v>
      </c>
      <c r="AJ648" s="3">
        <v>2</v>
      </c>
      <c r="AK648" s="3">
        <v>2</v>
      </c>
      <c r="AL648" s="3">
        <v>2</v>
      </c>
      <c r="AM648" s="3">
        <v>2</v>
      </c>
      <c r="AN648" s="3">
        <v>0</v>
      </c>
      <c r="AO648" s="3">
        <v>1</v>
      </c>
      <c r="AP648" s="3">
        <v>0</v>
      </c>
      <c r="AQ648" s="3">
        <v>0</v>
      </c>
      <c r="AR648" s="2" t="s">
        <v>63</v>
      </c>
      <c r="AS648" s="2" t="s">
        <v>92</v>
      </c>
      <c r="AT648" s="5" t="str">
        <f>HYPERLINK("http://catalog.hathitrust.org/Record/002789633","HathiTrust Record")</f>
        <v>HathiTrust Record</v>
      </c>
      <c r="AU648" s="5" t="str">
        <f>HYPERLINK("https://creighton-primo.hosted.exlibrisgroup.com/primo-explore/search?tab=default_tab&amp;search_scope=EVERYTHING&amp;vid=01CRU&amp;lang=en_US&amp;offset=0&amp;query=any,contains,991001481229702656","Catalog Record")</f>
        <v>Catalog Record</v>
      </c>
      <c r="AV648" s="5" t="str">
        <f>HYPERLINK("http://www.worldcat.org/oclc/26163629","WorldCat Record")</f>
        <v>WorldCat Record</v>
      </c>
      <c r="AW648" s="2" t="s">
        <v>8130</v>
      </c>
      <c r="AX648" s="2" t="s">
        <v>8131</v>
      </c>
      <c r="AY648" s="2" t="s">
        <v>8132</v>
      </c>
      <c r="AZ648" s="2" t="s">
        <v>8132</v>
      </c>
      <c r="BA648" s="2" t="s">
        <v>8133</v>
      </c>
      <c r="BB648" s="2" t="s">
        <v>79</v>
      </c>
      <c r="BD648" s="2" t="s">
        <v>8134</v>
      </c>
      <c r="BE648" s="2" t="s">
        <v>8135</v>
      </c>
      <c r="BF648" s="2" t="s">
        <v>8136</v>
      </c>
    </row>
    <row r="649" spans="1:58" ht="46.5" customHeight="1">
      <c r="A649" s="1"/>
      <c r="B649" s="1" t="s">
        <v>58</v>
      </c>
      <c r="C649" s="1" t="s">
        <v>59</v>
      </c>
      <c r="D649" s="1" t="s">
        <v>8137</v>
      </c>
      <c r="E649" s="1" t="s">
        <v>8138</v>
      </c>
      <c r="F649" s="1" t="s">
        <v>8139</v>
      </c>
      <c r="H649" s="2" t="s">
        <v>63</v>
      </c>
      <c r="I649" s="2" t="s">
        <v>64</v>
      </c>
      <c r="J649" s="2" t="s">
        <v>63</v>
      </c>
      <c r="K649" s="2" t="s">
        <v>63</v>
      </c>
      <c r="L649" s="2" t="s">
        <v>65</v>
      </c>
      <c r="M649" s="1" t="s">
        <v>8140</v>
      </c>
      <c r="N649" s="1" t="s">
        <v>8141</v>
      </c>
      <c r="O649" s="2" t="s">
        <v>1514</v>
      </c>
      <c r="P649" s="1" t="s">
        <v>230</v>
      </c>
      <c r="Q649" s="2" t="s">
        <v>70</v>
      </c>
      <c r="R649" s="2" t="s">
        <v>8142</v>
      </c>
      <c r="T649" s="2" t="s">
        <v>72</v>
      </c>
      <c r="U649" s="3">
        <v>3</v>
      </c>
      <c r="V649" s="3">
        <v>3</v>
      </c>
      <c r="W649" s="4" t="s">
        <v>73</v>
      </c>
      <c r="X649" s="4" t="s">
        <v>73</v>
      </c>
      <c r="Y649" s="4" t="s">
        <v>5117</v>
      </c>
      <c r="Z649" s="4" t="s">
        <v>5117</v>
      </c>
      <c r="AA649" s="3">
        <v>43</v>
      </c>
      <c r="AB649" s="3">
        <v>36</v>
      </c>
      <c r="AC649" s="3">
        <v>87</v>
      </c>
      <c r="AD649" s="3">
        <v>1</v>
      </c>
      <c r="AE649" s="3">
        <v>2</v>
      </c>
      <c r="AF649" s="3">
        <v>3</v>
      </c>
      <c r="AG649" s="3">
        <v>5</v>
      </c>
      <c r="AH649" s="3">
        <v>2</v>
      </c>
      <c r="AI649" s="3">
        <v>3</v>
      </c>
      <c r="AJ649" s="3">
        <v>1</v>
      </c>
      <c r="AK649" s="3">
        <v>2</v>
      </c>
      <c r="AL649" s="3">
        <v>0</v>
      </c>
      <c r="AM649" s="3">
        <v>0</v>
      </c>
      <c r="AN649" s="3">
        <v>0</v>
      </c>
      <c r="AO649" s="3">
        <v>1</v>
      </c>
      <c r="AP649" s="3">
        <v>0</v>
      </c>
      <c r="AQ649" s="3">
        <v>0</v>
      </c>
      <c r="AR649" s="2" t="s">
        <v>63</v>
      </c>
      <c r="AS649" s="2" t="s">
        <v>63</v>
      </c>
      <c r="AU649" s="5" t="str">
        <f>HYPERLINK("https://creighton-primo.hosted.exlibrisgroup.com/primo-explore/search?tab=default_tab&amp;search_scope=EVERYTHING&amp;vid=01CRU&amp;lang=en_US&amp;offset=0&amp;query=any,contains,991000994729702656","Catalog Record")</f>
        <v>Catalog Record</v>
      </c>
      <c r="AV649" s="5" t="str">
        <f>HYPERLINK("http://www.worldcat.org/oclc/3590270","WorldCat Record")</f>
        <v>WorldCat Record</v>
      </c>
      <c r="AW649" s="2" t="s">
        <v>8143</v>
      </c>
      <c r="AX649" s="2" t="s">
        <v>8144</v>
      </c>
      <c r="AY649" s="2" t="s">
        <v>8145</v>
      </c>
      <c r="AZ649" s="2" t="s">
        <v>8145</v>
      </c>
      <c r="BA649" s="2" t="s">
        <v>8146</v>
      </c>
      <c r="BB649" s="2" t="s">
        <v>79</v>
      </c>
      <c r="BE649" s="2" t="s">
        <v>8147</v>
      </c>
      <c r="BF649" s="2" t="s">
        <v>8148</v>
      </c>
    </row>
    <row r="650" spans="1:58" ht="46.5" customHeight="1">
      <c r="A650" s="1"/>
      <c r="B650" s="1" t="s">
        <v>58</v>
      </c>
      <c r="C650" s="1" t="s">
        <v>59</v>
      </c>
      <c r="D650" s="1" t="s">
        <v>8149</v>
      </c>
      <c r="E650" s="1" t="s">
        <v>8150</v>
      </c>
      <c r="F650" s="1" t="s">
        <v>8151</v>
      </c>
      <c r="H650" s="2" t="s">
        <v>63</v>
      </c>
      <c r="I650" s="2" t="s">
        <v>273</v>
      </c>
      <c r="J650" s="2" t="s">
        <v>63</v>
      </c>
      <c r="K650" s="2" t="s">
        <v>92</v>
      </c>
      <c r="L650" s="2" t="s">
        <v>65</v>
      </c>
      <c r="N650" s="1" t="s">
        <v>8152</v>
      </c>
      <c r="O650" s="2" t="s">
        <v>145</v>
      </c>
      <c r="Q650" s="2" t="s">
        <v>70</v>
      </c>
      <c r="R650" s="2" t="s">
        <v>470</v>
      </c>
      <c r="T650" s="2" t="s">
        <v>72</v>
      </c>
      <c r="U650" s="3">
        <v>50</v>
      </c>
      <c r="V650" s="3">
        <v>50</v>
      </c>
      <c r="W650" s="4" t="s">
        <v>8153</v>
      </c>
      <c r="X650" s="4" t="s">
        <v>8153</v>
      </c>
      <c r="Y650" s="4" t="s">
        <v>8154</v>
      </c>
      <c r="Z650" s="4" t="s">
        <v>8154</v>
      </c>
      <c r="AA650" s="3">
        <v>33</v>
      </c>
      <c r="AB650" s="3">
        <v>29</v>
      </c>
      <c r="AC650" s="3">
        <v>57</v>
      </c>
      <c r="AD650" s="3">
        <v>1</v>
      </c>
      <c r="AE650" s="3">
        <v>1</v>
      </c>
      <c r="AF650" s="3">
        <v>1</v>
      </c>
      <c r="AG650" s="3">
        <v>3</v>
      </c>
      <c r="AH650" s="3">
        <v>1</v>
      </c>
      <c r="AI650" s="3">
        <v>2</v>
      </c>
      <c r="AJ650" s="3">
        <v>0</v>
      </c>
      <c r="AK650" s="3">
        <v>2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2" t="s">
        <v>63</v>
      </c>
      <c r="AS650" s="2" t="s">
        <v>92</v>
      </c>
      <c r="AT650" s="5" t="str">
        <f>HYPERLINK("http://catalog.hathitrust.org/Record/003055121","HathiTrust Record")</f>
        <v>HathiTrust Record</v>
      </c>
      <c r="AU650" s="5" t="str">
        <f>HYPERLINK("https://creighton-primo.hosted.exlibrisgroup.com/primo-explore/search?tab=default_tab&amp;search_scope=EVERYTHING&amp;vid=01CRU&amp;lang=en_US&amp;offset=0&amp;query=any,contains,991000666489702656","Catalog Record")</f>
        <v>Catalog Record</v>
      </c>
      <c r="AV650" s="5" t="str">
        <f>HYPERLINK("http://www.worldcat.org/oclc/33234995","WorldCat Record")</f>
        <v>WorldCat Record</v>
      </c>
      <c r="AW650" s="2" t="s">
        <v>8155</v>
      </c>
      <c r="AX650" s="2" t="s">
        <v>8156</v>
      </c>
      <c r="AY650" s="2" t="s">
        <v>8157</v>
      </c>
      <c r="AZ650" s="2" t="s">
        <v>8157</v>
      </c>
      <c r="BA650" s="2" t="s">
        <v>8158</v>
      </c>
      <c r="BB650" s="2" t="s">
        <v>79</v>
      </c>
      <c r="BD650" s="2" t="s">
        <v>8159</v>
      </c>
      <c r="BE650" s="2" t="s">
        <v>8160</v>
      </c>
      <c r="BF650" s="2" t="s">
        <v>8161</v>
      </c>
    </row>
    <row r="651" spans="1:58" ht="46.5" customHeight="1">
      <c r="A651" s="1"/>
      <c r="B651" s="1" t="s">
        <v>58</v>
      </c>
      <c r="C651" s="1" t="s">
        <v>59</v>
      </c>
      <c r="D651" s="1" t="s">
        <v>8162</v>
      </c>
      <c r="E651" s="1" t="s">
        <v>8163</v>
      </c>
      <c r="F651" s="1" t="s">
        <v>8151</v>
      </c>
      <c r="H651" s="2" t="s">
        <v>63</v>
      </c>
      <c r="I651" s="2" t="s">
        <v>64</v>
      </c>
      <c r="J651" s="2" t="s">
        <v>63</v>
      </c>
      <c r="K651" s="2" t="s">
        <v>92</v>
      </c>
      <c r="L651" s="2" t="s">
        <v>65</v>
      </c>
      <c r="N651" s="1" t="s">
        <v>8164</v>
      </c>
      <c r="O651" s="2" t="s">
        <v>1296</v>
      </c>
      <c r="P651" s="1" t="s">
        <v>8165</v>
      </c>
      <c r="Q651" s="2" t="s">
        <v>70</v>
      </c>
      <c r="R651" s="2" t="s">
        <v>470</v>
      </c>
      <c r="T651" s="2" t="s">
        <v>72</v>
      </c>
      <c r="U651" s="3">
        <v>14</v>
      </c>
      <c r="V651" s="3">
        <v>14</v>
      </c>
      <c r="W651" s="4" t="s">
        <v>8166</v>
      </c>
      <c r="X651" s="4" t="s">
        <v>8166</v>
      </c>
      <c r="Y651" s="4" t="s">
        <v>8167</v>
      </c>
      <c r="Z651" s="4" t="s">
        <v>8167</v>
      </c>
      <c r="AA651" s="3">
        <v>44</v>
      </c>
      <c r="AB651" s="3">
        <v>32</v>
      </c>
      <c r="AC651" s="3">
        <v>57</v>
      </c>
      <c r="AD651" s="3">
        <v>1</v>
      </c>
      <c r="AE651" s="3">
        <v>1</v>
      </c>
      <c r="AF651" s="3">
        <v>2</v>
      </c>
      <c r="AG651" s="3">
        <v>3</v>
      </c>
      <c r="AH651" s="3">
        <v>1</v>
      </c>
      <c r="AI651" s="3">
        <v>2</v>
      </c>
      <c r="AJ651" s="3">
        <v>2</v>
      </c>
      <c r="AK651" s="3">
        <v>2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2" t="s">
        <v>63</v>
      </c>
      <c r="AS651" s="2" t="s">
        <v>63</v>
      </c>
      <c r="AU651" s="5" t="str">
        <f>HYPERLINK("https://creighton-primo.hosted.exlibrisgroup.com/primo-explore/search?tab=default_tab&amp;search_scope=EVERYTHING&amp;vid=01CRU&amp;lang=en_US&amp;offset=0&amp;query=any,contains,991000329439702656","Catalog Record")</f>
        <v>Catalog Record</v>
      </c>
      <c r="AV651" s="5" t="str">
        <f>HYPERLINK("http://www.worldcat.org/oclc/48547984","WorldCat Record")</f>
        <v>WorldCat Record</v>
      </c>
      <c r="AW651" s="2" t="s">
        <v>8155</v>
      </c>
      <c r="AX651" s="2" t="s">
        <v>8168</v>
      </c>
      <c r="AY651" s="2" t="s">
        <v>8169</v>
      </c>
      <c r="AZ651" s="2" t="s">
        <v>8169</v>
      </c>
      <c r="BA651" s="2" t="s">
        <v>8170</v>
      </c>
      <c r="BB651" s="2" t="s">
        <v>79</v>
      </c>
      <c r="BD651" s="2" t="s">
        <v>8171</v>
      </c>
      <c r="BE651" s="2" t="s">
        <v>8172</v>
      </c>
      <c r="BF651" s="2" t="s">
        <v>8173</v>
      </c>
    </row>
    <row r="652" spans="1:58" ht="46.5" customHeight="1">
      <c r="A652" s="1"/>
      <c r="B652" s="1" t="s">
        <v>58</v>
      </c>
      <c r="C652" s="1" t="s">
        <v>59</v>
      </c>
      <c r="D652" s="1" t="s">
        <v>8174</v>
      </c>
      <c r="E652" s="1" t="s">
        <v>8175</v>
      </c>
      <c r="F652" s="1" t="s">
        <v>8176</v>
      </c>
      <c r="H652" s="2" t="s">
        <v>63</v>
      </c>
      <c r="I652" s="2" t="s">
        <v>64</v>
      </c>
      <c r="J652" s="2" t="s">
        <v>63</v>
      </c>
      <c r="K652" s="2" t="s">
        <v>63</v>
      </c>
      <c r="L652" s="2" t="s">
        <v>65</v>
      </c>
      <c r="M652" s="1" t="s">
        <v>8177</v>
      </c>
      <c r="N652" s="1" t="s">
        <v>8178</v>
      </c>
      <c r="O652" s="2" t="s">
        <v>87</v>
      </c>
      <c r="P652" s="1" t="s">
        <v>157</v>
      </c>
      <c r="Q652" s="2" t="s">
        <v>70</v>
      </c>
      <c r="R652" s="2" t="s">
        <v>277</v>
      </c>
      <c r="T652" s="2" t="s">
        <v>72</v>
      </c>
      <c r="U652" s="3">
        <v>5</v>
      </c>
      <c r="V652" s="3">
        <v>5</v>
      </c>
      <c r="W652" s="4" t="s">
        <v>8179</v>
      </c>
      <c r="X652" s="4" t="s">
        <v>8179</v>
      </c>
      <c r="Y652" s="4" t="s">
        <v>2159</v>
      </c>
      <c r="Z652" s="4" t="s">
        <v>2159</v>
      </c>
      <c r="AA652" s="3">
        <v>139</v>
      </c>
      <c r="AB652" s="3">
        <v>107</v>
      </c>
      <c r="AC652" s="3">
        <v>208</v>
      </c>
      <c r="AD652" s="3">
        <v>1</v>
      </c>
      <c r="AE652" s="3">
        <v>2</v>
      </c>
      <c r="AF652" s="3">
        <v>0</v>
      </c>
      <c r="AG652" s="3">
        <v>4</v>
      </c>
      <c r="AH652" s="3">
        <v>0</v>
      </c>
      <c r="AI652" s="3">
        <v>2</v>
      </c>
      <c r="AJ652" s="3">
        <v>0</v>
      </c>
      <c r="AK652" s="3">
        <v>1</v>
      </c>
      <c r="AL652" s="3">
        <v>0</v>
      </c>
      <c r="AM652" s="3">
        <v>2</v>
      </c>
      <c r="AN652" s="3">
        <v>0</v>
      </c>
      <c r="AO652" s="3">
        <v>1</v>
      </c>
      <c r="AP652" s="3">
        <v>0</v>
      </c>
      <c r="AQ652" s="3">
        <v>0</v>
      </c>
      <c r="AR652" s="2" t="s">
        <v>63</v>
      </c>
      <c r="AS652" s="2" t="s">
        <v>92</v>
      </c>
      <c r="AT652" s="5" t="str">
        <f>HYPERLINK("http://catalog.hathitrust.org/Record/000595883","HathiTrust Record")</f>
        <v>HathiTrust Record</v>
      </c>
      <c r="AU652" s="5" t="str">
        <f>HYPERLINK("https://creighton-primo.hosted.exlibrisgroup.com/primo-explore/search?tab=default_tab&amp;search_scope=EVERYTHING&amp;vid=01CRU&amp;lang=en_US&amp;offset=0&amp;query=any,contains,991000994539702656","Catalog Record")</f>
        <v>Catalog Record</v>
      </c>
      <c r="AV652" s="5" t="str">
        <f>HYPERLINK("http://www.worldcat.org/oclc/13643625","WorldCat Record")</f>
        <v>WorldCat Record</v>
      </c>
      <c r="AW652" s="2" t="s">
        <v>8180</v>
      </c>
      <c r="AX652" s="2" t="s">
        <v>8181</v>
      </c>
      <c r="AY652" s="2" t="s">
        <v>8182</v>
      </c>
      <c r="AZ652" s="2" t="s">
        <v>8182</v>
      </c>
      <c r="BA652" s="2" t="s">
        <v>8183</v>
      </c>
      <c r="BB652" s="2" t="s">
        <v>79</v>
      </c>
      <c r="BD652" s="2" t="s">
        <v>8184</v>
      </c>
      <c r="BE652" s="2" t="s">
        <v>8185</v>
      </c>
      <c r="BF652" s="2" t="s">
        <v>8186</v>
      </c>
    </row>
    <row r="653" spans="1:58" ht="46.5" customHeight="1">
      <c r="A653" s="1"/>
      <c r="B653" s="1" t="s">
        <v>58</v>
      </c>
      <c r="C653" s="1" t="s">
        <v>59</v>
      </c>
      <c r="D653" s="1" t="s">
        <v>8187</v>
      </c>
      <c r="E653" s="1" t="s">
        <v>8188</v>
      </c>
      <c r="F653" s="1" t="s">
        <v>8189</v>
      </c>
      <c r="H653" s="2" t="s">
        <v>63</v>
      </c>
      <c r="I653" s="2" t="s">
        <v>64</v>
      </c>
      <c r="J653" s="2" t="s">
        <v>63</v>
      </c>
      <c r="K653" s="2" t="s">
        <v>63</v>
      </c>
      <c r="L653" s="2" t="s">
        <v>65</v>
      </c>
      <c r="N653" s="1" t="s">
        <v>8190</v>
      </c>
      <c r="O653" s="2" t="s">
        <v>362</v>
      </c>
      <c r="Q653" s="2" t="s">
        <v>70</v>
      </c>
      <c r="R653" s="2" t="s">
        <v>1541</v>
      </c>
      <c r="T653" s="2" t="s">
        <v>72</v>
      </c>
      <c r="U653" s="3">
        <v>11</v>
      </c>
      <c r="V653" s="3">
        <v>11</v>
      </c>
      <c r="W653" s="4" t="s">
        <v>8191</v>
      </c>
      <c r="X653" s="4" t="s">
        <v>8191</v>
      </c>
      <c r="Y653" s="4" t="s">
        <v>8192</v>
      </c>
      <c r="Z653" s="4" t="s">
        <v>8192</v>
      </c>
      <c r="AA653" s="3">
        <v>139</v>
      </c>
      <c r="AB653" s="3">
        <v>80</v>
      </c>
      <c r="AC653" s="3">
        <v>105</v>
      </c>
      <c r="AD653" s="3">
        <v>2</v>
      </c>
      <c r="AE653" s="3">
        <v>2</v>
      </c>
      <c r="AF653" s="3">
        <v>5</v>
      </c>
      <c r="AG653" s="3">
        <v>6</v>
      </c>
      <c r="AH653" s="3">
        <v>4</v>
      </c>
      <c r="AI653" s="3">
        <v>4</v>
      </c>
      <c r="AJ653" s="3">
        <v>1</v>
      </c>
      <c r="AK653" s="3">
        <v>1</v>
      </c>
      <c r="AL653" s="3">
        <v>0</v>
      </c>
      <c r="AM653" s="3">
        <v>1</v>
      </c>
      <c r="AN653" s="3">
        <v>1</v>
      </c>
      <c r="AO653" s="3">
        <v>1</v>
      </c>
      <c r="AP653" s="3">
        <v>0</v>
      </c>
      <c r="AQ653" s="3">
        <v>0</v>
      </c>
      <c r="AR653" s="2" t="s">
        <v>63</v>
      </c>
      <c r="AS653" s="2" t="s">
        <v>63</v>
      </c>
      <c r="AU653" s="5" t="str">
        <f>HYPERLINK("https://creighton-primo.hosted.exlibrisgroup.com/primo-explore/search?tab=default_tab&amp;search_scope=EVERYTHING&amp;vid=01CRU&amp;lang=en_US&amp;offset=0&amp;query=any,contains,991000430989702656","Catalog Record")</f>
        <v>Catalog Record</v>
      </c>
      <c r="AV653" s="5" t="str">
        <f>HYPERLINK("http://www.worldcat.org/oclc/50858958","WorldCat Record")</f>
        <v>WorldCat Record</v>
      </c>
      <c r="AW653" s="2" t="s">
        <v>8193</v>
      </c>
      <c r="AX653" s="2" t="s">
        <v>8194</v>
      </c>
      <c r="AY653" s="2" t="s">
        <v>8195</v>
      </c>
      <c r="AZ653" s="2" t="s">
        <v>8195</v>
      </c>
      <c r="BA653" s="2" t="s">
        <v>8196</v>
      </c>
      <c r="BB653" s="2" t="s">
        <v>79</v>
      </c>
      <c r="BD653" s="2" t="s">
        <v>8197</v>
      </c>
      <c r="BE653" s="2" t="s">
        <v>8198</v>
      </c>
      <c r="BF653" s="2" t="s">
        <v>8199</v>
      </c>
    </row>
    <row r="654" spans="1:58" ht="46.5" customHeight="1">
      <c r="A654" s="1"/>
      <c r="B654" s="1" t="s">
        <v>58</v>
      </c>
      <c r="C654" s="1" t="s">
        <v>59</v>
      </c>
      <c r="D654" s="1" t="s">
        <v>8200</v>
      </c>
      <c r="E654" s="1" t="s">
        <v>8201</v>
      </c>
      <c r="F654" s="1" t="s">
        <v>8202</v>
      </c>
      <c r="H654" s="2" t="s">
        <v>63</v>
      </c>
      <c r="I654" s="2" t="s">
        <v>64</v>
      </c>
      <c r="J654" s="2" t="s">
        <v>63</v>
      </c>
      <c r="K654" s="2" t="s">
        <v>92</v>
      </c>
      <c r="L654" s="2" t="s">
        <v>65</v>
      </c>
      <c r="M654" s="1" t="s">
        <v>8203</v>
      </c>
      <c r="N654" s="1" t="s">
        <v>8204</v>
      </c>
      <c r="O654" s="2" t="s">
        <v>87</v>
      </c>
      <c r="P654" s="1" t="s">
        <v>259</v>
      </c>
      <c r="Q654" s="2" t="s">
        <v>70</v>
      </c>
      <c r="R654" s="2" t="s">
        <v>89</v>
      </c>
      <c r="T654" s="2" t="s">
        <v>72</v>
      </c>
      <c r="U654" s="3">
        <v>55</v>
      </c>
      <c r="V654" s="3">
        <v>55</v>
      </c>
      <c r="W654" s="4" t="s">
        <v>8205</v>
      </c>
      <c r="X654" s="4" t="s">
        <v>8205</v>
      </c>
      <c r="Y654" s="4" t="s">
        <v>2958</v>
      </c>
      <c r="Z654" s="4" t="s">
        <v>2958</v>
      </c>
      <c r="AA654" s="3">
        <v>116</v>
      </c>
      <c r="AB654" s="3">
        <v>89</v>
      </c>
      <c r="AC654" s="3">
        <v>187</v>
      </c>
      <c r="AD654" s="3">
        <v>2</v>
      </c>
      <c r="AE654" s="3">
        <v>2</v>
      </c>
      <c r="AF654" s="3">
        <v>4</v>
      </c>
      <c r="AG654" s="3">
        <v>6</v>
      </c>
      <c r="AH654" s="3">
        <v>2</v>
      </c>
      <c r="AI654" s="3">
        <v>4</v>
      </c>
      <c r="AJ654" s="3">
        <v>1</v>
      </c>
      <c r="AK654" s="3">
        <v>2</v>
      </c>
      <c r="AL654" s="3">
        <v>0</v>
      </c>
      <c r="AM654" s="3">
        <v>0</v>
      </c>
      <c r="AN654" s="3">
        <v>1</v>
      </c>
      <c r="AO654" s="3">
        <v>1</v>
      </c>
      <c r="AP654" s="3">
        <v>0</v>
      </c>
      <c r="AQ654" s="3">
        <v>0</v>
      </c>
      <c r="AR654" s="2" t="s">
        <v>63</v>
      </c>
      <c r="AS654" s="2" t="s">
        <v>92</v>
      </c>
      <c r="AT654" s="5" t="str">
        <f>HYPERLINK("http://catalog.hathitrust.org/Record/000830937","HathiTrust Record")</f>
        <v>HathiTrust Record</v>
      </c>
      <c r="AU654" s="5" t="str">
        <f>HYPERLINK("https://creighton-primo.hosted.exlibrisgroup.com/primo-explore/search?tab=default_tab&amp;search_scope=EVERYTHING&amp;vid=01CRU&amp;lang=en_US&amp;offset=0&amp;query=any,contains,991001452089702656","Catalog Record")</f>
        <v>Catalog Record</v>
      </c>
      <c r="AV654" s="5" t="str">
        <f>HYPERLINK("http://www.worldcat.org/oclc/14242644","WorldCat Record")</f>
        <v>WorldCat Record</v>
      </c>
      <c r="AW654" s="2" t="s">
        <v>8206</v>
      </c>
      <c r="AX654" s="2" t="s">
        <v>8207</v>
      </c>
      <c r="AY654" s="2" t="s">
        <v>8208</v>
      </c>
      <c r="AZ654" s="2" t="s">
        <v>8208</v>
      </c>
      <c r="BA654" s="2" t="s">
        <v>8209</v>
      </c>
      <c r="BB654" s="2" t="s">
        <v>79</v>
      </c>
      <c r="BD654" s="2" t="s">
        <v>8210</v>
      </c>
      <c r="BE654" s="2" t="s">
        <v>8211</v>
      </c>
      <c r="BF654" s="2" t="s">
        <v>8212</v>
      </c>
    </row>
    <row r="655" spans="1:58" ht="46.5" customHeight="1">
      <c r="A655" s="1"/>
      <c r="B655" s="1" t="s">
        <v>58</v>
      </c>
      <c r="C655" s="1" t="s">
        <v>59</v>
      </c>
      <c r="D655" s="1" t="s">
        <v>8213</v>
      </c>
      <c r="E655" s="1" t="s">
        <v>8214</v>
      </c>
      <c r="F655" s="1" t="s">
        <v>8215</v>
      </c>
      <c r="H655" s="2" t="s">
        <v>63</v>
      </c>
      <c r="I655" s="2" t="s">
        <v>64</v>
      </c>
      <c r="J655" s="2" t="s">
        <v>63</v>
      </c>
      <c r="K655" s="2" t="s">
        <v>92</v>
      </c>
      <c r="L655" s="2" t="s">
        <v>65</v>
      </c>
      <c r="M655" s="1" t="s">
        <v>8203</v>
      </c>
      <c r="N655" s="1" t="s">
        <v>1453</v>
      </c>
      <c r="O655" s="2" t="s">
        <v>554</v>
      </c>
      <c r="P655" s="1" t="s">
        <v>230</v>
      </c>
      <c r="Q655" s="2" t="s">
        <v>70</v>
      </c>
      <c r="R655" s="2" t="s">
        <v>260</v>
      </c>
      <c r="T655" s="2" t="s">
        <v>72</v>
      </c>
      <c r="U655" s="3">
        <v>137</v>
      </c>
      <c r="V655" s="3">
        <v>137</v>
      </c>
      <c r="W655" s="4" t="s">
        <v>8216</v>
      </c>
      <c r="X655" s="4" t="s">
        <v>8216</v>
      </c>
      <c r="Y655" s="4" t="s">
        <v>557</v>
      </c>
      <c r="Z655" s="4" t="s">
        <v>557</v>
      </c>
      <c r="AA655" s="3">
        <v>107</v>
      </c>
      <c r="AB655" s="3">
        <v>76</v>
      </c>
      <c r="AC655" s="3">
        <v>187</v>
      </c>
      <c r="AD655" s="3">
        <v>1</v>
      </c>
      <c r="AE655" s="3">
        <v>2</v>
      </c>
      <c r="AF655" s="3">
        <v>5</v>
      </c>
      <c r="AG655" s="3">
        <v>6</v>
      </c>
      <c r="AH655" s="3">
        <v>4</v>
      </c>
      <c r="AI655" s="3">
        <v>4</v>
      </c>
      <c r="AJ655" s="3">
        <v>2</v>
      </c>
      <c r="AK655" s="3">
        <v>2</v>
      </c>
      <c r="AL655" s="3">
        <v>0</v>
      </c>
      <c r="AM655" s="3">
        <v>0</v>
      </c>
      <c r="AN655" s="3">
        <v>0</v>
      </c>
      <c r="AO655" s="3">
        <v>1</v>
      </c>
      <c r="AP655" s="3">
        <v>0</v>
      </c>
      <c r="AQ655" s="3">
        <v>0</v>
      </c>
      <c r="AR655" s="2" t="s">
        <v>63</v>
      </c>
      <c r="AS655" s="2" t="s">
        <v>92</v>
      </c>
      <c r="AT655" s="5" t="str">
        <f>HYPERLINK("http://catalog.hathitrust.org/Record/002780532","HathiTrust Record")</f>
        <v>HathiTrust Record</v>
      </c>
      <c r="AU655" s="5" t="str">
        <f>HYPERLINK("https://creighton-primo.hosted.exlibrisgroup.com/primo-explore/search?tab=default_tab&amp;search_scope=EVERYTHING&amp;vid=01CRU&amp;lang=en_US&amp;offset=0&amp;query=any,contains,991001487229702656","Catalog Record")</f>
        <v>Catalog Record</v>
      </c>
      <c r="AV655" s="5" t="str">
        <f>HYPERLINK("http://www.worldcat.org/oclc/28427868","WorldCat Record")</f>
        <v>WorldCat Record</v>
      </c>
      <c r="AW655" s="2" t="s">
        <v>8206</v>
      </c>
      <c r="AX655" s="2" t="s">
        <v>8217</v>
      </c>
      <c r="AY655" s="2" t="s">
        <v>8218</v>
      </c>
      <c r="AZ655" s="2" t="s">
        <v>8218</v>
      </c>
      <c r="BA655" s="2" t="s">
        <v>8219</v>
      </c>
      <c r="BB655" s="2" t="s">
        <v>79</v>
      </c>
      <c r="BD655" s="2" t="s">
        <v>8220</v>
      </c>
      <c r="BE655" s="2" t="s">
        <v>8221</v>
      </c>
      <c r="BF655" s="2" t="s">
        <v>8222</v>
      </c>
    </row>
    <row r="656" spans="1:58" ht="46.5" customHeight="1">
      <c r="A656" s="1"/>
      <c r="B656" s="1" t="s">
        <v>58</v>
      </c>
      <c r="C656" s="1" t="s">
        <v>59</v>
      </c>
      <c r="D656" s="1" t="s">
        <v>8223</v>
      </c>
      <c r="E656" s="1" t="s">
        <v>8224</v>
      </c>
      <c r="F656" s="1" t="s">
        <v>8225</v>
      </c>
      <c r="H656" s="2" t="s">
        <v>63</v>
      </c>
      <c r="I656" s="2" t="s">
        <v>64</v>
      </c>
      <c r="J656" s="2" t="s">
        <v>63</v>
      </c>
      <c r="K656" s="2" t="s">
        <v>92</v>
      </c>
      <c r="L656" s="2" t="s">
        <v>65</v>
      </c>
      <c r="M656" s="1" t="s">
        <v>8226</v>
      </c>
      <c r="N656" s="1" t="s">
        <v>8227</v>
      </c>
      <c r="O656" s="2" t="s">
        <v>407</v>
      </c>
      <c r="P656" s="1" t="s">
        <v>105</v>
      </c>
      <c r="Q656" s="2" t="s">
        <v>70</v>
      </c>
      <c r="R656" s="2" t="s">
        <v>89</v>
      </c>
      <c r="T656" s="2" t="s">
        <v>72</v>
      </c>
      <c r="U656" s="3">
        <v>18</v>
      </c>
      <c r="V656" s="3">
        <v>18</v>
      </c>
      <c r="W656" s="4" t="s">
        <v>8228</v>
      </c>
      <c r="X656" s="4" t="s">
        <v>8228</v>
      </c>
      <c r="Y656" s="4" t="s">
        <v>410</v>
      </c>
      <c r="Z656" s="4" t="s">
        <v>410</v>
      </c>
      <c r="AA656" s="3">
        <v>124</v>
      </c>
      <c r="AB656" s="3">
        <v>79</v>
      </c>
      <c r="AC656" s="3">
        <v>157</v>
      </c>
      <c r="AD656" s="3">
        <v>1</v>
      </c>
      <c r="AE656" s="3">
        <v>1</v>
      </c>
      <c r="AF656" s="3">
        <v>3</v>
      </c>
      <c r="AG656" s="3">
        <v>5</v>
      </c>
      <c r="AH656" s="3">
        <v>3</v>
      </c>
      <c r="AI656" s="3">
        <v>3</v>
      </c>
      <c r="AJ656" s="3">
        <v>1</v>
      </c>
      <c r="AK656" s="3">
        <v>2</v>
      </c>
      <c r="AL656" s="3">
        <v>0</v>
      </c>
      <c r="AM656" s="3">
        <v>1</v>
      </c>
      <c r="AN656" s="3">
        <v>0</v>
      </c>
      <c r="AO656" s="3">
        <v>0</v>
      </c>
      <c r="AP656" s="3">
        <v>0</v>
      </c>
      <c r="AQ656" s="3">
        <v>0</v>
      </c>
      <c r="AR656" s="2" t="s">
        <v>63</v>
      </c>
      <c r="AS656" s="2" t="s">
        <v>63</v>
      </c>
      <c r="AU656" s="5" t="str">
        <f>HYPERLINK("https://creighton-primo.hosted.exlibrisgroup.com/primo-explore/search?tab=default_tab&amp;search_scope=EVERYTHING&amp;vid=01CRU&amp;lang=en_US&amp;offset=0&amp;query=any,contains,991001452419702656","Catalog Record")</f>
        <v>Catalog Record</v>
      </c>
      <c r="AV656" s="5" t="str">
        <f>HYPERLINK("http://www.worldcat.org/oclc/19739330","WorldCat Record")</f>
        <v>WorldCat Record</v>
      </c>
      <c r="AW656" s="2" t="s">
        <v>8229</v>
      </c>
      <c r="AX656" s="2" t="s">
        <v>8230</v>
      </c>
      <c r="AY656" s="2" t="s">
        <v>8231</v>
      </c>
      <c r="AZ656" s="2" t="s">
        <v>8231</v>
      </c>
      <c r="BA656" s="2" t="s">
        <v>8232</v>
      </c>
      <c r="BB656" s="2" t="s">
        <v>79</v>
      </c>
      <c r="BD656" s="2" t="s">
        <v>8233</v>
      </c>
      <c r="BE656" s="2" t="s">
        <v>8234</v>
      </c>
      <c r="BF656" s="2" t="s">
        <v>8235</v>
      </c>
    </row>
    <row r="657" spans="1:58" ht="46.5" customHeight="1">
      <c r="A657" s="1"/>
      <c r="B657" s="1" t="s">
        <v>58</v>
      </c>
      <c r="C657" s="1" t="s">
        <v>59</v>
      </c>
      <c r="D657" s="1" t="s">
        <v>8236</v>
      </c>
      <c r="E657" s="1" t="s">
        <v>8237</v>
      </c>
      <c r="F657" s="1" t="s">
        <v>8238</v>
      </c>
      <c r="H657" s="2" t="s">
        <v>63</v>
      </c>
      <c r="I657" s="2" t="s">
        <v>64</v>
      </c>
      <c r="J657" s="2" t="s">
        <v>63</v>
      </c>
      <c r="K657" s="2" t="s">
        <v>92</v>
      </c>
      <c r="L657" s="2" t="s">
        <v>65</v>
      </c>
      <c r="M657" s="1" t="s">
        <v>8226</v>
      </c>
      <c r="N657" s="1" t="s">
        <v>8239</v>
      </c>
      <c r="O657" s="2" t="s">
        <v>814</v>
      </c>
      <c r="P657" s="1" t="s">
        <v>1228</v>
      </c>
      <c r="Q657" s="2" t="s">
        <v>70</v>
      </c>
      <c r="R657" s="2" t="s">
        <v>260</v>
      </c>
      <c r="T657" s="2" t="s">
        <v>72</v>
      </c>
      <c r="U657" s="3">
        <v>35</v>
      </c>
      <c r="V657" s="3">
        <v>35</v>
      </c>
      <c r="W657" s="4" t="s">
        <v>8240</v>
      </c>
      <c r="X657" s="4" t="s">
        <v>8240</v>
      </c>
      <c r="Y657" s="4" t="s">
        <v>8241</v>
      </c>
      <c r="Z657" s="4" t="s">
        <v>8241</v>
      </c>
      <c r="AA657" s="3">
        <v>154</v>
      </c>
      <c r="AB657" s="3">
        <v>93</v>
      </c>
      <c r="AC657" s="3">
        <v>157</v>
      </c>
      <c r="AD657" s="3">
        <v>1</v>
      </c>
      <c r="AE657" s="3">
        <v>1</v>
      </c>
      <c r="AF657" s="3">
        <v>2</v>
      </c>
      <c r="AG657" s="3">
        <v>5</v>
      </c>
      <c r="AH657" s="3">
        <v>0</v>
      </c>
      <c r="AI657" s="3">
        <v>3</v>
      </c>
      <c r="AJ657" s="3">
        <v>1</v>
      </c>
      <c r="AK657" s="3">
        <v>2</v>
      </c>
      <c r="AL657" s="3">
        <v>1</v>
      </c>
      <c r="AM657" s="3">
        <v>1</v>
      </c>
      <c r="AN657" s="3">
        <v>0</v>
      </c>
      <c r="AO657" s="3">
        <v>0</v>
      </c>
      <c r="AP657" s="3">
        <v>0</v>
      </c>
      <c r="AQ657" s="3">
        <v>0</v>
      </c>
      <c r="AR657" s="2" t="s">
        <v>63</v>
      </c>
      <c r="AS657" s="2" t="s">
        <v>63</v>
      </c>
      <c r="AU657" s="5" t="str">
        <f>HYPERLINK("https://creighton-primo.hosted.exlibrisgroup.com/primo-explore/search?tab=default_tab&amp;search_scope=EVERYTHING&amp;vid=01CRU&amp;lang=en_US&amp;offset=0&amp;query=any,contains,991001408449702656","Catalog Record")</f>
        <v>Catalog Record</v>
      </c>
      <c r="AV657" s="5" t="str">
        <f>HYPERLINK("http://www.worldcat.org/oclc/40881470","WorldCat Record")</f>
        <v>WorldCat Record</v>
      </c>
      <c r="AW657" s="2" t="s">
        <v>8229</v>
      </c>
      <c r="AX657" s="2" t="s">
        <v>8242</v>
      </c>
      <c r="AY657" s="2" t="s">
        <v>8243</v>
      </c>
      <c r="AZ657" s="2" t="s">
        <v>8243</v>
      </c>
      <c r="BA657" s="2" t="s">
        <v>8244</v>
      </c>
      <c r="BB657" s="2" t="s">
        <v>79</v>
      </c>
      <c r="BD657" s="2" t="s">
        <v>8245</v>
      </c>
      <c r="BE657" s="2" t="s">
        <v>8246</v>
      </c>
      <c r="BF657" s="2" t="s">
        <v>8247</v>
      </c>
    </row>
    <row r="658" spans="1:58" ht="46.5" customHeight="1">
      <c r="A658" s="1"/>
      <c r="B658" s="1" t="s">
        <v>58</v>
      </c>
      <c r="C658" s="1" t="s">
        <v>59</v>
      </c>
      <c r="D658" s="1" t="s">
        <v>8248</v>
      </c>
      <c r="E658" s="1" t="s">
        <v>8249</v>
      </c>
      <c r="F658" s="1" t="s">
        <v>8250</v>
      </c>
      <c r="H658" s="2" t="s">
        <v>63</v>
      </c>
      <c r="I658" s="2" t="s">
        <v>64</v>
      </c>
      <c r="J658" s="2" t="s">
        <v>63</v>
      </c>
      <c r="K658" s="2" t="s">
        <v>63</v>
      </c>
      <c r="L658" s="2" t="s">
        <v>65</v>
      </c>
      <c r="N658" s="1" t="s">
        <v>8251</v>
      </c>
      <c r="O658" s="2" t="s">
        <v>407</v>
      </c>
      <c r="Q658" s="2" t="s">
        <v>70</v>
      </c>
      <c r="R658" s="2" t="s">
        <v>89</v>
      </c>
      <c r="T658" s="2" t="s">
        <v>72</v>
      </c>
      <c r="U658" s="3">
        <v>13</v>
      </c>
      <c r="V658" s="3">
        <v>13</v>
      </c>
      <c r="W658" s="4" t="s">
        <v>2368</v>
      </c>
      <c r="X658" s="4" t="s">
        <v>2368</v>
      </c>
      <c r="Y658" s="4" t="s">
        <v>410</v>
      </c>
      <c r="Z658" s="4" t="s">
        <v>410</v>
      </c>
      <c r="AA658" s="3">
        <v>102</v>
      </c>
      <c r="AB658" s="3">
        <v>75</v>
      </c>
      <c r="AC658" s="3">
        <v>75</v>
      </c>
      <c r="AD658" s="3">
        <v>1</v>
      </c>
      <c r="AE658" s="3">
        <v>1</v>
      </c>
      <c r="AF658" s="3">
        <v>2</v>
      </c>
      <c r="AG658" s="3">
        <v>2</v>
      </c>
      <c r="AH658" s="3">
        <v>0</v>
      </c>
      <c r="AI658" s="3">
        <v>0</v>
      </c>
      <c r="AJ658" s="3">
        <v>2</v>
      </c>
      <c r="AK658" s="3">
        <v>2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2" t="s">
        <v>63</v>
      </c>
      <c r="AS658" s="2" t="s">
        <v>63</v>
      </c>
      <c r="AU658" s="5" t="str">
        <f>HYPERLINK("https://creighton-primo.hosted.exlibrisgroup.com/primo-explore/search?tab=default_tab&amp;search_scope=EVERYTHING&amp;vid=01CRU&amp;lang=en_US&amp;offset=0&amp;query=any,contains,991001452629702656","Catalog Record")</f>
        <v>Catalog Record</v>
      </c>
      <c r="AV658" s="5" t="str">
        <f>HYPERLINK("http://www.worldcat.org/oclc/19553672","WorldCat Record")</f>
        <v>WorldCat Record</v>
      </c>
      <c r="AW658" s="2" t="s">
        <v>8252</v>
      </c>
      <c r="AX658" s="2" t="s">
        <v>8253</v>
      </c>
      <c r="AY658" s="2" t="s">
        <v>8254</v>
      </c>
      <c r="AZ658" s="2" t="s">
        <v>8254</v>
      </c>
      <c r="BA658" s="2" t="s">
        <v>8255</v>
      </c>
      <c r="BB658" s="2" t="s">
        <v>79</v>
      </c>
      <c r="BD658" s="2" t="s">
        <v>8256</v>
      </c>
      <c r="BE658" s="2" t="s">
        <v>8257</v>
      </c>
      <c r="BF658" s="2" t="s">
        <v>8258</v>
      </c>
    </row>
    <row r="659" spans="1:58" ht="46.5" customHeight="1">
      <c r="A659" s="1"/>
      <c r="B659" s="1" t="s">
        <v>58</v>
      </c>
      <c r="C659" s="1" t="s">
        <v>59</v>
      </c>
      <c r="D659" s="1" t="s">
        <v>8259</v>
      </c>
      <c r="E659" s="1" t="s">
        <v>8260</v>
      </c>
      <c r="F659" s="1" t="s">
        <v>8261</v>
      </c>
      <c r="H659" s="2" t="s">
        <v>63</v>
      </c>
      <c r="I659" s="2" t="s">
        <v>64</v>
      </c>
      <c r="J659" s="2" t="s">
        <v>63</v>
      </c>
      <c r="K659" s="2" t="s">
        <v>63</v>
      </c>
      <c r="L659" s="2" t="s">
        <v>65</v>
      </c>
      <c r="N659" s="1" t="s">
        <v>8262</v>
      </c>
      <c r="O659" s="2" t="s">
        <v>423</v>
      </c>
      <c r="Q659" s="2" t="s">
        <v>70</v>
      </c>
      <c r="R659" s="2" t="s">
        <v>89</v>
      </c>
      <c r="T659" s="2" t="s">
        <v>72</v>
      </c>
      <c r="U659" s="3">
        <v>16</v>
      </c>
      <c r="V659" s="3">
        <v>16</v>
      </c>
      <c r="W659" s="4" t="s">
        <v>2368</v>
      </c>
      <c r="X659" s="4" t="s">
        <v>2368</v>
      </c>
      <c r="Y659" s="4" t="s">
        <v>8263</v>
      </c>
      <c r="Z659" s="4" t="s">
        <v>8263</v>
      </c>
      <c r="AA659" s="3">
        <v>145</v>
      </c>
      <c r="AB659" s="3">
        <v>100</v>
      </c>
      <c r="AC659" s="3">
        <v>108</v>
      </c>
      <c r="AD659" s="3">
        <v>2</v>
      </c>
      <c r="AE659" s="3">
        <v>2</v>
      </c>
      <c r="AF659" s="3">
        <v>6</v>
      </c>
      <c r="AG659" s="3">
        <v>6</v>
      </c>
      <c r="AH659" s="3">
        <v>2</v>
      </c>
      <c r="AI659" s="3">
        <v>2</v>
      </c>
      <c r="AJ659" s="3">
        <v>3</v>
      </c>
      <c r="AK659" s="3">
        <v>3</v>
      </c>
      <c r="AL659" s="3">
        <v>2</v>
      </c>
      <c r="AM659" s="3">
        <v>2</v>
      </c>
      <c r="AN659" s="3">
        <v>1</v>
      </c>
      <c r="AO659" s="3">
        <v>1</v>
      </c>
      <c r="AP659" s="3">
        <v>0</v>
      </c>
      <c r="AQ659" s="3">
        <v>0</v>
      </c>
      <c r="AR659" s="2" t="s">
        <v>63</v>
      </c>
      <c r="AS659" s="2" t="s">
        <v>92</v>
      </c>
      <c r="AT659" s="5" t="str">
        <f>HYPERLINK("http://catalog.hathitrust.org/Record/001821966","HathiTrust Record")</f>
        <v>HathiTrust Record</v>
      </c>
      <c r="AU659" s="5" t="str">
        <f>HYPERLINK("https://creighton-primo.hosted.exlibrisgroup.com/primo-explore/search?tab=default_tab&amp;search_scope=EVERYTHING&amp;vid=01CRU&amp;lang=en_US&amp;offset=0&amp;query=any,contains,991001448629702656","Catalog Record")</f>
        <v>Catalog Record</v>
      </c>
      <c r="AV659" s="5" t="str">
        <f>HYPERLINK("http://www.worldcat.org/oclc/18106215","WorldCat Record")</f>
        <v>WorldCat Record</v>
      </c>
      <c r="AW659" s="2" t="s">
        <v>8264</v>
      </c>
      <c r="AX659" s="2" t="s">
        <v>8265</v>
      </c>
      <c r="AY659" s="2" t="s">
        <v>8266</v>
      </c>
      <c r="AZ659" s="2" t="s">
        <v>8266</v>
      </c>
      <c r="BA659" s="2" t="s">
        <v>8267</v>
      </c>
      <c r="BB659" s="2" t="s">
        <v>79</v>
      </c>
      <c r="BD659" s="2" t="s">
        <v>8268</v>
      </c>
      <c r="BE659" s="2" t="s">
        <v>8269</v>
      </c>
      <c r="BF659" s="2" t="s">
        <v>8270</v>
      </c>
    </row>
    <row r="660" spans="1:58" ht="46.5" customHeight="1">
      <c r="A660" s="1"/>
      <c r="B660" s="1" t="s">
        <v>58</v>
      </c>
      <c r="C660" s="1" t="s">
        <v>59</v>
      </c>
      <c r="D660" s="1" t="s">
        <v>8271</v>
      </c>
      <c r="E660" s="1" t="s">
        <v>8272</v>
      </c>
      <c r="F660" s="1" t="s">
        <v>8273</v>
      </c>
      <c r="H660" s="2" t="s">
        <v>63</v>
      </c>
      <c r="I660" s="2" t="s">
        <v>64</v>
      </c>
      <c r="J660" s="2" t="s">
        <v>63</v>
      </c>
      <c r="K660" s="2" t="s">
        <v>63</v>
      </c>
      <c r="L660" s="2" t="s">
        <v>65</v>
      </c>
      <c r="M660" s="1" t="s">
        <v>8274</v>
      </c>
      <c r="N660" s="1" t="s">
        <v>8275</v>
      </c>
      <c r="O660" s="2" t="s">
        <v>2131</v>
      </c>
      <c r="P660" s="1" t="s">
        <v>8276</v>
      </c>
      <c r="Q660" s="2" t="s">
        <v>70</v>
      </c>
      <c r="R660" s="2" t="s">
        <v>260</v>
      </c>
      <c r="T660" s="2" t="s">
        <v>72</v>
      </c>
      <c r="U660" s="3">
        <v>1</v>
      </c>
      <c r="V660" s="3">
        <v>1</v>
      </c>
      <c r="W660" s="4" t="s">
        <v>8277</v>
      </c>
      <c r="X660" s="4" t="s">
        <v>8277</v>
      </c>
      <c r="Y660" s="4" t="s">
        <v>2159</v>
      </c>
      <c r="Z660" s="4" t="s">
        <v>2159</v>
      </c>
      <c r="AA660" s="3">
        <v>51</v>
      </c>
      <c r="AB660" s="3">
        <v>47</v>
      </c>
      <c r="AC660" s="3">
        <v>59</v>
      </c>
      <c r="AD660" s="3">
        <v>2</v>
      </c>
      <c r="AE660" s="3">
        <v>2</v>
      </c>
      <c r="AF660" s="3">
        <v>4</v>
      </c>
      <c r="AG660" s="3">
        <v>4</v>
      </c>
      <c r="AH660" s="3">
        <v>2</v>
      </c>
      <c r="AI660" s="3">
        <v>2</v>
      </c>
      <c r="AJ660" s="3">
        <v>2</v>
      </c>
      <c r="AK660" s="3">
        <v>2</v>
      </c>
      <c r="AL660" s="3">
        <v>0</v>
      </c>
      <c r="AM660" s="3">
        <v>0</v>
      </c>
      <c r="AN660" s="3">
        <v>1</v>
      </c>
      <c r="AO660" s="3">
        <v>1</v>
      </c>
      <c r="AP660" s="3">
        <v>0</v>
      </c>
      <c r="AQ660" s="3">
        <v>0</v>
      </c>
      <c r="AR660" s="2" t="s">
        <v>63</v>
      </c>
      <c r="AS660" s="2" t="s">
        <v>92</v>
      </c>
      <c r="AT660" s="5" t="str">
        <f>HYPERLINK("http://catalog.hathitrust.org/Record/001582291","HathiTrust Record")</f>
        <v>HathiTrust Record</v>
      </c>
      <c r="AU660" s="5" t="str">
        <f>HYPERLINK("https://creighton-primo.hosted.exlibrisgroup.com/primo-explore/search?tab=default_tab&amp;search_scope=EVERYTHING&amp;vid=01CRU&amp;lang=en_US&amp;offset=0&amp;query=any,contains,991000994489702656","Catalog Record")</f>
        <v>Catalog Record</v>
      </c>
      <c r="AV660" s="5" t="str">
        <f>HYPERLINK("http://www.worldcat.org/oclc/3254114","WorldCat Record")</f>
        <v>WorldCat Record</v>
      </c>
      <c r="AW660" s="2" t="s">
        <v>8278</v>
      </c>
      <c r="AX660" s="2" t="s">
        <v>8279</v>
      </c>
      <c r="AY660" s="2" t="s">
        <v>8280</v>
      </c>
      <c r="AZ660" s="2" t="s">
        <v>8280</v>
      </c>
      <c r="BA660" s="2" t="s">
        <v>8281</v>
      </c>
      <c r="BB660" s="2" t="s">
        <v>79</v>
      </c>
      <c r="BE660" s="2" t="s">
        <v>8282</v>
      </c>
      <c r="BF660" s="2" t="s">
        <v>8283</v>
      </c>
    </row>
    <row r="661" spans="1:58" ht="46.5" customHeight="1">
      <c r="A661" s="1"/>
      <c r="B661" s="1" t="s">
        <v>58</v>
      </c>
      <c r="C661" s="1" t="s">
        <v>59</v>
      </c>
      <c r="D661" s="1" t="s">
        <v>8284</v>
      </c>
      <c r="E661" s="1" t="s">
        <v>8285</v>
      </c>
      <c r="F661" s="1" t="s">
        <v>8286</v>
      </c>
      <c r="H661" s="2" t="s">
        <v>63</v>
      </c>
      <c r="I661" s="2" t="s">
        <v>64</v>
      </c>
      <c r="J661" s="2" t="s">
        <v>63</v>
      </c>
      <c r="K661" s="2" t="s">
        <v>63</v>
      </c>
      <c r="L661" s="2" t="s">
        <v>65</v>
      </c>
      <c r="N661" s="1" t="s">
        <v>8287</v>
      </c>
      <c r="O661" s="2" t="s">
        <v>198</v>
      </c>
      <c r="Q661" s="2" t="s">
        <v>70</v>
      </c>
      <c r="R661" s="2" t="s">
        <v>4001</v>
      </c>
      <c r="T661" s="2" t="s">
        <v>72</v>
      </c>
      <c r="U661" s="3">
        <v>9</v>
      </c>
      <c r="V661" s="3">
        <v>9</v>
      </c>
      <c r="W661" s="4" t="s">
        <v>8288</v>
      </c>
      <c r="X661" s="4" t="s">
        <v>8288</v>
      </c>
      <c r="Y661" s="4" t="s">
        <v>1754</v>
      </c>
      <c r="Z661" s="4" t="s">
        <v>1754</v>
      </c>
      <c r="AA661" s="3">
        <v>72</v>
      </c>
      <c r="AB661" s="3">
        <v>50</v>
      </c>
      <c r="AC661" s="3">
        <v>52</v>
      </c>
      <c r="AD661" s="3">
        <v>1</v>
      </c>
      <c r="AE661" s="3">
        <v>1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2" t="s">
        <v>63</v>
      </c>
      <c r="AS661" s="2" t="s">
        <v>92</v>
      </c>
      <c r="AT661" s="5" t="str">
        <f>HYPERLINK("http://catalog.hathitrust.org/Record/002493271","HathiTrust Record")</f>
        <v>HathiTrust Record</v>
      </c>
      <c r="AU661" s="5" t="str">
        <f>HYPERLINK("https://creighton-primo.hosted.exlibrisgroup.com/primo-explore/search?tab=default_tab&amp;search_scope=EVERYTHING&amp;vid=01CRU&amp;lang=en_US&amp;offset=0&amp;query=any,contains,991001021749702656","Catalog Record")</f>
        <v>Catalog Record</v>
      </c>
      <c r="AV661" s="5" t="str">
        <f>HYPERLINK("http://www.worldcat.org/oclc/24143030","WorldCat Record")</f>
        <v>WorldCat Record</v>
      </c>
      <c r="AW661" s="2" t="s">
        <v>8289</v>
      </c>
      <c r="AX661" s="2" t="s">
        <v>8290</v>
      </c>
      <c r="AY661" s="2" t="s">
        <v>8291</v>
      </c>
      <c r="AZ661" s="2" t="s">
        <v>8291</v>
      </c>
      <c r="BA661" s="2" t="s">
        <v>8292</v>
      </c>
      <c r="BB661" s="2" t="s">
        <v>79</v>
      </c>
      <c r="BD661" s="2" t="s">
        <v>8293</v>
      </c>
      <c r="BE661" s="2" t="s">
        <v>8294</v>
      </c>
      <c r="BF661" s="2" t="s">
        <v>8295</v>
      </c>
    </row>
    <row r="662" spans="1:58" ht="46.5" customHeight="1">
      <c r="A662" s="1"/>
      <c r="B662" s="1" t="s">
        <v>58</v>
      </c>
      <c r="C662" s="1" t="s">
        <v>59</v>
      </c>
      <c r="D662" s="1" t="s">
        <v>8296</v>
      </c>
      <c r="E662" s="1" t="s">
        <v>8297</v>
      </c>
      <c r="F662" s="1" t="s">
        <v>8298</v>
      </c>
      <c r="H662" s="2" t="s">
        <v>63</v>
      </c>
      <c r="I662" s="2" t="s">
        <v>64</v>
      </c>
      <c r="J662" s="2" t="s">
        <v>63</v>
      </c>
      <c r="K662" s="2" t="s">
        <v>63</v>
      </c>
      <c r="L662" s="2" t="s">
        <v>65</v>
      </c>
      <c r="M662" s="1" t="s">
        <v>8299</v>
      </c>
      <c r="N662" s="1" t="s">
        <v>8300</v>
      </c>
      <c r="O662" s="2" t="s">
        <v>1031</v>
      </c>
      <c r="Q662" s="2" t="s">
        <v>70</v>
      </c>
      <c r="R662" s="2" t="s">
        <v>424</v>
      </c>
      <c r="T662" s="2" t="s">
        <v>72</v>
      </c>
      <c r="U662" s="3">
        <v>6</v>
      </c>
      <c r="V662" s="3">
        <v>6</v>
      </c>
      <c r="W662" s="4" t="s">
        <v>3708</v>
      </c>
      <c r="X662" s="4" t="s">
        <v>3708</v>
      </c>
      <c r="Y662" s="4" t="s">
        <v>2159</v>
      </c>
      <c r="Z662" s="4" t="s">
        <v>2159</v>
      </c>
      <c r="AA662" s="3">
        <v>108</v>
      </c>
      <c r="AB662" s="3">
        <v>74</v>
      </c>
      <c r="AC662" s="3">
        <v>74</v>
      </c>
      <c r="AD662" s="3">
        <v>2</v>
      </c>
      <c r="AE662" s="3">
        <v>2</v>
      </c>
      <c r="AF662" s="3">
        <v>4</v>
      </c>
      <c r="AG662" s="3">
        <v>4</v>
      </c>
      <c r="AH662" s="3">
        <v>1</v>
      </c>
      <c r="AI662" s="3">
        <v>1</v>
      </c>
      <c r="AJ662" s="3">
        <v>1</v>
      </c>
      <c r="AK662" s="3">
        <v>1</v>
      </c>
      <c r="AL662" s="3">
        <v>1</v>
      </c>
      <c r="AM662" s="3">
        <v>1</v>
      </c>
      <c r="AN662" s="3">
        <v>1</v>
      </c>
      <c r="AO662" s="3">
        <v>1</v>
      </c>
      <c r="AP662" s="3">
        <v>0</v>
      </c>
      <c r="AQ662" s="3">
        <v>0</v>
      </c>
      <c r="AR662" s="2" t="s">
        <v>63</v>
      </c>
      <c r="AS662" s="2" t="s">
        <v>63</v>
      </c>
      <c r="AU662" s="5" t="str">
        <f>HYPERLINK("https://creighton-primo.hosted.exlibrisgroup.com/primo-explore/search?tab=default_tab&amp;search_scope=EVERYTHING&amp;vid=01CRU&amp;lang=en_US&amp;offset=0&amp;query=any,contains,991000994449702656","Catalog Record")</f>
        <v>Catalog Record</v>
      </c>
      <c r="AV662" s="5" t="str">
        <f>HYPERLINK("http://www.worldcat.org/oclc/3481984","WorldCat Record")</f>
        <v>WorldCat Record</v>
      </c>
      <c r="AW662" s="2" t="s">
        <v>8301</v>
      </c>
      <c r="AX662" s="2" t="s">
        <v>8302</v>
      </c>
      <c r="AY662" s="2" t="s">
        <v>8303</v>
      </c>
      <c r="AZ662" s="2" t="s">
        <v>8303</v>
      </c>
      <c r="BA662" s="2" t="s">
        <v>8304</v>
      </c>
      <c r="BB662" s="2" t="s">
        <v>79</v>
      </c>
      <c r="BD662" s="2" t="s">
        <v>8305</v>
      </c>
      <c r="BE662" s="2" t="s">
        <v>8306</v>
      </c>
      <c r="BF662" s="2" t="s">
        <v>8307</v>
      </c>
    </row>
    <row r="663" spans="1:58" ht="46.5" customHeight="1">
      <c r="A663" s="1"/>
      <c r="B663" s="1" t="s">
        <v>58</v>
      </c>
      <c r="C663" s="1" t="s">
        <v>59</v>
      </c>
      <c r="D663" s="1" t="s">
        <v>8308</v>
      </c>
      <c r="E663" s="1" t="s">
        <v>8309</v>
      </c>
      <c r="F663" s="1" t="s">
        <v>8310</v>
      </c>
      <c r="H663" s="2" t="s">
        <v>63</v>
      </c>
      <c r="I663" s="2" t="s">
        <v>64</v>
      </c>
      <c r="J663" s="2" t="s">
        <v>63</v>
      </c>
      <c r="K663" s="2" t="s">
        <v>63</v>
      </c>
      <c r="L663" s="2" t="s">
        <v>65</v>
      </c>
      <c r="N663" s="1" t="s">
        <v>2210</v>
      </c>
      <c r="O663" s="2" t="s">
        <v>198</v>
      </c>
      <c r="Q663" s="2" t="s">
        <v>70</v>
      </c>
      <c r="R663" s="2" t="s">
        <v>89</v>
      </c>
      <c r="S663" s="1" t="s">
        <v>8311</v>
      </c>
      <c r="T663" s="2" t="s">
        <v>72</v>
      </c>
      <c r="U663" s="3">
        <v>2</v>
      </c>
      <c r="V663" s="3">
        <v>2</v>
      </c>
      <c r="W663" s="4" t="s">
        <v>8312</v>
      </c>
      <c r="X663" s="4" t="s">
        <v>8312</v>
      </c>
      <c r="Y663" s="4" t="s">
        <v>1754</v>
      </c>
      <c r="Z663" s="4" t="s">
        <v>1754</v>
      </c>
      <c r="AA663" s="3">
        <v>94</v>
      </c>
      <c r="AB663" s="3">
        <v>65</v>
      </c>
      <c r="AC663" s="3">
        <v>87</v>
      </c>
      <c r="AD663" s="3">
        <v>1</v>
      </c>
      <c r="AE663" s="3">
        <v>1</v>
      </c>
      <c r="AF663" s="3">
        <v>4</v>
      </c>
      <c r="AG663" s="3">
        <v>4</v>
      </c>
      <c r="AH663" s="3">
        <v>2</v>
      </c>
      <c r="AI663" s="3">
        <v>2</v>
      </c>
      <c r="AJ663" s="3">
        <v>3</v>
      </c>
      <c r="AK663" s="3">
        <v>3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2" t="s">
        <v>63</v>
      </c>
      <c r="AS663" s="2" t="s">
        <v>63</v>
      </c>
      <c r="AU663" s="5" t="str">
        <f>HYPERLINK("https://creighton-primo.hosted.exlibrisgroup.com/primo-explore/search?tab=default_tab&amp;search_scope=EVERYTHING&amp;vid=01CRU&amp;lang=en_US&amp;offset=0&amp;query=any,contains,991001021789702656","Catalog Record")</f>
        <v>Catalog Record</v>
      </c>
      <c r="AV663" s="5" t="str">
        <f>HYPERLINK("http://www.worldcat.org/oclc/23732143","WorldCat Record")</f>
        <v>WorldCat Record</v>
      </c>
      <c r="AW663" s="2" t="s">
        <v>8313</v>
      </c>
      <c r="AX663" s="2" t="s">
        <v>8314</v>
      </c>
      <c r="AY663" s="2" t="s">
        <v>8315</v>
      </c>
      <c r="AZ663" s="2" t="s">
        <v>8315</v>
      </c>
      <c r="BA663" s="2" t="s">
        <v>8316</v>
      </c>
      <c r="BB663" s="2" t="s">
        <v>79</v>
      </c>
      <c r="BD663" s="2" t="s">
        <v>8317</v>
      </c>
      <c r="BE663" s="2" t="s">
        <v>8318</v>
      </c>
      <c r="BF663" s="2" t="s">
        <v>8319</v>
      </c>
    </row>
    <row r="664" spans="1:58" ht="46.5" customHeight="1">
      <c r="A664" s="1"/>
      <c r="B664" s="1" t="s">
        <v>58</v>
      </c>
      <c r="C664" s="1" t="s">
        <v>59</v>
      </c>
      <c r="D664" s="1" t="s">
        <v>8320</v>
      </c>
      <c r="E664" s="1" t="s">
        <v>8321</v>
      </c>
      <c r="F664" s="1" t="s">
        <v>8322</v>
      </c>
      <c r="G664" s="2" t="s">
        <v>1552</v>
      </c>
      <c r="H664" s="2" t="s">
        <v>92</v>
      </c>
      <c r="I664" s="2" t="s">
        <v>64</v>
      </c>
      <c r="J664" s="2" t="s">
        <v>63</v>
      </c>
      <c r="K664" s="2" t="s">
        <v>63</v>
      </c>
      <c r="L664" s="2" t="s">
        <v>65</v>
      </c>
      <c r="N664" s="1" t="s">
        <v>8323</v>
      </c>
      <c r="O664" s="2" t="s">
        <v>423</v>
      </c>
      <c r="P664" s="1" t="s">
        <v>745</v>
      </c>
      <c r="Q664" s="2" t="s">
        <v>70</v>
      </c>
      <c r="R664" s="2" t="s">
        <v>89</v>
      </c>
      <c r="T664" s="2" t="s">
        <v>72</v>
      </c>
      <c r="U664" s="3">
        <v>4</v>
      </c>
      <c r="V664" s="3">
        <v>19</v>
      </c>
      <c r="W664" s="4" t="s">
        <v>8324</v>
      </c>
      <c r="X664" s="4" t="s">
        <v>8325</v>
      </c>
      <c r="Y664" s="4" t="s">
        <v>8326</v>
      </c>
      <c r="Z664" s="4" t="s">
        <v>8326</v>
      </c>
      <c r="AA664" s="3">
        <v>149</v>
      </c>
      <c r="AB664" s="3">
        <v>99</v>
      </c>
      <c r="AC664" s="3">
        <v>169</v>
      </c>
      <c r="AD664" s="3">
        <v>1</v>
      </c>
      <c r="AE664" s="3">
        <v>2</v>
      </c>
      <c r="AF664" s="3">
        <v>3</v>
      </c>
      <c r="AG664" s="3">
        <v>4</v>
      </c>
      <c r="AH664" s="3">
        <v>2</v>
      </c>
      <c r="AI664" s="3">
        <v>2</v>
      </c>
      <c r="AJ664" s="3">
        <v>1</v>
      </c>
      <c r="AK664" s="3">
        <v>1</v>
      </c>
      <c r="AL664" s="3">
        <v>0</v>
      </c>
      <c r="AM664" s="3">
        <v>0</v>
      </c>
      <c r="AN664" s="3">
        <v>0</v>
      </c>
      <c r="AO664" s="3">
        <v>1</v>
      </c>
      <c r="AP664" s="3">
        <v>0</v>
      </c>
      <c r="AQ664" s="3">
        <v>0</v>
      </c>
      <c r="AR664" s="2" t="s">
        <v>63</v>
      </c>
      <c r="AS664" s="2" t="s">
        <v>63</v>
      </c>
      <c r="AU664" s="5" t="str">
        <f>HYPERLINK("https://creighton-primo.hosted.exlibrisgroup.com/primo-explore/search?tab=default_tab&amp;search_scope=EVERYTHING&amp;vid=01CRU&amp;lang=en_US&amp;offset=0&amp;query=any,contains,991001031209702656","Catalog Record")</f>
        <v>Catalog Record</v>
      </c>
      <c r="AV664" s="5" t="str">
        <f>HYPERLINK("http://www.worldcat.org/oclc/19222483","WorldCat Record")</f>
        <v>WorldCat Record</v>
      </c>
      <c r="AW664" s="2" t="s">
        <v>8327</v>
      </c>
      <c r="AX664" s="2" t="s">
        <v>8328</v>
      </c>
      <c r="AY664" s="2" t="s">
        <v>8329</v>
      </c>
      <c r="AZ664" s="2" t="s">
        <v>8329</v>
      </c>
      <c r="BA664" s="2" t="s">
        <v>8330</v>
      </c>
      <c r="BB664" s="2" t="s">
        <v>79</v>
      </c>
      <c r="BD664" s="2" t="s">
        <v>8331</v>
      </c>
      <c r="BE664" s="2" t="s">
        <v>8332</v>
      </c>
      <c r="BF664" s="2" t="s">
        <v>8333</v>
      </c>
    </row>
    <row r="665" spans="1:58" ht="46.5" customHeight="1">
      <c r="A665" s="1"/>
      <c r="B665" s="1" t="s">
        <v>58</v>
      </c>
      <c r="C665" s="1" t="s">
        <v>59</v>
      </c>
      <c r="D665" s="1" t="s">
        <v>8320</v>
      </c>
      <c r="E665" s="1" t="s">
        <v>8321</v>
      </c>
      <c r="F665" s="1" t="s">
        <v>8322</v>
      </c>
      <c r="G665" s="2" t="s">
        <v>1538</v>
      </c>
      <c r="H665" s="2" t="s">
        <v>92</v>
      </c>
      <c r="I665" s="2" t="s">
        <v>64</v>
      </c>
      <c r="J665" s="2" t="s">
        <v>63</v>
      </c>
      <c r="K665" s="2" t="s">
        <v>63</v>
      </c>
      <c r="L665" s="2" t="s">
        <v>65</v>
      </c>
      <c r="N665" s="1" t="s">
        <v>8323</v>
      </c>
      <c r="O665" s="2" t="s">
        <v>423</v>
      </c>
      <c r="P665" s="1" t="s">
        <v>745</v>
      </c>
      <c r="Q665" s="2" t="s">
        <v>70</v>
      </c>
      <c r="R665" s="2" t="s">
        <v>89</v>
      </c>
      <c r="T665" s="2" t="s">
        <v>72</v>
      </c>
      <c r="U665" s="3">
        <v>6</v>
      </c>
      <c r="V665" s="3">
        <v>19</v>
      </c>
      <c r="W665" s="4" t="s">
        <v>8325</v>
      </c>
      <c r="X665" s="4" t="s">
        <v>8325</v>
      </c>
      <c r="Y665" s="4" t="s">
        <v>8326</v>
      </c>
      <c r="Z665" s="4" t="s">
        <v>8326</v>
      </c>
      <c r="AA665" s="3">
        <v>149</v>
      </c>
      <c r="AB665" s="3">
        <v>99</v>
      </c>
      <c r="AC665" s="3">
        <v>169</v>
      </c>
      <c r="AD665" s="3">
        <v>1</v>
      </c>
      <c r="AE665" s="3">
        <v>2</v>
      </c>
      <c r="AF665" s="3">
        <v>3</v>
      </c>
      <c r="AG665" s="3">
        <v>4</v>
      </c>
      <c r="AH665" s="3">
        <v>2</v>
      </c>
      <c r="AI665" s="3">
        <v>2</v>
      </c>
      <c r="AJ665" s="3">
        <v>1</v>
      </c>
      <c r="AK665" s="3">
        <v>1</v>
      </c>
      <c r="AL665" s="3">
        <v>0</v>
      </c>
      <c r="AM665" s="3">
        <v>0</v>
      </c>
      <c r="AN665" s="3">
        <v>0</v>
      </c>
      <c r="AO665" s="3">
        <v>1</v>
      </c>
      <c r="AP665" s="3">
        <v>0</v>
      </c>
      <c r="AQ665" s="3">
        <v>0</v>
      </c>
      <c r="AR665" s="2" t="s">
        <v>63</v>
      </c>
      <c r="AS665" s="2" t="s">
        <v>63</v>
      </c>
      <c r="AU665" s="5" t="str">
        <f>HYPERLINK("https://creighton-primo.hosted.exlibrisgroup.com/primo-explore/search?tab=default_tab&amp;search_scope=EVERYTHING&amp;vid=01CRU&amp;lang=en_US&amp;offset=0&amp;query=any,contains,991001031209702656","Catalog Record")</f>
        <v>Catalog Record</v>
      </c>
      <c r="AV665" s="5" t="str">
        <f>HYPERLINK("http://www.worldcat.org/oclc/19222483","WorldCat Record")</f>
        <v>WorldCat Record</v>
      </c>
      <c r="AW665" s="2" t="s">
        <v>8327</v>
      </c>
      <c r="AX665" s="2" t="s">
        <v>8328</v>
      </c>
      <c r="AY665" s="2" t="s">
        <v>8329</v>
      </c>
      <c r="AZ665" s="2" t="s">
        <v>8329</v>
      </c>
      <c r="BA665" s="2" t="s">
        <v>8330</v>
      </c>
      <c r="BB665" s="2" t="s">
        <v>79</v>
      </c>
      <c r="BD665" s="2" t="s">
        <v>8331</v>
      </c>
      <c r="BE665" s="2" t="s">
        <v>8334</v>
      </c>
      <c r="BF665" s="2" t="s">
        <v>8335</v>
      </c>
    </row>
    <row r="666" spans="1:58" ht="46.5" customHeight="1">
      <c r="A666" s="1"/>
      <c r="B666" s="1" t="s">
        <v>58</v>
      </c>
      <c r="C666" s="1" t="s">
        <v>59</v>
      </c>
      <c r="D666" s="1" t="s">
        <v>8320</v>
      </c>
      <c r="E666" s="1" t="s">
        <v>8321</v>
      </c>
      <c r="F666" s="1" t="s">
        <v>8322</v>
      </c>
      <c r="G666" s="2" t="s">
        <v>2264</v>
      </c>
      <c r="H666" s="2" t="s">
        <v>92</v>
      </c>
      <c r="I666" s="2" t="s">
        <v>64</v>
      </c>
      <c r="J666" s="2" t="s">
        <v>63</v>
      </c>
      <c r="K666" s="2" t="s">
        <v>63</v>
      </c>
      <c r="L666" s="2" t="s">
        <v>65</v>
      </c>
      <c r="N666" s="1" t="s">
        <v>8323</v>
      </c>
      <c r="O666" s="2" t="s">
        <v>423</v>
      </c>
      <c r="P666" s="1" t="s">
        <v>745</v>
      </c>
      <c r="Q666" s="2" t="s">
        <v>70</v>
      </c>
      <c r="R666" s="2" t="s">
        <v>89</v>
      </c>
      <c r="T666" s="2" t="s">
        <v>72</v>
      </c>
      <c r="U666" s="3">
        <v>9</v>
      </c>
      <c r="V666" s="3">
        <v>19</v>
      </c>
      <c r="W666" s="4" t="s">
        <v>4945</v>
      </c>
      <c r="X666" s="4" t="s">
        <v>8325</v>
      </c>
      <c r="Y666" s="4" t="s">
        <v>8326</v>
      </c>
      <c r="Z666" s="4" t="s">
        <v>8326</v>
      </c>
      <c r="AA666" s="3">
        <v>149</v>
      </c>
      <c r="AB666" s="3">
        <v>99</v>
      </c>
      <c r="AC666" s="3">
        <v>169</v>
      </c>
      <c r="AD666" s="3">
        <v>1</v>
      </c>
      <c r="AE666" s="3">
        <v>2</v>
      </c>
      <c r="AF666" s="3">
        <v>3</v>
      </c>
      <c r="AG666" s="3">
        <v>4</v>
      </c>
      <c r="AH666" s="3">
        <v>2</v>
      </c>
      <c r="AI666" s="3">
        <v>2</v>
      </c>
      <c r="AJ666" s="3">
        <v>1</v>
      </c>
      <c r="AK666" s="3">
        <v>1</v>
      </c>
      <c r="AL666" s="3">
        <v>0</v>
      </c>
      <c r="AM666" s="3">
        <v>0</v>
      </c>
      <c r="AN666" s="3">
        <v>0</v>
      </c>
      <c r="AO666" s="3">
        <v>1</v>
      </c>
      <c r="AP666" s="3">
        <v>0</v>
      </c>
      <c r="AQ666" s="3">
        <v>0</v>
      </c>
      <c r="AR666" s="2" t="s">
        <v>63</v>
      </c>
      <c r="AS666" s="2" t="s">
        <v>63</v>
      </c>
      <c r="AU666" s="5" t="str">
        <f>HYPERLINK("https://creighton-primo.hosted.exlibrisgroup.com/primo-explore/search?tab=default_tab&amp;search_scope=EVERYTHING&amp;vid=01CRU&amp;lang=en_US&amp;offset=0&amp;query=any,contains,991001031209702656","Catalog Record")</f>
        <v>Catalog Record</v>
      </c>
      <c r="AV666" s="5" t="str">
        <f>HYPERLINK("http://www.worldcat.org/oclc/19222483","WorldCat Record")</f>
        <v>WorldCat Record</v>
      </c>
      <c r="AW666" s="2" t="s">
        <v>8327</v>
      </c>
      <c r="AX666" s="2" t="s">
        <v>8328</v>
      </c>
      <c r="AY666" s="2" t="s">
        <v>8329</v>
      </c>
      <c r="AZ666" s="2" t="s">
        <v>8329</v>
      </c>
      <c r="BA666" s="2" t="s">
        <v>8330</v>
      </c>
      <c r="BB666" s="2" t="s">
        <v>79</v>
      </c>
      <c r="BD666" s="2" t="s">
        <v>8331</v>
      </c>
      <c r="BE666" s="2" t="s">
        <v>8336</v>
      </c>
      <c r="BF666" s="2" t="s">
        <v>8337</v>
      </c>
    </row>
    <row r="667" spans="1:58" ht="46.5" customHeight="1">
      <c r="A667" s="1"/>
      <c r="B667" s="1" t="s">
        <v>58</v>
      </c>
      <c r="C667" s="1" t="s">
        <v>59</v>
      </c>
      <c r="D667" s="1" t="s">
        <v>8338</v>
      </c>
      <c r="E667" s="1" t="s">
        <v>8339</v>
      </c>
      <c r="F667" s="1" t="s">
        <v>8340</v>
      </c>
      <c r="H667" s="2" t="s">
        <v>63</v>
      </c>
      <c r="I667" s="2" t="s">
        <v>64</v>
      </c>
      <c r="J667" s="2" t="s">
        <v>63</v>
      </c>
      <c r="K667" s="2" t="s">
        <v>63</v>
      </c>
      <c r="L667" s="2" t="s">
        <v>65</v>
      </c>
      <c r="N667" s="1" t="s">
        <v>8341</v>
      </c>
      <c r="O667" s="2" t="s">
        <v>608</v>
      </c>
      <c r="Q667" s="2" t="s">
        <v>70</v>
      </c>
      <c r="R667" s="2" t="s">
        <v>277</v>
      </c>
      <c r="S667" s="1" t="s">
        <v>8342</v>
      </c>
      <c r="T667" s="2" t="s">
        <v>72</v>
      </c>
      <c r="U667" s="3">
        <v>7</v>
      </c>
      <c r="V667" s="3">
        <v>7</v>
      </c>
      <c r="W667" s="4" t="s">
        <v>8343</v>
      </c>
      <c r="X667" s="4" t="s">
        <v>8343</v>
      </c>
      <c r="Y667" s="4" t="s">
        <v>4711</v>
      </c>
      <c r="Z667" s="4" t="s">
        <v>4711</v>
      </c>
      <c r="AA667" s="3">
        <v>108</v>
      </c>
      <c r="AB667" s="3">
        <v>80</v>
      </c>
      <c r="AC667" s="3">
        <v>88</v>
      </c>
      <c r="AD667" s="3">
        <v>1</v>
      </c>
      <c r="AE667" s="3">
        <v>1</v>
      </c>
      <c r="AF667" s="3">
        <v>1</v>
      </c>
      <c r="AG667" s="3">
        <v>1</v>
      </c>
      <c r="AH667" s="3">
        <v>0</v>
      </c>
      <c r="AI667" s="3">
        <v>0</v>
      </c>
      <c r="AJ667" s="3">
        <v>1</v>
      </c>
      <c r="AK667" s="3">
        <v>1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2" t="s">
        <v>63</v>
      </c>
      <c r="AS667" s="2" t="s">
        <v>63</v>
      </c>
      <c r="AU667" s="5" t="str">
        <f>HYPERLINK("https://creighton-primo.hosted.exlibrisgroup.com/primo-explore/search?tab=default_tab&amp;search_scope=EVERYTHING&amp;vid=01CRU&amp;lang=en_US&amp;offset=0&amp;query=any,contains,991000668849702656","Catalog Record")</f>
        <v>Catalog Record</v>
      </c>
      <c r="AV667" s="5" t="str">
        <f>HYPERLINK("http://www.worldcat.org/oclc/28020024","WorldCat Record")</f>
        <v>WorldCat Record</v>
      </c>
      <c r="AW667" s="2" t="s">
        <v>8344</v>
      </c>
      <c r="AX667" s="2" t="s">
        <v>8345</v>
      </c>
      <c r="AY667" s="2" t="s">
        <v>8346</v>
      </c>
      <c r="AZ667" s="2" t="s">
        <v>8346</v>
      </c>
      <c r="BA667" s="2" t="s">
        <v>8347</v>
      </c>
      <c r="BB667" s="2" t="s">
        <v>79</v>
      </c>
      <c r="BD667" s="2" t="s">
        <v>8348</v>
      </c>
      <c r="BE667" s="2" t="s">
        <v>8349</v>
      </c>
      <c r="BF667" s="2" t="s">
        <v>8350</v>
      </c>
    </row>
    <row r="668" spans="1:58" ht="46.5" customHeight="1">
      <c r="A668" s="1"/>
      <c r="B668" s="1" t="s">
        <v>58</v>
      </c>
      <c r="C668" s="1" t="s">
        <v>59</v>
      </c>
      <c r="D668" s="1" t="s">
        <v>8351</v>
      </c>
      <c r="E668" s="1" t="s">
        <v>8352</v>
      </c>
      <c r="F668" s="1" t="s">
        <v>8353</v>
      </c>
      <c r="H668" s="2" t="s">
        <v>63</v>
      </c>
      <c r="I668" s="2" t="s">
        <v>64</v>
      </c>
      <c r="J668" s="2" t="s">
        <v>63</v>
      </c>
      <c r="K668" s="2" t="s">
        <v>63</v>
      </c>
      <c r="L668" s="2" t="s">
        <v>65</v>
      </c>
      <c r="N668" s="1" t="s">
        <v>2224</v>
      </c>
      <c r="O668" s="2" t="s">
        <v>362</v>
      </c>
      <c r="Q668" s="2" t="s">
        <v>70</v>
      </c>
      <c r="R668" s="2" t="s">
        <v>1541</v>
      </c>
      <c r="S668" s="1" t="s">
        <v>8354</v>
      </c>
      <c r="T668" s="2" t="s">
        <v>72</v>
      </c>
      <c r="U668" s="3">
        <v>12</v>
      </c>
      <c r="V668" s="3">
        <v>12</v>
      </c>
      <c r="W668" s="4" t="s">
        <v>8355</v>
      </c>
      <c r="X668" s="4" t="s">
        <v>8355</v>
      </c>
      <c r="Y668" s="4" t="s">
        <v>8356</v>
      </c>
      <c r="Z668" s="4" t="s">
        <v>8356</v>
      </c>
      <c r="AA668" s="3">
        <v>102</v>
      </c>
      <c r="AB668" s="3">
        <v>66</v>
      </c>
      <c r="AC668" s="3">
        <v>97</v>
      </c>
      <c r="AD668" s="3">
        <v>2</v>
      </c>
      <c r="AE668" s="3">
        <v>2</v>
      </c>
      <c r="AF668" s="3">
        <v>3</v>
      </c>
      <c r="AG668" s="3">
        <v>3</v>
      </c>
      <c r="AH668" s="3">
        <v>1</v>
      </c>
      <c r="AI668" s="3">
        <v>1</v>
      </c>
      <c r="AJ668" s="3">
        <v>2</v>
      </c>
      <c r="AK668" s="3">
        <v>2</v>
      </c>
      <c r="AL668" s="3">
        <v>0</v>
      </c>
      <c r="AM668" s="3">
        <v>0</v>
      </c>
      <c r="AN668" s="3">
        <v>1</v>
      </c>
      <c r="AO668" s="3">
        <v>1</v>
      </c>
      <c r="AP668" s="3">
        <v>0</v>
      </c>
      <c r="AQ668" s="3">
        <v>0</v>
      </c>
      <c r="AR668" s="2" t="s">
        <v>63</v>
      </c>
      <c r="AS668" s="2" t="s">
        <v>63</v>
      </c>
      <c r="AU668" s="5" t="str">
        <f>HYPERLINK("https://creighton-primo.hosted.exlibrisgroup.com/primo-explore/search?tab=default_tab&amp;search_scope=EVERYTHING&amp;vid=01CRU&amp;lang=en_US&amp;offset=0&amp;query=any,contains,991000476849702656","Catalog Record")</f>
        <v>Catalog Record</v>
      </c>
      <c r="AV668" s="5" t="str">
        <f>HYPERLINK("http://www.worldcat.org/oclc/60565344","WorldCat Record")</f>
        <v>WorldCat Record</v>
      </c>
      <c r="AW668" s="2" t="s">
        <v>8357</v>
      </c>
      <c r="AX668" s="2" t="s">
        <v>8358</v>
      </c>
      <c r="AY668" s="2" t="s">
        <v>8359</v>
      </c>
      <c r="AZ668" s="2" t="s">
        <v>8359</v>
      </c>
      <c r="BA668" s="2" t="s">
        <v>8360</v>
      </c>
      <c r="BB668" s="2" t="s">
        <v>79</v>
      </c>
      <c r="BD668" s="2" t="s">
        <v>8361</v>
      </c>
      <c r="BE668" s="2" t="s">
        <v>8362</v>
      </c>
      <c r="BF668" s="2" t="s">
        <v>8363</v>
      </c>
    </row>
    <row r="669" spans="1:58" ht="46.5" customHeight="1">
      <c r="A669" s="1"/>
      <c r="B669" s="1" t="s">
        <v>58</v>
      </c>
      <c r="C669" s="1" t="s">
        <v>59</v>
      </c>
      <c r="D669" s="1" t="s">
        <v>8364</v>
      </c>
      <c r="E669" s="1" t="s">
        <v>8365</v>
      </c>
      <c r="F669" s="1" t="s">
        <v>8366</v>
      </c>
      <c r="H669" s="2" t="s">
        <v>63</v>
      </c>
      <c r="I669" s="2" t="s">
        <v>64</v>
      </c>
      <c r="J669" s="2" t="s">
        <v>63</v>
      </c>
      <c r="K669" s="2" t="s">
        <v>63</v>
      </c>
      <c r="L669" s="2" t="s">
        <v>65</v>
      </c>
      <c r="N669" s="1" t="s">
        <v>1923</v>
      </c>
      <c r="O669" s="2" t="s">
        <v>407</v>
      </c>
      <c r="Q669" s="2" t="s">
        <v>70</v>
      </c>
      <c r="R669" s="2" t="s">
        <v>377</v>
      </c>
      <c r="S669" s="1" t="s">
        <v>8367</v>
      </c>
      <c r="T669" s="2" t="s">
        <v>72</v>
      </c>
      <c r="U669" s="3">
        <v>7</v>
      </c>
      <c r="V669" s="3">
        <v>7</v>
      </c>
      <c r="W669" s="4" t="s">
        <v>542</v>
      </c>
      <c r="X669" s="4" t="s">
        <v>542</v>
      </c>
      <c r="Y669" s="4" t="s">
        <v>8368</v>
      </c>
      <c r="Z669" s="4" t="s">
        <v>8368</v>
      </c>
      <c r="AA669" s="3">
        <v>67</v>
      </c>
      <c r="AB669" s="3">
        <v>30</v>
      </c>
      <c r="AC669" s="3">
        <v>77</v>
      </c>
      <c r="AD669" s="3">
        <v>1</v>
      </c>
      <c r="AE669" s="3">
        <v>1</v>
      </c>
      <c r="AF669" s="3">
        <v>1</v>
      </c>
      <c r="AG669" s="3">
        <v>4</v>
      </c>
      <c r="AH669" s="3">
        <v>1</v>
      </c>
      <c r="AI669" s="3">
        <v>3</v>
      </c>
      <c r="AJ669" s="3">
        <v>0</v>
      </c>
      <c r="AK669" s="3">
        <v>2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2" t="s">
        <v>63</v>
      </c>
      <c r="AS669" s="2" t="s">
        <v>92</v>
      </c>
      <c r="AT669" s="5" t="str">
        <f>HYPERLINK("http://catalog.hathitrust.org/Record/002229555","HathiTrust Record")</f>
        <v>HathiTrust Record</v>
      </c>
      <c r="AU669" s="5" t="str">
        <f>HYPERLINK("https://creighton-primo.hosted.exlibrisgroup.com/primo-explore/search?tab=default_tab&amp;search_scope=EVERYTHING&amp;vid=01CRU&amp;lang=en_US&amp;offset=0&amp;query=any,contains,991000816209702656","Catalog Record")</f>
        <v>Catalog Record</v>
      </c>
      <c r="AV669" s="5" t="str">
        <f>HYPERLINK("http://www.worldcat.org/oclc/21299168","WorldCat Record")</f>
        <v>WorldCat Record</v>
      </c>
      <c r="AW669" s="2" t="s">
        <v>8369</v>
      </c>
      <c r="AX669" s="2" t="s">
        <v>8370</v>
      </c>
      <c r="AY669" s="2" t="s">
        <v>8371</v>
      </c>
      <c r="AZ669" s="2" t="s">
        <v>8371</v>
      </c>
      <c r="BA669" s="2" t="s">
        <v>8372</v>
      </c>
      <c r="BB669" s="2" t="s">
        <v>79</v>
      </c>
      <c r="BD669" s="2" t="s">
        <v>8373</v>
      </c>
      <c r="BE669" s="2" t="s">
        <v>8374</v>
      </c>
      <c r="BF669" s="2" t="s">
        <v>8375</v>
      </c>
    </row>
    <row r="670" spans="1:58" ht="46.5" customHeight="1">
      <c r="A670" s="1"/>
      <c r="B670" s="1" t="s">
        <v>58</v>
      </c>
      <c r="C670" s="1" t="s">
        <v>59</v>
      </c>
      <c r="D670" s="1" t="s">
        <v>8376</v>
      </c>
      <c r="E670" s="1" t="s">
        <v>8377</v>
      </c>
      <c r="F670" s="1" t="s">
        <v>8378</v>
      </c>
      <c r="H670" s="2" t="s">
        <v>63</v>
      </c>
      <c r="I670" s="2" t="s">
        <v>64</v>
      </c>
      <c r="J670" s="2" t="s">
        <v>63</v>
      </c>
      <c r="K670" s="2" t="s">
        <v>63</v>
      </c>
      <c r="L670" s="2" t="s">
        <v>65</v>
      </c>
      <c r="M670" s="1" t="s">
        <v>8379</v>
      </c>
      <c r="N670" s="1" t="s">
        <v>8380</v>
      </c>
      <c r="O670" s="2" t="s">
        <v>5630</v>
      </c>
      <c r="Q670" s="2" t="s">
        <v>70</v>
      </c>
      <c r="R670" s="2" t="s">
        <v>89</v>
      </c>
      <c r="T670" s="2" t="s">
        <v>72</v>
      </c>
      <c r="U670" s="3">
        <v>5</v>
      </c>
      <c r="V670" s="3">
        <v>5</v>
      </c>
      <c r="W670" s="4" t="s">
        <v>8191</v>
      </c>
      <c r="X670" s="4" t="s">
        <v>8191</v>
      </c>
      <c r="Y670" s="4" t="s">
        <v>2159</v>
      </c>
      <c r="Z670" s="4" t="s">
        <v>2159</v>
      </c>
      <c r="AA670" s="3">
        <v>28</v>
      </c>
      <c r="AB670" s="3">
        <v>26</v>
      </c>
      <c r="AC670" s="3">
        <v>75</v>
      </c>
      <c r="AD670" s="3">
        <v>1</v>
      </c>
      <c r="AE670" s="3">
        <v>2</v>
      </c>
      <c r="AF670" s="3">
        <v>1</v>
      </c>
      <c r="AG670" s="3">
        <v>3</v>
      </c>
      <c r="AH670" s="3">
        <v>1</v>
      </c>
      <c r="AI670" s="3">
        <v>1</v>
      </c>
      <c r="AJ670" s="3">
        <v>0</v>
      </c>
      <c r="AK670" s="3">
        <v>1</v>
      </c>
      <c r="AL670" s="3">
        <v>0</v>
      </c>
      <c r="AM670" s="3">
        <v>0</v>
      </c>
      <c r="AN670" s="3">
        <v>0</v>
      </c>
      <c r="AO670" s="3">
        <v>1</v>
      </c>
      <c r="AP670" s="3">
        <v>0</v>
      </c>
      <c r="AQ670" s="3">
        <v>0</v>
      </c>
      <c r="AR670" s="2" t="s">
        <v>63</v>
      </c>
      <c r="AS670" s="2" t="s">
        <v>63</v>
      </c>
      <c r="AU670" s="5" t="str">
        <f>HYPERLINK("https://creighton-primo.hosted.exlibrisgroup.com/primo-explore/search?tab=default_tab&amp;search_scope=EVERYTHING&amp;vid=01CRU&amp;lang=en_US&amp;offset=0&amp;query=any,contains,991000994409702656","Catalog Record")</f>
        <v>Catalog Record</v>
      </c>
      <c r="AV670" s="5" t="str">
        <f>HYPERLINK("http://www.worldcat.org/oclc/633698","WorldCat Record")</f>
        <v>WorldCat Record</v>
      </c>
      <c r="AW670" s="2" t="s">
        <v>8381</v>
      </c>
      <c r="AX670" s="2" t="s">
        <v>8382</v>
      </c>
      <c r="AY670" s="2" t="s">
        <v>8383</v>
      </c>
      <c r="AZ670" s="2" t="s">
        <v>8383</v>
      </c>
      <c r="BA670" s="2" t="s">
        <v>8384</v>
      </c>
      <c r="BB670" s="2" t="s">
        <v>79</v>
      </c>
      <c r="BE670" s="2" t="s">
        <v>8385</v>
      </c>
      <c r="BF670" s="2" t="s">
        <v>8386</v>
      </c>
    </row>
    <row r="671" spans="1:58" ht="46.5" customHeight="1">
      <c r="A671" s="1"/>
      <c r="B671" s="1" t="s">
        <v>58</v>
      </c>
      <c r="C671" s="1" t="s">
        <v>59</v>
      </c>
      <c r="D671" s="1" t="s">
        <v>8387</v>
      </c>
      <c r="E671" s="1" t="s">
        <v>8388</v>
      </c>
      <c r="F671" s="1" t="s">
        <v>8389</v>
      </c>
      <c r="H671" s="2" t="s">
        <v>63</v>
      </c>
      <c r="I671" s="2" t="s">
        <v>64</v>
      </c>
      <c r="J671" s="2" t="s">
        <v>63</v>
      </c>
      <c r="K671" s="2" t="s">
        <v>63</v>
      </c>
      <c r="L671" s="2" t="s">
        <v>65</v>
      </c>
      <c r="N671" s="1" t="s">
        <v>8390</v>
      </c>
      <c r="O671" s="2" t="s">
        <v>718</v>
      </c>
      <c r="Q671" s="2" t="s">
        <v>70</v>
      </c>
      <c r="R671" s="2" t="s">
        <v>277</v>
      </c>
      <c r="S671" s="1" t="s">
        <v>8391</v>
      </c>
      <c r="T671" s="2" t="s">
        <v>72</v>
      </c>
      <c r="U671" s="3">
        <v>11</v>
      </c>
      <c r="V671" s="3">
        <v>11</v>
      </c>
      <c r="W671" s="4" t="s">
        <v>1032</v>
      </c>
      <c r="X671" s="4" t="s">
        <v>1032</v>
      </c>
      <c r="Y671" s="4" t="s">
        <v>2159</v>
      </c>
      <c r="Z671" s="4" t="s">
        <v>2159</v>
      </c>
      <c r="AA671" s="3">
        <v>157</v>
      </c>
      <c r="AB671" s="3">
        <v>97</v>
      </c>
      <c r="AC671" s="3">
        <v>99</v>
      </c>
      <c r="AD671" s="3">
        <v>1</v>
      </c>
      <c r="AE671" s="3">
        <v>1</v>
      </c>
      <c r="AF671" s="3">
        <v>3</v>
      </c>
      <c r="AG671" s="3">
        <v>3</v>
      </c>
      <c r="AH671" s="3">
        <v>3</v>
      </c>
      <c r="AI671" s="3">
        <v>3</v>
      </c>
      <c r="AJ671" s="3">
        <v>1</v>
      </c>
      <c r="AK671" s="3">
        <v>1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2" t="s">
        <v>63</v>
      </c>
      <c r="AS671" s="2" t="s">
        <v>92</v>
      </c>
      <c r="AT671" s="5" t="str">
        <f>HYPERLINK("http://catalog.hathitrust.org/Record/000255946","HathiTrust Record")</f>
        <v>HathiTrust Record</v>
      </c>
      <c r="AU671" s="5" t="str">
        <f>HYPERLINK("https://creighton-primo.hosted.exlibrisgroup.com/primo-explore/search?tab=default_tab&amp;search_scope=EVERYTHING&amp;vid=01CRU&amp;lang=en_US&amp;offset=0&amp;query=any,contains,991000994359702656","Catalog Record")</f>
        <v>Catalog Record</v>
      </c>
      <c r="AV671" s="5" t="str">
        <f>HYPERLINK("http://www.worldcat.org/oclc/4494288","WorldCat Record")</f>
        <v>WorldCat Record</v>
      </c>
      <c r="AW671" s="2" t="s">
        <v>8392</v>
      </c>
      <c r="AX671" s="2" t="s">
        <v>8393</v>
      </c>
      <c r="AY671" s="2" t="s">
        <v>8394</v>
      </c>
      <c r="AZ671" s="2" t="s">
        <v>8394</v>
      </c>
      <c r="BA671" s="2" t="s">
        <v>8395</v>
      </c>
      <c r="BB671" s="2" t="s">
        <v>79</v>
      </c>
      <c r="BD671" s="2" t="s">
        <v>8396</v>
      </c>
      <c r="BE671" s="2" t="s">
        <v>8397</v>
      </c>
      <c r="BF671" s="2" t="s">
        <v>8398</v>
      </c>
    </row>
    <row r="672" spans="1:58" ht="46.5" customHeight="1">
      <c r="A672" s="1"/>
      <c r="B672" s="1" t="s">
        <v>58</v>
      </c>
      <c r="C672" s="1" t="s">
        <v>59</v>
      </c>
      <c r="D672" s="1" t="s">
        <v>8399</v>
      </c>
      <c r="E672" s="1" t="s">
        <v>8400</v>
      </c>
      <c r="F672" s="1" t="s">
        <v>8401</v>
      </c>
      <c r="H672" s="2" t="s">
        <v>63</v>
      </c>
      <c r="I672" s="2" t="s">
        <v>64</v>
      </c>
      <c r="J672" s="2" t="s">
        <v>63</v>
      </c>
      <c r="K672" s="2" t="s">
        <v>63</v>
      </c>
      <c r="L672" s="2" t="s">
        <v>65</v>
      </c>
      <c r="M672" s="1" t="s">
        <v>8402</v>
      </c>
      <c r="N672" s="1" t="s">
        <v>8403</v>
      </c>
      <c r="O672" s="2" t="s">
        <v>8404</v>
      </c>
      <c r="Q672" s="2" t="s">
        <v>70</v>
      </c>
      <c r="R672" s="2" t="s">
        <v>89</v>
      </c>
      <c r="T672" s="2" t="s">
        <v>72</v>
      </c>
      <c r="U672" s="3">
        <v>1</v>
      </c>
      <c r="V672" s="3">
        <v>1</v>
      </c>
      <c r="W672" s="4" t="s">
        <v>7661</v>
      </c>
      <c r="X672" s="4" t="s">
        <v>7661</v>
      </c>
      <c r="Y672" s="4" t="s">
        <v>2159</v>
      </c>
      <c r="Z672" s="4" t="s">
        <v>2159</v>
      </c>
      <c r="AA672" s="3">
        <v>11</v>
      </c>
      <c r="AB672" s="3">
        <v>11</v>
      </c>
      <c r="AC672" s="3">
        <v>34</v>
      </c>
      <c r="AD672" s="3">
        <v>1</v>
      </c>
      <c r="AE672" s="3">
        <v>1</v>
      </c>
      <c r="AF672" s="3">
        <v>0</v>
      </c>
      <c r="AG672" s="3">
        <v>1</v>
      </c>
      <c r="AH672" s="3">
        <v>0</v>
      </c>
      <c r="AI672" s="3">
        <v>1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2" t="s">
        <v>63</v>
      </c>
      <c r="AS672" s="2" t="s">
        <v>63</v>
      </c>
      <c r="AU672" s="5" t="str">
        <f>HYPERLINK("https://creighton-primo.hosted.exlibrisgroup.com/primo-explore/search?tab=default_tab&amp;search_scope=EVERYTHING&amp;vid=01CRU&amp;lang=en_US&amp;offset=0&amp;query=any,contains,991000994969702656","Catalog Record")</f>
        <v>Catalog Record</v>
      </c>
      <c r="AV672" s="5" t="str">
        <f>HYPERLINK("http://www.worldcat.org/oclc/2625679","WorldCat Record")</f>
        <v>WorldCat Record</v>
      </c>
      <c r="AW672" s="2" t="s">
        <v>8405</v>
      </c>
      <c r="AX672" s="2" t="s">
        <v>8406</v>
      </c>
      <c r="AY672" s="2" t="s">
        <v>8407</v>
      </c>
      <c r="AZ672" s="2" t="s">
        <v>8407</v>
      </c>
      <c r="BA672" s="2" t="s">
        <v>8408</v>
      </c>
      <c r="BB672" s="2" t="s">
        <v>79</v>
      </c>
      <c r="BE672" s="2" t="s">
        <v>8409</v>
      </c>
      <c r="BF672" s="2" t="s">
        <v>8410</v>
      </c>
    </row>
    <row r="673" spans="1:58" ht="46.5" customHeight="1">
      <c r="A673" s="1"/>
      <c r="B673" s="1" t="s">
        <v>58</v>
      </c>
      <c r="C673" s="1" t="s">
        <v>59</v>
      </c>
      <c r="D673" s="1" t="s">
        <v>8411</v>
      </c>
      <c r="E673" s="1" t="s">
        <v>8412</v>
      </c>
      <c r="F673" s="1" t="s">
        <v>8413</v>
      </c>
      <c r="H673" s="2" t="s">
        <v>63</v>
      </c>
      <c r="I673" s="2" t="s">
        <v>64</v>
      </c>
      <c r="J673" s="2" t="s">
        <v>63</v>
      </c>
      <c r="K673" s="2" t="s">
        <v>63</v>
      </c>
      <c r="L673" s="2" t="s">
        <v>65</v>
      </c>
      <c r="N673" s="1" t="s">
        <v>8414</v>
      </c>
      <c r="O673" s="2" t="s">
        <v>1884</v>
      </c>
      <c r="Q673" s="2" t="s">
        <v>70</v>
      </c>
      <c r="R673" s="2" t="s">
        <v>377</v>
      </c>
      <c r="T673" s="2" t="s">
        <v>72</v>
      </c>
      <c r="U673" s="3">
        <v>4</v>
      </c>
      <c r="V673" s="3">
        <v>4</v>
      </c>
      <c r="W673" s="4" t="s">
        <v>5655</v>
      </c>
      <c r="X673" s="4" t="s">
        <v>5655</v>
      </c>
      <c r="Y673" s="4" t="s">
        <v>8415</v>
      </c>
      <c r="Z673" s="4" t="s">
        <v>8415</v>
      </c>
      <c r="AA673" s="3">
        <v>199</v>
      </c>
      <c r="AB673" s="3">
        <v>152</v>
      </c>
      <c r="AC673" s="3">
        <v>218</v>
      </c>
      <c r="AD673" s="3">
        <v>2</v>
      </c>
      <c r="AE673" s="3">
        <v>2</v>
      </c>
      <c r="AF673" s="3">
        <v>4</v>
      </c>
      <c r="AG673" s="3">
        <v>6</v>
      </c>
      <c r="AH673" s="3">
        <v>1</v>
      </c>
      <c r="AI673" s="3">
        <v>2</v>
      </c>
      <c r="AJ673" s="3">
        <v>2</v>
      </c>
      <c r="AK673" s="3">
        <v>3</v>
      </c>
      <c r="AL673" s="3">
        <v>0</v>
      </c>
      <c r="AM673" s="3">
        <v>0</v>
      </c>
      <c r="AN673" s="3">
        <v>1</v>
      </c>
      <c r="AO673" s="3">
        <v>1</v>
      </c>
      <c r="AP673" s="3">
        <v>0</v>
      </c>
      <c r="AQ673" s="3">
        <v>0</v>
      </c>
      <c r="AR673" s="2" t="s">
        <v>63</v>
      </c>
      <c r="AS673" s="2" t="s">
        <v>92</v>
      </c>
      <c r="AT673" s="5" t="str">
        <f>HYPERLINK("http://catalog.hathitrust.org/Record/004074964","HathiTrust Record")</f>
        <v>HathiTrust Record</v>
      </c>
      <c r="AU673" s="5" t="str">
        <f>HYPERLINK("https://creighton-primo.hosted.exlibrisgroup.com/primo-explore/search?tab=default_tab&amp;search_scope=EVERYTHING&amp;vid=01CRU&amp;lang=en_US&amp;offset=0&amp;query=any,contains,991001442959702656","Catalog Record")</f>
        <v>Catalog Record</v>
      </c>
      <c r="AV673" s="5" t="str">
        <f>HYPERLINK("http://www.worldcat.org/oclc/42214730","WorldCat Record")</f>
        <v>WorldCat Record</v>
      </c>
      <c r="AW673" s="2" t="s">
        <v>8416</v>
      </c>
      <c r="AX673" s="2" t="s">
        <v>8417</v>
      </c>
      <c r="AY673" s="2" t="s">
        <v>8418</v>
      </c>
      <c r="AZ673" s="2" t="s">
        <v>8418</v>
      </c>
      <c r="BA673" s="2" t="s">
        <v>8419</v>
      </c>
      <c r="BB673" s="2" t="s">
        <v>79</v>
      </c>
      <c r="BD673" s="2" t="s">
        <v>8420</v>
      </c>
      <c r="BE673" s="2" t="s">
        <v>8421</v>
      </c>
      <c r="BF673" s="2" t="s">
        <v>8422</v>
      </c>
    </row>
    <row r="674" spans="1:58" ht="46.5" customHeight="1">
      <c r="A674" s="1"/>
      <c r="B674" s="1" t="s">
        <v>58</v>
      </c>
      <c r="C674" s="1" t="s">
        <v>59</v>
      </c>
      <c r="D674" s="1" t="s">
        <v>8423</v>
      </c>
      <c r="E674" s="1" t="s">
        <v>8424</v>
      </c>
      <c r="F674" s="1" t="s">
        <v>8425</v>
      </c>
      <c r="H674" s="2" t="s">
        <v>63</v>
      </c>
      <c r="I674" s="2" t="s">
        <v>64</v>
      </c>
      <c r="J674" s="2" t="s">
        <v>63</v>
      </c>
      <c r="K674" s="2" t="s">
        <v>63</v>
      </c>
      <c r="L674" s="2" t="s">
        <v>65</v>
      </c>
      <c r="N674" s="1" t="s">
        <v>5423</v>
      </c>
      <c r="O674" s="2" t="s">
        <v>554</v>
      </c>
      <c r="Q674" s="2" t="s">
        <v>70</v>
      </c>
      <c r="R674" s="2" t="s">
        <v>322</v>
      </c>
      <c r="T674" s="2" t="s">
        <v>72</v>
      </c>
      <c r="U674" s="3">
        <v>17</v>
      </c>
      <c r="V674" s="3">
        <v>17</v>
      </c>
      <c r="W674" s="4" t="s">
        <v>3166</v>
      </c>
      <c r="X674" s="4" t="s">
        <v>3166</v>
      </c>
      <c r="Y674" s="4" t="s">
        <v>8426</v>
      </c>
      <c r="Z674" s="4" t="s">
        <v>8426</v>
      </c>
      <c r="AA674" s="3">
        <v>222</v>
      </c>
      <c r="AB674" s="3">
        <v>161</v>
      </c>
      <c r="AC674" s="3">
        <v>210</v>
      </c>
      <c r="AD674" s="3">
        <v>2</v>
      </c>
      <c r="AE674" s="3">
        <v>2</v>
      </c>
      <c r="AF674" s="3">
        <v>6</v>
      </c>
      <c r="AG674" s="3">
        <v>7</v>
      </c>
      <c r="AH674" s="3">
        <v>2</v>
      </c>
      <c r="AI674" s="3">
        <v>3</v>
      </c>
      <c r="AJ674" s="3">
        <v>2</v>
      </c>
      <c r="AK674" s="3">
        <v>2</v>
      </c>
      <c r="AL674" s="3">
        <v>2</v>
      </c>
      <c r="AM674" s="3">
        <v>2</v>
      </c>
      <c r="AN674" s="3">
        <v>1</v>
      </c>
      <c r="AO674" s="3">
        <v>1</v>
      </c>
      <c r="AP674" s="3">
        <v>0</v>
      </c>
      <c r="AQ674" s="3">
        <v>0</v>
      </c>
      <c r="AR674" s="2" t="s">
        <v>63</v>
      </c>
      <c r="AS674" s="2" t="s">
        <v>92</v>
      </c>
      <c r="AT674" s="5" t="str">
        <f>HYPERLINK("http://catalog.hathitrust.org/Record/002891946","HathiTrust Record")</f>
        <v>HathiTrust Record</v>
      </c>
      <c r="AU674" s="5" t="str">
        <f>HYPERLINK("https://creighton-primo.hosted.exlibrisgroup.com/primo-explore/search?tab=default_tab&amp;search_scope=EVERYTHING&amp;vid=01CRU&amp;lang=en_US&amp;offset=0&amp;query=any,contains,991001396329702656","Catalog Record")</f>
        <v>Catalog Record</v>
      </c>
      <c r="AV674" s="5" t="str">
        <f>HYPERLINK("http://www.worldcat.org/oclc/30031896","WorldCat Record")</f>
        <v>WorldCat Record</v>
      </c>
      <c r="AW674" s="2" t="s">
        <v>8427</v>
      </c>
      <c r="AX674" s="2" t="s">
        <v>8428</v>
      </c>
      <c r="AY674" s="2" t="s">
        <v>8429</v>
      </c>
      <c r="AZ674" s="2" t="s">
        <v>8429</v>
      </c>
      <c r="BA674" s="2" t="s">
        <v>8430</v>
      </c>
      <c r="BB674" s="2" t="s">
        <v>79</v>
      </c>
      <c r="BD674" s="2" t="s">
        <v>8431</v>
      </c>
      <c r="BE674" s="2" t="s">
        <v>8432</v>
      </c>
      <c r="BF674" s="2" t="s">
        <v>8433</v>
      </c>
    </row>
    <row r="675" spans="1:58" ht="46.5" customHeight="1">
      <c r="A675" s="1"/>
      <c r="B675" s="1" t="s">
        <v>58</v>
      </c>
      <c r="C675" s="1" t="s">
        <v>59</v>
      </c>
      <c r="D675" s="1" t="s">
        <v>8434</v>
      </c>
      <c r="E675" s="1" t="s">
        <v>8435</v>
      </c>
      <c r="F675" s="1" t="s">
        <v>8436</v>
      </c>
      <c r="H675" s="2" t="s">
        <v>63</v>
      </c>
      <c r="I675" s="2" t="s">
        <v>64</v>
      </c>
      <c r="J675" s="2" t="s">
        <v>63</v>
      </c>
      <c r="K675" s="2" t="s">
        <v>63</v>
      </c>
      <c r="L675" s="2" t="s">
        <v>65</v>
      </c>
      <c r="M675" s="1" t="s">
        <v>8437</v>
      </c>
      <c r="N675" s="1" t="s">
        <v>8438</v>
      </c>
      <c r="O675" s="2" t="s">
        <v>292</v>
      </c>
      <c r="P675" s="1" t="s">
        <v>157</v>
      </c>
      <c r="Q675" s="2" t="s">
        <v>70</v>
      </c>
      <c r="R675" s="2" t="s">
        <v>89</v>
      </c>
      <c r="T675" s="2" t="s">
        <v>72</v>
      </c>
      <c r="U675" s="3">
        <v>2</v>
      </c>
      <c r="V675" s="3">
        <v>2</v>
      </c>
      <c r="W675" s="4" t="s">
        <v>8439</v>
      </c>
      <c r="X675" s="4" t="s">
        <v>8439</v>
      </c>
      <c r="Y675" s="4" t="s">
        <v>4849</v>
      </c>
      <c r="Z675" s="4" t="s">
        <v>4849</v>
      </c>
      <c r="AA675" s="3">
        <v>247</v>
      </c>
      <c r="AB675" s="3">
        <v>188</v>
      </c>
      <c r="AC675" s="3">
        <v>473</v>
      </c>
      <c r="AD675" s="3">
        <v>1</v>
      </c>
      <c r="AE675" s="3">
        <v>4</v>
      </c>
      <c r="AF675" s="3">
        <v>0</v>
      </c>
      <c r="AG675" s="3">
        <v>12</v>
      </c>
      <c r="AH675" s="3">
        <v>0</v>
      </c>
      <c r="AI675" s="3">
        <v>1</v>
      </c>
      <c r="AJ675" s="3">
        <v>0</v>
      </c>
      <c r="AK675" s="3">
        <v>3</v>
      </c>
      <c r="AL675" s="3">
        <v>0</v>
      </c>
      <c r="AM675" s="3">
        <v>5</v>
      </c>
      <c r="AN675" s="3">
        <v>0</v>
      </c>
      <c r="AO675" s="3">
        <v>3</v>
      </c>
      <c r="AP675" s="3">
        <v>0</v>
      </c>
      <c r="AQ675" s="3">
        <v>0</v>
      </c>
      <c r="AR675" s="2" t="s">
        <v>63</v>
      </c>
      <c r="AS675" s="2" t="s">
        <v>92</v>
      </c>
      <c r="AT675" s="5" t="str">
        <f>HYPERLINK("http://catalog.hathitrust.org/Record/000870292","HathiTrust Record")</f>
        <v>HathiTrust Record</v>
      </c>
      <c r="AU675" s="5" t="str">
        <f>HYPERLINK("https://creighton-primo.hosted.exlibrisgroup.com/primo-explore/search?tab=default_tab&amp;search_scope=EVERYTHING&amp;vid=01CRU&amp;lang=en_US&amp;offset=0&amp;query=any,contains,991001423489702656","Catalog Record")</f>
        <v>Catalog Record</v>
      </c>
      <c r="AV675" s="5" t="str">
        <f>HYPERLINK("http://www.worldcat.org/oclc/16527321","WorldCat Record")</f>
        <v>WorldCat Record</v>
      </c>
      <c r="AW675" s="2" t="s">
        <v>8440</v>
      </c>
      <c r="AX675" s="2" t="s">
        <v>8441</v>
      </c>
      <c r="AY675" s="2" t="s">
        <v>8442</v>
      </c>
      <c r="AZ675" s="2" t="s">
        <v>8442</v>
      </c>
      <c r="BA675" s="2" t="s">
        <v>8443</v>
      </c>
      <c r="BB675" s="2" t="s">
        <v>79</v>
      </c>
      <c r="BD675" s="2" t="s">
        <v>8444</v>
      </c>
      <c r="BE675" s="2" t="s">
        <v>8445</v>
      </c>
      <c r="BF675" s="2" t="s">
        <v>8446</v>
      </c>
    </row>
  </sheetData>
  <sheetProtection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3</xdr:col>
                    <xdr:colOff>95250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3</xdr:col>
                    <xdr:colOff>95250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3</xdr:col>
                    <xdr:colOff>95250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3</xdr:col>
                    <xdr:colOff>95250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3</xdr:col>
                    <xdr:colOff>95250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3</xdr:col>
                    <xdr:colOff>95250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3</xdr:col>
                    <xdr:colOff>95250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3</xdr:col>
                    <xdr:colOff>95250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3</xdr:col>
                    <xdr:colOff>95250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3</xdr:col>
                    <xdr:colOff>95250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3</xdr:col>
                    <xdr:colOff>95250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3</xdr:col>
                    <xdr:colOff>95250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3</xdr:col>
                    <xdr:colOff>95250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3</xdr:col>
                    <xdr:colOff>95250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3</xdr:col>
                    <xdr:colOff>95250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3</xdr:col>
                    <xdr:colOff>95250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3</xdr:col>
                    <xdr:colOff>95250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3</xdr:col>
                    <xdr:colOff>95250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3</xdr:col>
                    <xdr:colOff>95250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3</xdr:col>
                    <xdr:colOff>95250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3</xdr:col>
                    <xdr:colOff>95250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3</xdr:col>
                    <xdr:colOff>95250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3</xdr:col>
                    <xdr:colOff>95250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3</xdr:col>
                    <xdr:colOff>95250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3</xdr:col>
                    <xdr:colOff>95250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3</xdr:col>
                    <xdr:colOff>95250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3</xdr:col>
                    <xdr:colOff>95250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3</xdr:col>
                    <xdr:colOff>95250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3</xdr:col>
                    <xdr:colOff>95250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3</xdr:col>
                    <xdr:colOff>95250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3</xdr:col>
                    <xdr:colOff>95250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3</xdr:col>
                    <xdr:colOff>95250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3</xdr:col>
                    <xdr:colOff>95250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3</xdr:col>
                    <xdr:colOff>95250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3</xdr:col>
                    <xdr:colOff>95250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3</xdr:col>
                    <xdr:colOff>95250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3</xdr:col>
                    <xdr:colOff>95250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3</xdr:col>
                    <xdr:colOff>95250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3</xdr:col>
                    <xdr:colOff>95250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3</xdr:col>
                    <xdr:colOff>95250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3</xdr:col>
                    <xdr:colOff>95250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3</xdr:col>
                    <xdr:colOff>95250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3</xdr:col>
                    <xdr:colOff>95250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3</xdr:col>
                    <xdr:colOff>95250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3</xdr:col>
                    <xdr:colOff>95250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3</xdr:col>
                    <xdr:colOff>95250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3</xdr:col>
                    <xdr:colOff>95250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3</xdr:col>
                    <xdr:colOff>95250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3</xdr:col>
                    <xdr:colOff>95250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3</xdr:col>
                    <xdr:colOff>95250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3</xdr:col>
                    <xdr:colOff>95250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3</xdr:col>
                    <xdr:colOff>95250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3</xdr:col>
                    <xdr:colOff>95250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3</xdr:col>
                    <xdr:colOff>95250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3</xdr:col>
                    <xdr:colOff>95250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3</xdr:col>
                    <xdr:colOff>95250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3</xdr:col>
                    <xdr:colOff>95250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3</xdr:col>
                    <xdr:colOff>95250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3</xdr:col>
                    <xdr:colOff>95250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3</xdr:col>
                    <xdr:colOff>95250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3</xdr:col>
                    <xdr:colOff>95250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3</xdr:col>
                    <xdr:colOff>95250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3</xdr:col>
                    <xdr:colOff>95250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3</xdr:col>
                    <xdr:colOff>95250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3</xdr:col>
                    <xdr:colOff>95250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3</xdr:col>
                    <xdr:colOff>95250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3</xdr:col>
                    <xdr:colOff>95250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3</xdr:col>
                    <xdr:colOff>95250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3</xdr:col>
                    <xdr:colOff>95250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3</xdr:col>
                    <xdr:colOff>95250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3</xdr:col>
                    <xdr:colOff>95250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3</xdr:col>
                    <xdr:colOff>95250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3</xdr:col>
                    <xdr:colOff>95250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3</xdr:col>
                    <xdr:colOff>95250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3</xdr:col>
                    <xdr:colOff>95250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3</xdr:col>
                    <xdr:colOff>95250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3</xdr:col>
                    <xdr:colOff>95250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3</xdr:col>
                    <xdr:colOff>95250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79</xdr:row>
                    <xdr:rowOff>9525</xdr:rowOff>
                  </from>
                  <to>
                    <xdr:col>3</xdr:col>
                    <xdr:colOff>95250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0</xdr:col>
                    <xdr:colOff>276225</xdr:colOff>
                    <xdr:row>80</xdr:row>
                    <xdr:rowOff>9525</xdr:rowOff>
                  </from>
                  <to>
                    <xdr:col>3</xdr:col>
                    <xdr:colOff>95250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0</xdr:col>
                    <xdr:colOff>276225</xdr:colOff>
                    <xdr:row>81</xdr:row>
                    <xdr:rowOff>9525</xdr:rowOff>
                  </from>
                  <to>
                    <xdr:col>3</xdr:col>
                    <xdr:colOff>95250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0</xdr:col>
                    <xdr:colOff>276225</xdr:colOff>
                    <xdr:row>82</xdr:row>
                    <xdr:rowOff>9525</xdr:rowOff>
                  </from>
                  <to>
                    <xdr:col>3</xdr:col>
                    <xdr:colOff>95250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0</xdr:col>
                    <xdr:colOff>276225</xdr:colOff>
                    <xdr:row>83</xdr:row>
                    <xdr:rowOff>9525</xdr:rowOff>
                  </from>
                  <to>
                    <xdr:col>3</xdr:col>
                    <xdr:colOff>95250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0</xdr:col>
                    <xdr:colOff>276225</xdr:colOff>
                    <xdr:row>84</xdr:row>
                    <xdr:rowOff>9525</xdr:rowOff>
                  </from>
                  <to>
                    <xdr:col>3</xdr:col>
                    <xdr:colOff>95250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0</xdr:col>
                    <xdr:colOff>276225</xdr:colOff>
                    <xdr:row>85</xdr:row>
                    <xdr:rowOff>9525</xdr:rowOff>
                  </from>
                  <to>
                    <xdr:col>3</xdr:col>
                    <xdr:colOff>95250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0</xdr:col>
                    <xdr:colOff>276225</xdr:colOff>
                    <xdr:row>86</xdr:row>
                    <xdr:rowOff>9525</xdr:rowOff>
                  </from>
                  <to>
                    <xdr:col>3</xdr:col>
                    <xdr:colOff>95250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0</xdr:col>
                    <xdr:colOff>276225</xdr:colOff>
                    <xdr:row>87</xdr:row>
                    <xdr:rowOff>9525</xdr:rowOff>
                  </from>
                  <to>
                    <xdr:col>3</xdr:col>
                    <xdr:colOff>95250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0</xdr:col>
                    <xdr:colOff>276225</xdr:colOff>
                    <xdr:row>88</xdr:row>
                    <xdr:rowOff>9525</xdr:rowOff>
                  </from>
                  <to>
                    <xdr:col>3</xdr:col>
                    <xdr:colOff>95250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0</xdr:col>
                    <xdr:colOff>276225</xdr:colOff>
                    <xdr:row>89</xdr:row>
                    <xdr:rowOff>9525</xdr:rowOff>
                  </from>
                  <to>
                    <xdr:col>3</xdr:col>
                    <xdr:colOff>95250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0</xdr:col>
                    <xdr:colOff>276225</xdr:colOff>
                    <xdr:row>90</xdr:row>
                    <xdr:rowOff>9525</xdr:rowOff>
                  </from>
                  <to>
                    <xdr:col>3</xdr:col>
                    <xdr:colOff>95250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0</xdr:col>
                    <xdr:colOff>276225</xdr:colOff>
                    <xdr:row>91</xdr:row>
                    <xdr:rowOff>9525</xdr:rowOff>
                  </from>
                  <to>
                    <xdr:col>3</xdr:col>
                    <xdr:colOff>95250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0</xdr:col>
                    <xdr:colOff>276225</xdr:colOff>
                    <xdr:row>92</xdr:row>
                    <xdr:rowOff>9525</xdr:rowOff>
                  </from>
                  <to>
                    <xdr:col>3</xdr:col>
                    <xdr:colOff>95250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0</xdr:col>
                    <xdr:colOff>276225</xdr:colOff>
                    <xdr:row>93</xdr:row>
                    <xdr:rowOff>9525</xdr:rowOff>
                  </from>
                  <to>
                    <xdr:col>3</xdr:col>
                    <xdr:colOff>95250</xdr:colOff>
                    <xdr:row>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0</xdr:col>
                    <xdr:colOff>276225</xdr:colOff>
                    <xdr:row>94</xdr:row>
                    <xdr:rowOff>9525</xdr:rowOff>
                  </from>
                  <to>
                    <xdr:col>3</xdr:col>
                    <xdr:colOff>95250</xdr:colOff>
                    <xdr:row>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0</xdr:col>
                    <xdr:colOff>276225</xdr:colOff>
                    <xdr:row>95</xdr:row>
                    <xdr:rowOff>9525</xdr:rowOff>
                  </from>
                  <to>
                    <xdr:col>3</xdr:col>
                    <xdr:colOff>95250</xdr:colOff>
                    <xdr:row>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0</xdr:col>
                    <xdr:colOff>276225</xdr:colOff>
                    <xdr:row>96</xdr:row>
                    <xdr:rowOff>9525</xdr:rowOff>
                  </from>
                  <to>
                    <xdr:col>3</xdr:col>
                    <xdr:colOff>95250</xdr:colOff>
                    <xdr:row>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0</xdr:col>
                    <xdr:colOff>276225</xdr:colOff>
                    <xdr:row>97</xdr:row>
                    <xdr:rowOff>9525</xdr:rowOff>
                  </from>
                  <to>
                    <xdr:col>3</xdr:col>
                    <xdr:colOff>95250</xdr:colOff>
                    <xdr:row>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0</xdr:col>
                    <xdr:colOff>276225</xdr:colOff>
                    <xdr:row>98</xdr:row>
                    <xdr:rowOff>9525</xdr:rowOff>
                  </from>
                  <to>
                    <xdr:col>3</xdr:col>
                    <xdr:colOff>95250</xdr:colOff>
                    <xdr:row>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0</xdr:col>
                    <xdr:colOff>276225</xdr:colOff>
                    <xdr:row>99</xdr:row>
                    <xdr:rowOff>9525</xdr:rowOff>
                  </from>
                  <to>
                    <xdr:col>3</xdr:col>
                    <xdr:colOff>95250</xdr:colOff>
                    <xdr:row>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0</xdr:col>
                    <xdr:colOff>276225</xdr:colOff>
                    <xdr:row>100</xdr:row>
                    <xdr:rowOff>9525</xdr:rowOff>
                  </from>
                  <to>
                    <xdr:col>3</xdr:col>
                    <xdr:colOff>95250</xdr:colOff>
                    <xdr:row>100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0</xdr:col>
                    <xdr:colOff>276225</xdr:colOff>
                    <xdr:row>101</xdr:row>
                    <xdr:rowOff>9525</xdr:rowOff>
                  </from>
                  <to>
                    <xdr:col>3</xdr:col>
                    <xdr:colOff>95250</xdr:colOff>
                    <xdr:row>101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0</xdr:col>
                    <xdr:colOff>276225</xdr:colOff>
                    <xdr:row>102</xdr:row>
                    <xdr:rowOff>9525</xdr:rowOff>
                  </from>
                  <to>
                    <xdr:col>3</xdr:col>
                    <xdr:colOff>95250</xdr:colOff>
                    <xdr:row>102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0</xdr:col>
                    <xdr:colOff>276225</xdr:colOff>
                    <xdr:row>103</xdr:row>
                    <xdr:rowOff>9525</xdr:rowOff>
                  </from>
                  <to>
                    <xdr:col>3</xdr:col>
                    <xdr:colOff>95250</xdr:colOff>
                    <xdr:row>103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0</xdr:col>
                    <xdr:colOff>276225</xdr:colOff>
                    <xdr:row>104</xdr:row>
                    <xdr:rowOff>9525</xdr:rowOff>
                  </from>
                  <to>
                    <xdr:col>3</xdr:col>
                    <xdr:colOff>95250</xdr:colOff>
                    <xdr:row>104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0</xdr:col>
                    <xdr:colOff>276225</xdr:colOff>
                    <xdr:row>105</xdr:row>
                    <xdr:rowOff>9525</xdr:rowOff>
                  </from>
                  <to>
                    <xdr:col>3</xdr:col>
                    <xdr:colOff>95250</xdr:colOff>
                    <xdr:row>105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0</xdr:col>
                    <xdr:colOff>276225</xdr:colOff>
                    <xdr:row>106</xdr:row>
                    <xdr:rowOff>9525</xdr:rowOff>
                  </from>
                  <to>
                    <xdr:col>3</xdr:col>
                    <xdr:colOff>95250</xdr:colOff>
                    <xdr:row>106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0</xdr:col>
                    <xdr:colOff>276225</xdr:colOff>
                    <xdr:row>107</xdr:row>
                    <xdr:rowOff>9525</xdr:rowOff>
                  </from>
                  <to>
                    <xdr:col>3</xdr:col>
                    <xdr:colOff>95250</xdr:colOff>
                    <xdr:row>107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0</xdr:col>
                    <xdr:colOff>276225</xdr:colOff>
                    <xdr:row>108</xdr:row>
                    <xdr:rowOff>9525</xdr:rowOff>
                  </from>
                  <to>
                    <xdr:col>3</xdr:col>
                    <xdr:colOff>95250</xdr:colOff>
                    <xdr:row>108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0</xdr:col>
                    <xdr:colOff>276225</xdr:colOff>
                    <xdr:row>109</xdr:row>
                    <xdr:rowOff>9525</xdr:rowOff>
                  </from>
                  <to>
                    <xdr:col>3</xdr:col>
                    <xdr:colOff>95250</xdr:colOff>
                    <xdr:row>109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0</xdr:col>
                    <xdr:colOff>276225</xdr:colOff>
                    <xdr:row>110</xdr:row>
                    <xdr:rowOff>9525</xdr:rowOff>
                  </from>
                  <to>
                    <xdr:col>3</xdr:col>
                    <xdr:colOff>95250</xdr:colOff>
                    <xdr:row>110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0</xdr:col>
                    <xdr:colOff>276225</xdr:colOff>
                    <xdr:row>111</xdr:row>
                    <xdr:rowOff>9525</xdr:rowOff>
                  </from>
                  <to>
                    <xdr:col>3</xdr:col>
                    <xdr:colOff>95250</xdr:colOff>
                    <xdr:row>111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0</xdr:col>
                    <xdr:colOff>276225</xdr:colOff>
                    <xdr:row>112</xdr:row>
                    <xdr:rowOff>9525</xdr:rowOff>
                  </from>
                  <to>
                    <xdr:col>3</xdr:col>
                    <xdr:colOff>95250</xdr:colOff>
                    <xdr:row>112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0</xdr:col>
                    <xdr:colOff>276225</xdr:colOff>
                    <xdr:row>113</xdr:row>
                    <xdr:rowOff>9525</xdr:rowOff>
                  </from>
                  <to>
                    <xdr:col>3</xdr:col>
                    <xdr:colOff>95250</xdr:colOff>
                    <xdr:row>113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0</xdr:col>
                    <xdr:colOff>276225</xdr:colOff>
                    <xdr:row>114</xdr:row>
                    <xdr:rowOff>9525</xdr:rowOff>
                  </from>
                  <to>
                    <xdr:col>3</xdr:col>
                    <xdr:colOff>95250</xdr:colOff>
                    <xdr:row>114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0</xdr:col>
                    <xdr:colOff>276225</xdr:colOff>
                    <xdr:row>115</xdr:row>
                    <xdr:rowOff>9525</xdr:rowOff>
                  </from>
                  <to>
                    <xdr:col>3</xdr:col>
                    <xdr:colOff>95250</xdr:colOff>
                    <xdr:row>115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0</xdr:col>
                    <xdr:colOff>276225</xdr:colOff>
                    <xdr:row>116</xdr:row>
                    <xdr:rowOff>9525</xdr:rowOff>
                  </from>
                  <to>
                    <xdr:col>3</xdr:col>
                    <xdr:colOff>95250</xdr:colOff>
                    <xdr:row>116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0</xdr:col>
                    <xdr:colOff>276225</xdr:colOff>
                    <xdr:row>117</xdr:row>
                    <xdr:rowOff>9525</xdr:rowOff>
                  </from>
                  <to>
                    <xdr:col>3</xdr:col>
                    <xdr:colOff>95250</xdr:colOff>
                    <xdr:row>117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0</xdr:col>
                    <xdr:colOff>276225</xdr:colOff>
                    <xdr:row>118</xdr:row>
                    <xdr:rowOff>9525</xdr:rowOff>
                  </from>
                  <to>
                    <xdr:col>3</xdr:col>
                    <xdr:colOff>95250</xdr:colOff>
                    <xdr:row>118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0</xdr:col>
                    <xdr:colOff>276225</xdr:colOff>
                    <xdr:row>119</xdr:row>
                    <xdr:rowOff>9525</xdr:rowOff>
                  </from>
                  <to>
                    <xdr:col>3</xdr:col>
                    <xdr:colOff>95250</xdr:colOff>
                    <xdr:row>119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0</xdr:col>
                    <xdr:colOff>276225</xdr:colOff>
                    <xdr:row>120</xdr:row>
                    <xdr:rowOff>9525</xdr:rowOff>
                  </from>
                  <to>
                    <xdr:col>3</xdr:col>
                    <xdr:colOff>95250</xdr:colOff>
                    <xdr:row>120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0</xdr:col>
                    <xdr:colOff>276225</xdr:colOff>
                    <xdr:row>121</xdr:row>
                    <xdr:rowOff>9525</xdr:rowOff>
                  </from>
                  <to>
                    <xdr:col>3</xdr:col>
                    <xdr:colOff>95250</xdr:colOff>
                    <xdr:row>121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0</xdr:col>
                    <xdr:colOff>276225</xdr:colOff>
                    <xdr:row>122</xdr:row>
                    <xdr:rowOff>9525</xdr:rowOff>
                  </from>
                  <to>
                    <xdr:col>3</xdr:col>
                    <xdr:colOff>95250</xdr:colOff>
                    <xdr:row>122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0</xdr:col>
                    <xdr:colOff>276225</xdr:colOff>
                    <xdr:row>123</xdr:row>
                    <xdr:rowOff>9525</xdr:rowOff>
                  </from>
                  <to>
                    <xdr:col>3</xdr:col>
                    <xdr:colOff>95250</xdr:colOff>
                    <xdr:row>123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0</xdr:col>
                    <xdr:colOff>276225</xdr:colOff>
                    <xdr:row>124</xdr:row>
                    <xdr:rowOff>9525</xdr:rowOff>
                  </from>
                  <to>
                    <xdr:col>3</xdr:col>
                    <xdr:colOff>95250</xdr:colOff>
                    <xdr:row>124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0</xdr:col>
                    <xdr:colOff>276225</xdr:colOff>
                    <xdr:row>125</xdr:row>
                    <xdr:rowOff>9525</xdr:rowOff>
                  </from>
                  <to>
                    <xdr:col>3</xdr:col>
                    <xdr:colOff>95250</xdr:colOff>
                    <xdr:row>125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0</xdr:col>
                    <xdr:colOff>276225</xdr:colOff>
                    <xdr:row>126</xdr:row>
                    <xdr:rowOff>9525</xdr:rowOff>
                  </from>
                  <to>
                    <xdr:col>3</xdr:col>
                    <xdr:colOff>95250</xdr:colOff>
                    <xdr:row>126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0</xdr:col>
                    <xdr:colOff>276225</xdr:colOff>
                    <xdr:row>127</xdr:row>
                    <xdr:rowOff>9525</xdr:rowOff>
                  </from>
                  <to>
                    <xdr:col>3</xdr:col>
                    <xdr:colOff>95250</xdr:colOff>
                    <xdr:row>127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0</xdr:col>
                    <xdr:colOff>276225</xdr:colOff>
                    <xdr:row>128</xdr:row>
                    <xdr:rowOff>9525</xdr:rowOff>
                  </from>
                  <to>
                    <xdr:col>3</xdr:col>
                    <xdr:colOff>95250</xdr:colOff>
                    <xdr:row>128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0</xdr:col>
                    <xdr:colOff>276225</xdr:colOff>
                    <xdr:row>129</xdr:row>
                    <xdr:rowOff>9525</xdr:rowOff>
                  </from>
                  <to>
                    <xdr:col>3</xdr:col>
                    <xdr:colOff>95250</xdr:colOff>
                    <xdr:row>129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0</xdr:col>
                    <xdr:colOff>276225</xdr:colOff>
                    <xdr:row>130</xdr:row>
                    <xdr:rowOff>9525</xdr:rowOff>
                  </from>
                  <to>
                    <xdr:col>3</xdr:col>
                    <xdr:colOff>95250</xdr:colOff>
                    <xdr:row>130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0</xdr:col>
                    <xdr:colOff>276225</xdr:colOff>
                    <xdr:row>131</xdr:row>
                    <xdr:rowOff>9525</xdr:rowOff>
                  </from>
                  <to>
                    <xdr:col>3</xdr:col>
                    <xdr:colOff>95250</xdr:colOff>
                    <xdr:row>131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0</xdr:col>
                    <xdr:colOff>276225</xdr:colOff>
                    <xdr:row>132</xdr:row>
                    <xdr:rowOff>9525</xdr:rowOff>
                  </from>
                  <to>
                    <xdr:col>3</xdr:col>
                    <xdr:colOff>95250</xdr:colOff>
                    <xdr:row>132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0</xdr:col>
                    <xdr:colOff>276225</xdr:colOff>
                    <xdr:row>133</xdr:row>
                    <xdr:rowOff>9525</xdr:rowOff>
                  </from>
                  <to>
                    <xdr:col>3</xdr:col>
                    <xdr:colOff>95250</xdr:colOff>
                    <xdr:row>133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0</xdr:col>
                    <xdr:colOff>276225</xdr:colOff>
                    <xdr:row>134</xdr:row>
                    <xdr:rowOff>9525</xdr:rowOff>
                  </from>
                  <to>
                    <xdr:col>3</xdr:col>
                    <xdr:colOff>95250</xdr:colOff>
                    <xdr:row>134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0</xdr:col>
                    <xdr:colOff>276225</xdr:colOff>
                    <xdr:row>135</xdr:row>
                    <xdr:rowOff>9525</xdr:rowOff>
                  </from>
                  <to>
                    <xdr:col>3</xdr:col>
                    <xdr:colOff>95250</xdr:colOff>
                    <xdr:row>135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0</xdr:col>
                    <xdr:colOff>276225</xdr:colOff>
                    <xdr:row>136</xdr:row>
                    <xdr:rowOff>9525</xdr:rowOff>
                  </from>
                  <to>
                    <xdr:col>3</xdr:col>
                    <xdr:colOff>95250</xdr:colOff>
                    <xdr:row>136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0</xdr:col>
                    <xdr:colOff>276225</xdr:colOff>
                    <xdr:row>137</xdr:row>
                    <xdr:rowOff>9525</xdr:rowOff>
                  </from>
                  <to>
                    <xdr:col>3</xdr:col>
                    <xdr:colOff>95250</xdr:colOff>
                    <xdr:row>137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0</xdr:col>
                    <xdr:colOff>276225</xdr:colOff>
                    <xdr:row>138</xdr:row>
                    <xdr:rowOff>9525</xdr:rowOff>
                  </from>
                  <to>
                    <xdr:col>3</xdr:col>
                    <xdr:colOff>95250</xdr:colOff>
                    <xdr:row>138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0</xdr:col>
                    <xdr:colOff>276225</xdr:colOff>
                    <xdr:row>139</xdr:row>
                    <xdr:rowOff>9525</xdr:rowOff>
                  </from>
                  <to>
                    <xdr:col>3</xdr:col>
                    <xdr:colOff>95250</xdr:colOff>
                    <xdr:row>139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0</xdr:col>
                    <xdr:colOff>276225</xdr:colOff>
                    <xdr:row>140</xdr:row>
                    <xdr:rowOff>9525</xdr:rowOff>
                  </from>
                  <to>
                    <xdr:col>3</xdr:col>
                    <xdr:colOff>95250</xdr:colOff>
                    <xdr:row>140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0</xdr:col>
                    <xdr:colOff>276225</xdr:colOff>
                    <xdr:row>141</xdr:row>
                    <xdr:rowOff>9525</xdr:rowOff>
                  </from>
                  <to>
                    <xdr:col>3</xdr:col>
                    <xdr:colOff>95250</xdr:colOff>
                    <xdr:row>141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0</xdr:col>
                    <xdr:colOff>276225</xdr:colOff>
                    <xdr:row>142</xdr:row>
                    <xdr:rowOff>9525</xdr:rowOff>
                  </from>
                  <to>
                    <xdr:col>3</xdr:col>
                    <xdr:colOff>95250</xdr:colOff>
                    <xdr:row>142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0</xdr:col>
                    <xdr:colOff>276225</xdr:colOff>
                    <xdr:row>143</xdr:row>
                    <xdr:rowOff>9525</xdr:rowOff>
                  </from>
                  <to>
                    <xdr:col>3</xdr:col>
                    <xdr:colOff>95250</xdr:colOff>
                    <xdr:row>143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0</xdr:col>
                    <xdr:colOff>276225</xdr:colOff>
                    <xdr:row>144</xdr:row>
                    <xdr:rowOff>9525</xdr:rowOff>
                  </from>
                  <to>
                    <xdr:col>3</xdr:col>
                    <xdr:colOff>95250</xdr:colOff>
                    <xdr:row>144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0</xdr:col>
                    <xdr:colOff>276225</xdr:colOff>
                    <xdr:row>145</xdr:row>
                    <xdr:rowOff>9525</xdr:rowOff>
                  </from>
                  <to>
                    <xdr:col>3</xdr:col>
                    <xdr:colOff>95250</xdr:colOff>
                    <xdr:row>145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0</xdr:col>
                    <xdr:colOff>276225</xdr:colOff>
                    <xdr:row>146</xdr:row>
                    <xdr:rowOff>9525</xdr:rowOff>
                  </from>
                  <to>
                    <xdr:col>3</xdr:col>
                    <xdr:colOff>95250</xdr:colOff>
                    <xdr:row>146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0</xdr:col>
                    <xdr:colOff>276225</xdr:colOff>
                    <xdr:row>147</xdr:row>
                    <xdr:rowOff>9525</xdr:rowOff>
                  </from>
                  <to>
                    <xdr:col>3</xdr:col>
                    <xdr:colOff>95250</xdr:colOff>
                    <xdr:row>147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0</xdr:col>
                    <xdr:colOff>276225</xdr:colOff>
                    <xdr:row>148</xdr:row>
                    <xdr:rowOff>9525</xdr:rowOff>
                  </from>
                  <to>
                    <xdr:col>3</xdr:col>
                    <xdr:colOff>95250</xdr:colOff>
                    <xdr:row>148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0</xdr:col>
                    <xdr:colOff>276225</xdr:colOff>
                    <xdr:row>149</xdr:row>
                    <xdr:rowOff>9525</xdr:rowOff>
                  </from>
                  <to>
                    <xdr:col>3</xdr:col>
                    <xdr:colOff>95250</xdr:colOff>
                    <xdr:row>149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0</xdr:col>
                    <xdr:colOff>276225</xdr:colOff>
                    <xdr:row>150</xdr:row>
                    <xdr:rowOff>9525</xdr:rowOff>
                  </from>
                  <to>
                    <xdr:col>3</xdr:col>
                    <xdr:colOff>95250</xdr:colOff>
                    <xdr:row>150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0</xdr:col>
                    <xdr:colOff>276225</xdr:colOff>
                    <xdr:row>151</xdr:row>
                    <xdr:rowOff>9525</xdr:rowOff>
                  </from>
                  <to>
                    <xdr:col>3</xdr:col>
                    <xdr:colOff>95250</xdr:colOff>
                    <xdr:row>151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0</xdr:col>
                    <xdr:colOff>276225</xdr:colOff>
                    <xdr:row>152</xdr:row>
                    <xdr:rowOff>9525</xdr:rowOff>
                  </from>
                  <to>
                    <xdr:col>3</xdr:col>
                    <xdr:colOff>95250</xdr:colOff>
                    <xdr:row>152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0</xdr:col>
                    <xdr:colOff>276225</xdr:colOff>
                    <xdr:row>153</xdr:row>
                    <xdr:rowOff>9525</xdr:rowOff>
                  </from>
                  <to>
                    <xdr:col>3</xdr:col>
                    <xdr:colOff>95250</xdr:colOff>
                    <xdr:row>153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Check Box 154">
              <controlPr defaultSize="0" autoFill="0" autoLine="0" autoPict="0">
                <anchor moveWithCells="1">
                  <from>
                    <xdr:col>0</xdr:col>
                    <xdr:colOff>276225</xdr:colOff>
                    <xdr:row>154</xdr:row>
                    <xdr:rowOff>9525</xdr:rowOff>
                  </from>
                  <to>
                    <xdr:col>3</xdr:col>
                    <xdr:colOff>95250</xdr:colOff>
                    <xdr:row>154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Check Box 155">
              <controlPr defaultSize="0" autoFill="0" autoLine="0" autoPict="0">
                <anchor moveWithCells="1">
                  <from>
                    <xdr:col>0</xdr:col>
                    <xdr:colOff>276225</xdr:colOff>
                    <xdr:row>155</xdr:row>
                    <xdr:rowOff>9525</xdr:rowOff>
                  </from>
                  <to>
                    <xdr:col>3</xdr:col>
                    <xdr:colOff>95250</xdr:colOff>
                    <xdr:row>155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Check Box 156">
              <controlPr defaultSize="0" autoFill="0" autoLine="0" autoPict="0">
                <anchor moveWithCells="1">
                  <from>
                    <xdr:col>0</xdr:col>
                    <xdr:colOff>276225</xdr:colOff>
                    <xdr:row>156</xdr:row>
                    <xdr:rowOff>9525</xdr:rowOff>
                  </from>
                  <to>
                    <xdr:col>3</xdr:col>
                    <xdr:colOff>95250</xdr:colOff>
                    <xdr:row>156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Check Box 157">
              <controlPr defaultSize="0" autoFill="0" autoLine="0" autoPict="0">
                <anchor moveWithCells="1">
                  <from>
                    <xdr:col>0</xdr:col>
                    <xdr:colOff>276225</xdr:colOff>
                    <xdr:row>157</xdr:row>
                    <xdr:rowOff>9525</xdr:rowOff>
                  </from>
                  <to>
                    <xdr:col>3</xdr:col>
                    <xdr:colOff>95250</xdr:colOff>
                    <xdr:row>157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Check Box 158">
              <controlPr defaultSize="0" autoFill="0" autoLine="0" autoPict="0">
                <anchor moveWithCells="1">
                  <from>
                    <xdr:col>0</xdr:col>
                    <xdr:colOff>276225</xdr:colOff>
                    <xdr:row>158</xdr:row>
                    <xdr:rowOff>9525</xdr:rowOff>
                  </from>
                  <to>
                    <xdr:col>3</xdr:col>
                    <xdr:colOff>95250</xdr:colOff>
                    <xdr:row>158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Check Box 159">
              <controlPr defaultSize="0" autoFill="0" autoLine="0" autoPict="0">
                <anchor moveWithCells="1">
                  <from>
                    <xdr:col>0</xdr:col>
                    <xdr:colOff>276225</xdr:colOff>
                    <xdr:row>159</xdr:row>
                    <xdr:rowOff>9525</xdr:rowOff>
                  </from>
                  <to>
                    <xdr:col>3</xdr:col>
                    <xdr:colOff>95250</xdr:colOff>
                    <xdr:row>159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Check Box 160">
              <controlPr defaultSize="0" autoFill="0" autoLine="0" autoPict="0">
                <anchor moveWithCells="1">
                  <from>
                    <xdr:col>0</xdr:col>
                    <xdr:colOff>276225</xdr:colOff>
                    <xdr:row>160</xdr:row>
                    <xdr:rowOff>9525</xdr:rowOff>
                  </from>
                  <to>
                    <xdr:col>3</xdr:col>
                    <xdr:colOff>95250</xdr:colOff>
                    <xdr:row>160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Check Box 161">
              <controlPr defaultSize="0" autoFill="0" autoLine="0" autoPict="0">
                <anchor moveWithCells="1">
                  <from>
                    <xdr:col>0</xdr:col>
                    <xdr:colOff>276225</xdr:colOff>
                    <xdr:row>161</xdr:row>
                    <xdr:rowOff>9525</xdr:rowOff>
                  </from>
                  <to>
                    <xdr:col>3</xdr:col>
                    <xdr:colOff>95250</xdr:colOff>
                    <xdr:row>161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Check Box 162">
              <controlPr defaultSize="0" autoFill="0" autoLine="0" autoPict="0">
                <anchor moveWithCells="1">
                  <from>
                    <xdr:col>0</xdr:col>
                    <xdr:colOff>276225</xdr:colOff>
                    <xdr:row>162</xdr:row>
                    <xdr:rowOff>9525</xdr:rowOff>
                  </from>
                  <to>
                    <xdr:col>3</xdr:col>
                    <xdr:colOff>95250</xdr:colOff>
                    <xdr:row>162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Check Box 163">
              <controlPr defaultSize="0" autoFill="0" autoLine="0" autoPict="0">
                <anchor moveWithCells="1">
                  <from>
                    <xdr:col>0</xdr:col>
                    <xdr:colOff>276225</xdr:colOff>
                    <xdr:row>163</xdr:row>
                    <xdr:rowOff>9525</xdr:rowOff>
                  </from>
                  <to>
                    <xdr:col>3</xdr:col>
                    <xdr:colOff>95250</xdr:colOff>
                    <xdr:row>163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Check Box 164">
              <controlPr defaultSize="0" autoFill="0" autoLine="0" autoPict="0">
                <anchor moveWithCells="1">
                  <from>
                    <xdr:col>0</xdr:col>
                    <xdr:colOff>276225</xdr:colOff>
                    <xdr:row>164</xdr:row>
                    <xdr:rowOff>9525</xdr:rowOff>
                  </from>
                  <to>
                    <xdr:col>3</xdr:col>
                    <xdr:colOff>95250</xdr:colOff>
                    <xdr:row>164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Check Box 165">
              <controlPr defaultSize="0" autoFill="0" autoLine="0" autoPict="0">
                <anchor moveWithCells="1">
                  <from>
                    <xdr:col>0</xdr:col>
                    <xdr:colOff>276225</xdr:colOff>
                    <xdr:row>165</xdr:row>
                    <xdr:rowOff>9525</xdr:rowOff>
                  </from>
                  <to>
                    <xdr:col>3</xdr:col>
                    <xdr:colOff>95250</xdr:colOff>
                    <xdr:row>165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Check Box 166">
              <controlPr defaultSize="0" autoFill="0" autoLine="0" autoPict="0">
                <anchor moveWithCells="1">
                  <from>
                    <xdr:col>0</xdr:col>
                    <xdr:colOff>276225</xdr:colOff>
                    <xdr:row>166</xdr:row>
                    <xdr:rowOff>9525</xdr:rowOff>
                  </from>
                  <to>
                    <xdr:col>3</xdr:col>
                    <xdr:colOff>95250</xdr:colOff>
                    <xdr:row>166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Check Box 167">
              <controlPr defaultSize="0" autoFill="0" autoLine="0" autoPict="0">
                <anchor moveWithCells="1">
                  <from>
                    <xdr:col>0</xdr:col>
                    <xdr:colOff>276225</xdr:colOff>
                    <xdr:row>167</xdr:row>
                    <xdr:rowOff>9525</xdr:rowOff>
                  </from>
                  <to>
                    <xdr:col>3</xdr:col>
                    <xdr:colOff>95250</xdr:colOff>
                    <xdr:row>167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Check Box 168">
              <controlPr defaultSize="0" autoFill="0" autoLine="0" autoPict="0">
                <anchor moveWithCells="1">
                  <from>
                    <xdr:col>0</xdr:col>
                    <xdr:colOff>276225</xdr:colOff>
                    <xdr:row>168</xdr:row>
                    <xdr:rowOff>9525</xdr:rowOff>
                  </from>
                  <to>
                    <xdr:col>3</xdr:col>
                    <xdr:colOff>95250</xdr:colOff>
                    <xdr:row>168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Check Box 169">
              <controlPr defaultSize="0" autoFill="0" autoLine="0" autoPict="0">
                <anchor moveWithCells="1">
                  <from>
                    <xdr:col>0</xdr:col>
                    <xdr:colOff>276225</xdr:colOff>
                    <xdr:row>169</xdr:row>
                    <xdr:rowOff>9525</xdr:rowOff>
                  </from>
                  <to>
                    <xdr:col>3</xdr:col>
                    <xdr:colOff>95250</xdr:colOff>
                    <xdr:row>169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Check Box 170">
              <controlPr defaultSize="0" autoFill="0" autoLine="0" autoPict="0">
                <anchor moveWithCells="1">
                  <from>
                    <xdr:col>0</xdr:col>
                    <xdr:colOff>276225</xdr:colOff>
                    <xdr:row>170</xdr:row>
                    <xdr:rowOff>9525</xdr:rowOff>
                  </from>
                  <to>
                    <xdr:col>3</xdr:col>
                    <xdr:colOff>95250</xdr:colOff>
                    <xdr:row>170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Check Box 171">
              <controlPr defaultSize="0" autoFill="0" autoLine="0" autoPict="0">
                <anchor moveWithCells="1">
                  <from>
                    <xdr:col>0</xdr:col>
                    <xdr:colOff>276225</xdr:colOff>
                    <xdr:row>171</xdr:row>
                    <xdr:rowOff>9525</xdr:rowOff>
                  </from>
                  <to>
                    <xdr:col>3</xdr:col>
                    <xdr:colOff>95250</xdr:colOff>
                    <xdr:row>171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Check Box 172">
              <controlPr defaultSize="0" autoFill="0" autoLine="0" autoPict="0">
                <anchor moveWithCells="1">
                  <from>
                    <xdr:col>0</xdr:col>
                    <xdr:colOff>276225</xdr:colOff>
                    <xdr:row>172</xdr:row>
                    <xdr:rowOff>9525</xdr:rowOff>
                  </from>
                  <to>
                    <xdr:col>3</xdr:col>
                    <xdr:colOff>95250</xdr:colOff>
                    <xdr:row>172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Check Box 173">
              <controlPr defaultSize="0" autoFill="0" autoLine="0" autoPict="0">
                <anchor moveWithCells="1">
                  <from>
                    <xdr:col>0</xdr:col>
                    <xdr:colOff>276225</xdr:colOff>
                    <xdr:row>173</xdr:row>
                    <xdr:rowOff>9525</xdr:rowOff>
                  </from>
                  <to>
                    <xdr:col>3</xdr:col>
                    <xdr:colOff>95250</xdr:colOff>
                    <xdr:row>173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Check Box 174">
              <controlPr defaultSize="0" autoFill="0" autoLine="0" autoPict="0">
                <anchor moveWithCells="1">
                  <from>
                    <xdr:col>0</xdr:col>
                    <xdr:colOff>276225</xdr:colOff>
                    <xdr:row>174</xdr:row>
                    <xdr:rowOff>9525</xdr:rowOff>
                  </from>
                  <to>
                    <xdr:col>3</xdr:col>
                    <xdr:colOff>95250</xdr:colOff>
                    <xdr:row>174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Check Box 175">
              <controlPr defaultSize="0" autoFill="0" autoLine="0" autoPict="0">
                <anchor moveWithCells="1">
                  <from>
                    <xdr:col>0</xdr:col>
                    <xdr:colOff>276225</xdr:colOff>
                    <xdr:row>175</xdr:row>
                    <xdr:rowOff>9525</xdr:rowOff>
                  </from>
                  <to>
                    <xdr:col>3</xdr:col>
                    <xdr:colOff>95250</xdr:colOff>
                    <xdr:row>175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Check Box 176">
              <controlPr defaultSize="0" autoFill="0" autoLine="0" autoPict="0">
                <anchor moveWithCells="1">
                  <from>
                    <xdr:col>0</xdr:col>
                    <xdr:colOff>276225</xdr:colOff>
                    <xdr:row>176</xdr:row>
                    <xdr:rowOff>9525</xdr:rowOff>
                  </from>
                  <to>
                    <xdr:col>3</xdr:col>
                    <xdr:colOff>95250</xdr:colOff>
                    <xdr:row>176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Check Box 177">
              <controlPr defaultSize="0" autoFill="0" autoLine="0" autoPict="0">
                <anchor moveWithCells="1">
                  <from>
                    <xdr:col>0</xdr:col>
                    <xdr:colOff>276225</xdr:colOff>
                    <xdr:row>177</xdr:row>
                    <xdr:rowOff>9525</xdr:rowOff>
                  </from>
                  <to>
                    <xdr:col>3</xdr:col>
                    <xdr:colOff>95250</xdr:colOff>
                    <xdr:row>177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Check Box 178">
              <controlPr defaultSize="0" autoFill="0" autoLine="0" autoPict="0">
                <anchor moveWithCells="1">
                  <from>
                    <xdr:col>0</xdr:col>
                    <xdr:colOff>276225</xdr:colOff>
                    <xdr:row>178</xdr:row>
                    <xdr:rowOff>9525</xdr:rowOff>
                  </from>
                  <to>
                    <xdr:col>3</xdr:col>
                    <xdr:colOff>95250</xdr:colOff>
                    <xdr:row>178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Check Box 179">
              <controlPr defaultSize="0" autoFill="0" autoLine="0" autoPict="0">
                <anchor moveWithCells="1">
                  <from>
                    <xdr:col>0</xdr:col>
                    <xdr:colOff>276225</xdr:colOff>
                    <xdr:row>179</xdr:row>
                    <xdr:rowOff>9525</xdr:rowOff>
                  </from>
                  <to>
                    <xdr:col>3</xdr:col>
                    <xdr:colOff>95250</xdr:colOff>
                    <xdr:row>179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Check Box 180">
              <controlPr defaultSize="0" autoFill="0" autoLine="0" autoPict="0">
                <anchor moveWithCells="1">
                  <from>
                    <xdr:col>0</xdr:col>
                    <xdr:colOff>276225</xdr:colOff>
                    <xdr:row>180</xdr:row>
                    <xdr:rowOff>9525</xdr:rowOff>
                  </from>
                  <to>
                    <xdr:col>3</xdr:col>
                    <xdr:colOff>95250</xdr:colOff>
                    <xdr:row>180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Check Box 181">
              <controlPr defaultSize="0" autoFill="0" autoLine="0" autoPict="0">
                <anchor moveWithCells="1">
                  <from>
                    <xdr:col>0</xdr:col>
                    <xdr:colOff>276225</xdr:colOff>
                    <xdr:row>181</xdr:row>
                    <xdr:rowOff>9525</xdr:rowOff>
                  </from>
                  <to>
                    <xdr:col>3</xdr:col>
                    <xdr:colOff>95250</xdr:colOff>
                    <xdr:row>181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Check Box 182">
              <controlPr defaultSize="0" autoFill="0" autoLine="0" autoPict="0">
                <anchor moveWithCells="1">
                  <from>
                    <xdr:col>0</xdr:col>
                    <xdr:colOff>276225</xdr:colOff>
                    <xdr:row>182</xdr:row>
                    <xdr:rowOff>9525</xdr:rowOff>
                  </from>
                  <to>
                    <xdr:col>3</xdr:col>
                    <xdr:colOff>95250</xdr:colOff>
                    <xdr:row>182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Check Box 183">
              <controlPr defaultSize="0" autoFill="0" autoLine="0" autoPict="0">
                <anchor moveWithCells="1">
                  <from>
                    <xdr:col>0</xdr:col>
                    <xdr:colOff>276225</xdr:colOff>
                    <xdr:row>183</xdr:row>
                    <xdr:rowOff>9525</xdr:rowOff>
                  </from>
                  <to>
                    <xdr:col>3</xdr:col>
                    <xdr:colOff>95250</xdr:colOff>
                    <xdr:row>183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Check Box 184">
              <controlPr defaultSize="0" autoFill="0" autoLine="0" autoPict="0">
                <anchor moveWithCells="1">
                  <from>
                    <xdr:col>0</xdr:col>
                    <xdr:colOff>276225</xdr:colOff>
                    <xdr:row>184</xdr:row>
                    <xdr:rowOff>9525</xdr:rowOff>
                  </from>
                  <to>
                    <xdr:col>3</xdr:col>
                    <xdr:colOff>95250</xdr:colOff>
                    <xdr:row>184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Check Box 185">
              <controlPr defaultSize="0" autoFill="0" autoLine="0" autoPict="0">
                <anchor moveWithCells="1">
                  <from>
                    <xdr:col>0</xdr:col>
                    <xdr:colOff>276225</xdr:colOff>
                    <xdr:row>185</xdr:row>
                    <xdr:rowOff>9525</xdr:rowOff>
                  </from>
                  <to>
                    <xdr:col>3</xdr:col>
                    <xdr:colOff>95250</xdr:colOff>
                    <xdr:row>185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Check Box 186">
              <controlPr defaultSize="0" autoFill="0" autoLine="0" autoPict="0">
                <anchor moveWithCells="1">
                  <from>
                    <xdr:col>0</xdr:col>
                    <xdr:colOff>276225</xdr:colOff>
                    <xdr:row>186</xdr:row>
                    <xdr:rowOff>9525</xdr:rowOff>
                  </from>
                  <to>
                    <xdr:col>3</xdr:col>
                    <xdr:colOff>95250</xdr:colOff>
                    <xdr:row>186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Check Box 187">
              <controlPr defaultSize="0" autoFill="0" autoLine="0" autoPict="0">
                <anchor moveWithCells="1">
                  <from>
                    <xdr:col>0</xdr:col>
                    <xdr:colOff>276225</xdr:colOff>
                    <xdr:row>187</xdr:row>
                    <xdr:rowOff>9525</xdr:rowOff>
                  </from>
                  <to>
                    <xdr:col>3</xdr:col>
                    <xdr:colOff>95250</xdr:colOff>
                    <xdr:row>187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Check Box 188">
              <controlPr defaultSize="0" autoFill="0" autoLine="0" autoPict="0">
                <anchor moveWithCells="1">
                  <from>
                    <xdr:col>0</xdr:col>
                    <xdr:colOff>276225</xdr:colOff>
                    <xdr:row>188</xdr:row>
                    <xdr:rowOff>9525</xdr:rowOff>
                  </from>
                  <to>
                    <xdr:col>3</xdr:col>
                    <xdr:colOff>95250</xdr:colOff>
                    <xdr:row>188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1" name="Check Box 189">
              <controlPr defaultSize="0" autoFill="0" autoLine="0" autoPict="0">
                <anchor moveWithCells="1">
                  <from>
                    <xdr:col>0</xdr:col>
                    <xdr:colOff>276225</xdr:colOff>
                    <xdr:row>189</xdr:row>
                    <xdr:rowOff>9525</xdr:rowOff>
                  </from>
                  <to>
                    <xdr:col>3</xdr:col>
                    <xdr:colOff>95250</xdr:colOff>
                    <xdr:row>189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2" name="Check Box 190">
              <controlPr defaultSize="0" autoFill="0" autoLine="0" autoPict="0">
                <anchor moveWithCells="1">
                  <from>
                    <xdr:col>0</xdr:col>
                    <xdr:colOff>276225</xdr:colOff>
                    <xdr:row>190</xdr:row>
                    <xdr:rowOff>9525</xdr:rowOff>
                  </from>
                  <to>
                    <xdr:col>3</xdr:col>
                    <xdr:colOff>95250</xdr:colOff>
                    <xdr:row>190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3" name="Check Box 191">
              <controlPr defaultSize="0" autoFill="0" autoLine="0" autoPict="0">
                <anchor moveWithCells="1">
                  <from>
                    <xdr:col>0</xdr:col>
                    <xdr:colOff>276225</xdr:colOff>
                    <xdr:row>191</xdr:row>
                    <xdr:rowOff>9525</xdr:rowOff>
                  </from>
                  <to>
                    <xdr:col>3</xdr:col>
                    <xdr:colOff>95250</xdr:colOff>
                    <xdr:row>191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4" name="Check Box 192">
              <controlPr defaultSize="0" autoFill="0" autoLine="0" autoPict="0">
                <anchor moveWithCells="1">
                  <from>
                    <xdr:col>0</xdr:col>
                    <xdr:colOff>276225</xdr:colOff>
                    <xdr:row>192</xdr:row>
                    <xdr:rowOff>9525</xdr:rowOff>
                  </from>
                  <to>
                    <xdr:col>3</xdr:col>
                    <xdr:colOff>95250</xdr:colOff>
                    <xdr:row>192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5" name="Check Box 193">
              <controlPr defaultSize="0" autoFill="0" autoLine="0" autoPict="0">
                <anchor moveWithCells="1">
                  <from>
                    <xdr:col>0</xdr:col>
                    <xdr:colOff>276225</xdr:colOff>
                    <xdr:row>193</xdr:row>
                    <xdr:rowOff>9525</xdr:rowOff>
                  </from>
                  <to>
                    <xdr:col>3</xdr:col>
                    <xdr:colOff>95250</xdr:colOff>
                    <xdr:row>193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6" name="Check Box 194">
              <controlPr defaultSize="0" autoFill="0" autoLine="0" autoPict="0">
                <anchor moveWithCells="1">
                  <from>
                    <xdr:col>0</xdr:col>
                    <xdr:colOff>276225</xdr:colOff>
                    <xdr:row>194</xdr:row>
                    <xdr:rowOff>9525</xdr:rowOff>
                  </from>
                  <to>
                    <xdr:col>3</xdr:col>
                    <xdr:colOff>95250</xdr:colOff>
                    <xdr:row>194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7" name="Check Box 195">
              <controlPr defaultSize="0" autoFill="0" autoLine="0" autoPict="0">
                <anchor moveWithCells="1">
                  <from>
                    <xdr:col>0</xdr:col>
                    <xdr:colOff>276225</xdr:colOff>
                    <xdr:row>195</xdr:row>
                    <xdr:rowOff>9525</xdr:rowOff>
                  </from>
                  <to>
                    <xdr:col>3</xdr:col>
                    <xdr:colOff>95250</xdr:colOff>
                    <xdr:row>195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8" name="Check Box 196">
              <controlPr defaultSize="0" autoFill="0" autoLine="0" autoPict="0">
                <anchor moveWithCells="1">
                  <from>
                    <xdr:col>0</xdr:col>
                    <xdr:colOff>276225</xdr:colOff>
                    <xdr:row>196</xdr:row>
                    <xdr:rowOff>9525</xdr:rowOff>
                  </from>
                  <to>
                    <xdr:col>3</xdr:col>
                    <xdr:colOff>95250</xdr:colOff>
                    <xdr:row>196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9" name="Check Box 197">
              <controlPr defaultSize="0" autoFill="0" autoLine="0" autoPict="0">
                <anchor moveWithCells="1">
                  <from>
                    <xdr:col>0</xdr:col>
                    <xdr:colOff>276225</xdr:colOff>
                    <xdr:row>197</xdr:row>
                    <xdr:rowOff>9525</xdr:rowOff>
                  </from>
                  <to>
                    <xdr:col>3</xdr:col>
                    <xdr:colOff>95250</xdr:colOff>
                    <xdr:row>197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0" name="Check Box 198">
              <controlPr defaultSize="0" autoFill="0" autoLine="0" autoPict="0">
                <anchor moveWithCells="1">
                  <from>
                    <xdr:col>0</xdr:col>
                    <xdr:colOff>276225</xdr:colOff>
                    <xdr:row>198</xdr:row>
                    <xdr:rowOff>9525</xdr:rowOff>
                  </from>
                  <to>
                    <xdr:col>3</xdr:col>
                    <xdr:colOff>95250</xdr:colOff>
                    <xdr:row>198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1" name="Check Box 199">
              <controlPr defaultSize="0" autoFill="0" autoLine="0" autoPict="0">
                <anchor moveWithCells="1">
                  <from>
                    <xdr:col>0</xdr:col>
                    <xdr:colOff>276225</xdr:colOff>
                    <xdr:row>199</xdr:row>
                    <xdr:rowOff>9525</xdr:rowOff>
                  </from>
                  <to>
                    <xdr:col>3</xdr:col>
                    <xdr:colOff>95250</xdr:colOff>
                    <xdr:row>199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2" name="Check Box 200">
              <controlPr defaultSize="0" autoFill="0" autoLine="0" autoPict="0">
                <anchor moveWithCells="1">
                  <from>
                    <xdr:col>0</xdr:col>
                    <xdr:colOff>276225</xdr:colOff>
                    <xdr:row>200</xdr:row>
                    <xdr:rowOff>9525</xdr:rowOff>
                  </from>
                  <to>
                    <xdr:col>3</xdr:col>
                    <xdr:colOff>95250</xdr:colOff>
                    <xdr:row>200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3" name="Check Box 201">
              <controlPr defaultSize="0" autoFill="0" autoLine="0" autoPict="0">
                <anchor moveWithCells="1">
                  <from>
                    <xdr:col>0</xdr:col>
                    <xdr:colOff>276225</xdr:colOff>
                    <xdr:row>201</xdr:row>
                    <xdr:rowOff>9525</xdr:rowOff>
                  </from>
                  <to>
                    <xdr:col>3</xdr:col>
                    <xdr:colOff>95250</xdr:colOff>
                    <xdr:row>201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4" name="Check Box 202">
              <controlPr defaultSize="0" autoFill="0" autoLine="0" autoPict="0">
                <anchor moveWithCells="1">
                  <from>
                    <xdr:col>0</xdr:col>
                    <xdr:colOff>276225</xdr:colOff>
                    <xdr:row>202</xdr:row>
                    <xdr:rowOff>9525</xdr:rowOff>
                  </from>
                  <to>
                    <xdr:col>3</xdr:col>
                    <xdr:colOff>95250</xdr:colOff>
                    <xdr:row>202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5" name="Check Box 203">
              <controlPr defaultSize="0" autoFill="0" autoLine="0" autoPict="0">
                <anchor moveWithCells="1">
                  <from>
                    <xdr:col>0</xdr:col>
                    <xdr:colOff>276225</xdr:colOff>
                    <xdr:row>203</xdr:row>
                    <xdr:rowOff>9525</xdr:rowOff>
                  </from>
                  <to>
                    <xdr:col>3</xdr:col>
                    <xdr:colOff>95250</xdr:colOff>
                    <xdr:row>203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6" name="Check Box 204">
              <controlPr defaultSize="0" autoFill="0" autoLine="0" autoPict="0">
                <anchor moveWithCells="1">
                  <from>
                    <xdr:col>0</xdr:col>
                    <xdr:colOff>276225</xdr:colOff>
                    <xdr:row>204</xdr:row>
                    <xdr:rowOff>9525</xdr:rowOff>
                  </from>
                  <to>
                    <xdr:col>3</xdr:col>
                    <xdr:colOff>95250</xdr:colOff>
                    <xdr:row>204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7" name="Check Box 205">
              <controlPr defaultSize="0" autoFill="0" autoLine="0" autoPict="0">
                <anchor moveWithCells="1">
                  <from>
                    <xdr:col>0</xdr:col>
                    <xdr:colOff>276225</xdr:colOff>
                    <xdr:row>205</xdr:row>
                    <xdr:rowOff>9525</xdr:rowOff>
                  </from>
                  <to>
                    <xdr:col>3</xdr:col>
                    <xdr:colOff>95250</xdr:colOff>
                    <xdr:row>205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8" name="Check Box 206">
              <controlPr defaultSize="0" autoFill="0" autoLine="0" autoPict="0">
                <anchor moveWithCells="1">
                  <from>
                    <xdr:col>0</xdr:col>
                    <xdr:colOff>276225</xdr:colOff>
                    <xdr:row>206</xdr:row>
                    <xdr:rowOff>9525</xdr:rowOff>
                  </from>
                  <to>
                    <xdr:col>3</xdr:col>
                    <xdr:colOff>95250</xdr:colOff>
                    <xdr:row>206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9" name="Check Box 207">
              <controlPr defaultSize="0" autoFill="0" autoLine="0" autoPict="0">
                <anchor moveWithCells="1">
                  <from>
                    <xdr:col>0</xdr:col>
                    <xdr:colOff>276225</xdr:colOff>
                    <xdr:row>207</xdr:row>
                    <xdr:rowOff>9525</xdr:rowOff>
                  </from>
                  <to>
                    <xdr:col>3</xdr:col>
                    <xdr:colOff>95250</xdr:colOff>
                    <xdr:row>207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0" name="Check Box 208">
              <controlPr defaultSize="0" autoFill="0" autoLine="0" autoPict="0">
                <anchor moveWithCells="1">
                  <from>
                    <xdr:col>0</xdr:col>
                    <xdr:colOff>276225</xdr:colOff>
                    <xdr:row>208</xdr:row>
                    <xdr:rowOff>9525</xdr:rowOff>
                  </from>
                  <to>
                    <xdr:col>3</xdr:col>
                    <xdr:colOff>95250</xdr:colOff>
                    <xdr:row>208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1" name="Check Box 209">
              <controlPr defaultSize="0" autoFill="0" autoLine="0" autoPict="0">
                <anchor moveWithCells="1">
                  <from>
                    <xdr:col>0</xdr:col>
                    <xdr:colOff>276225</xdr:colOff>
                    <xdr:row>209</xdr:row>
                    <xdr:rowOff>9525</xdr:rowOff>
                  </from>
                  <to>
                    <xdr:col>3</xdr:col>
                    <xdr:colOff>95250</xdr:colOff>
                    <xdr:row>209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2" name="Check Box 210">
              <controlPr defaultSize="0" autoFill="0" autoLine="0" autoPict="0">
                <anchor moveWithCells="1">
                  <from>
                    <xdr:col>0</xdr:col>
                    <xdr:colOff>276225</xdr:colOff>
                    <xdr:row>210</xdr:row>
                    <xdr:rowOff>9525</xdr:rowOff>
                  </from>
                  <to>
                    <xdr:col>3</xdr:col>
                    <xdr:colOff>95250</xdr:colOff>
                    <xdr:row>210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3" name="Check Box 211">
              <controlPr defaultSize="0" autoFill="0" autoLine="0" autoPict="0">
                <anchor moveWithCells="1">
                  <from>
                    <xdr:col>0</xdr:col>
                    <xdr:colOff>276225</xdr:colOff>
                    <xdr:row>211</xdr:row>
                    <xdr:rowOff>9525</xdr:rowOff>
                  </from>
                  <to>
                    <xdr:col>3</xdr:col>
                    <xdr:colOff>95250</xdr:colOff>
                    <xdr:row>211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4" name="Check Box 212">
              <controlPr defaultSize="0" autoFill="0" autoLine="0" autoPict="0">
                <anchor moveWithCells="1">
                  <from>
                    <xdr:col>0</xdr:col>
                    <xdr:colOff>276225</xdr:colOff>
                    <xdr:row>212</xdr:row>
                    <xdr:rowOff>9525</xdr:rowOff>
                  </from>
                  <to>
                    <xdr:col>3</xdr:col>
                    <xdr:colOff>95250</xdr:colOff>
                    <xdr:row>212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5" name="Check Box 213">
              <controlPr defaultSize="0" autoFill="0" autoLine="0" autoPict="0">
                <anchor moveWithCells="1">
                  <from>
                    <xdr:col>0</xdr:col>
                    <xdr:colOff>276225</xdr:colOff>
                    <xdr:row>213</xdr:row>
                    <xdr:rowOff>9525</xdr:rowOff>
                  </from>
                  <to>
                    <xdr:col>3</xdr:col>
                    <xdr:colOff>95250</xdr:colOff>
                    <xdr:row>213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6" name="Check Box 214">
              <controlPr defaultSize="0" autoFill="0" autoLine="0" autoPict="0">
                <anchor moveWithCells="1">
                  <from>
                    <xdr:col>0</xdr:col>
                    <xdr:colOff>276225</xdr:colOff>
                    <xdr:row>214</xdr:row>
                    <xdr:rowOff>9525</xdr:rowOff>
                  </from>
                  <to>
                    <xdr:col>3</xdr:col>
                    <xdr:colOff>95250</xdr:colOff>
                    <xdr:row>214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7" name="Check Box 215">
              <controlPr defaultSize="0" autoFill="0" autoLine="0" autoPict="0">
                <anchor moveWithCells="1">
                  <from>
                    <xdr:col>0</xdr:col>
                    <xdr:colOff>276225</xdr:colOff>
                    <xdr:row>215</xdr:row>
                    <xdr:rowOff>9525</xdr:rowOff>
                  </from>
                  <to>
                    <xdr:col>3</xdr:col>
                    <xdr:colOff>95250</xdr:colOff>
                    <xdr:row>215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8" name="Check Box 216">
              <controlPr defaultSize="0" autoFill="0" autoLine="0" autoPict="0">
                <anchor moveWithCells="1">
                  <from>
                    <xdr:col>0</xdr:col>
                    <xdr:colOff>276225</xdr:colOff>
                    <xdr:row>216</xdr:row>
                    <xdr:rowOff>9525</xdr:rowOff>
                  </from>
                  <to>
                    <xdr:col>3</xdr:col>
                    <xdr:colOff>95250</xdr:colOff>
                    <xdr:row>216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9" name="Check Box 217">
              <controlPr defaultSize="0" autoFill="0" autoLine="0" autoPict="0">
                <anchor moveWithCells="1">
                  <from>
                    <xdr:col>0</xdr:col>
                    <xdr:colOff>276225</xdr:colOff>
                    <xdr:row>217</xdr:row>
                    <xdr:rowOff>9525</xdr:rowOff>
                  </from>
                  <to>
                    <xdr:col>3</xdr:col>
                    <xdr:colOff>95250</xdr:colOff>
                    <xdr:row>217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0" name="Check Box 218">
              <controlPr defaultSize="0" autoFill="0" autoLine="0" autoPict="0">
                <anchor moveWithCells="1">
                  <from>
                    <xdr:col>0</xdr:col>
                    <xdr:colOff>276225</xdr:colOff>
                    <xdr:row>218</xdr:row>
                    <xdr:rowOff>9525</xdr:rowOff>
                  </from>
                  <to>
                    <xdr:col>3</xdr:col>
                    <xdr:colOff>95250</xdr:colOff>
                    <xdr:row>218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1" name="Check Box 219">
              <controlPr defaultSize="0" autoFill="0" autoLine="0" autoPict="0">
                <anchor moveWithCells="1">
                  <from>
                    <xdr:col>0</xdr:col>
                    <xdr:colOff>276225</xdr:colOff>
                    <xdr:row>219</xdr:row>
                    <xdr:rowOff>9525</xdr:rowOff>
                  </from>
                  <to>
                    <xdr:col>3</xdr:col>
                    <xdr:colOff>95250</xdr:colOff>
                    <xdr:row>219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2" name="Check Box 220">
              <controlPr defaultSize="0" autoFill="0" autoLine="0" autoPict="0">
                <anchor moveWithCells="1">
                  <from>
                    <xdr:col>0</xdr:col>
                    <xdr:colOff>276225</xdr:colOff>
                    <xdr:row>220</xdr:row>
                    <xdr:rowOff>9525</xdr:rowOff>
                  </from>
                  <to>
                    <xdr:col>3</xdr:col>
                    <xdr:colOff>95250</xdr:colOff>
                    <xdr:row>220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3" name="Check Box 221">
              <controlPr defaultSize="0" autoFill="0" autoLine="0" autoPict="0">
                <anchor moveWithCells="1">
                  <from>
                    <xdr:col>0</xdr:col>
                    <xdr:colOff>276225</xdr:colOff>
                    <xdr:row>221</xdr:row>
                    <xdr:rowOff>9525</xdr:rowOff>
                  </from>
                  <to>
                    <xdr:col>3</xdr:col>
                    <xdr:colOff>95250</xdr:colOff>
                    <xdr:row>221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4" name="Check Box 222">
              <controlPr defaultSize="0" autoFill="0" autoLine="0" autoPict="0">
                <anchor moveWithCells="1">
                  <from>
                    <xdr:col>0</xdr:col>
                    <xdr:colOff>276225</xdr:colOff>
                    <xdr:row>222</xdr:row>
                    <xdr:rowOff>9525</xdr:rowOff>
                  </from>
                  <to>
                    <xdr:col>3</xdr:col>
                    <xdr:colOff>95250</xdr:colOff>
                    <xdr:row>222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5" name="Check Box 223">
              <controlPr defaultSize="0" autoFill="0" autoLine="0" autoPict="0">
                <anchor moveWithCells="1">
                  <from>
                    <xdr:col>0</xdr:col>
                    <xdr:colOff>276225</xdr:colOff>
                    <xdr:row>223</xdr:row>
                    <xdr:rowOff>9525</xdr:rowOff>
                  </from>
                  <to>
                    <xdr:col>3</xdr:col>
                    <xdr:colOff>95250</xdr:colOff>
                    <xdr:row>223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6" name="Check Box 224">
              <controlPr defaultSize="0" autoFill="0" autoLine="0" autoPict="0">
                <anchor moveWithCells="1">
                  <from>
                    <xdr:col>0</xdr:col>
                    <xdr:colOff>276225</xdr:colOff>
                    <xdr:row>224</xdr:row>
                    <xdr:rowOff>9525</xdr:rowOff>
                  </from>
                  <to>
                    <xdr:col>3</xdr:col>
                    <xdr:colOff>95250</xdr:colOff>
                    <xdr:row>224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7" name="Check Box 225">
              <controlPr defaultSize="0" autoFill="0" autoLine="0" autoPict="0">
                <anchor moveWithCells="1">
                  <from>
                    <xdr:col>0</xdr:col>
                    <xdr:colOff>276225</xdr:colOff>
                    <xdr:row>225</xdr:row>
                    <xdr:rowOff>9525</xdr:rowOff>
                  </from>
                  <to>
                    <xdr:col>3</xdr:col>
                    <xdr:colOff>95250</xdr:colOff>
                    <xdr:row>225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8" name="Check Box 226">
              <controlPr defaultSize="0" autoFill="0" autoLine="0" autoPict="0">
                <anchor moveWithCells="1">
                  <from>
                    <xdr:col>0</xdr:col>
                    <xdr:colOff>276225</xdr:colOff>
                    <xdr:row>226</xdr:row>
                    <xdr:rowOff>9525</xdr:rowOff>
                  </from>
                  <to>
                    <xdr:col>3</xdr:col>
                    <xdr:colOff>95250</xdr:colOff>
                    <xdr:row>226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9" name="Check Box 227">
              <controlPr defaultSize="0" autoFill="0" autoLine="0" autoPict="0">
                <anchor moveWithCells="1">
                  <from>
                    <xdr:col>0</xdr:col>
                    <xdr:colOff>276225</xdr:colOff>
                    <xdr:row>227</xdr:row>
                    <xdr:rowOff>9525</xdr:rowOff>
                  </from>
                  <to>
                    <xdr:col>3</xdr:col>
                    <xdr:colOff>95250</xdr:colOff>
                    <xdr:row>227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0" name="Check Box 228">
              <controlPr defaultSize="0" autoFill="0" autoLine="0" autoPict="0">
                <anchor moveWithCells="1">
                  <from>
                    <xdr:col>0</xdr:col>
                    <xdr:colOff>276225</xdr:colOff>
                    <xdr:row>228</xdr:row>
                    <xdr:rowOff>9525</xdr:rowOff>
                  </from>
                  <to>
                    <xdr:col>3</xdr:col>
                    <xdr:colOff>95250</xdr:colOff>
                    <xdr:row>228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1" name="Check Box 229">
              <controlPr defaultSize="0" autoFill="0" autoLine="0" autoPict="0">
                <anchor moveWithCells="1">
                  <from>
                    <xdr:col>0</xdr:col>
                    <xdr:colOff>276225</xdr:colOff>
                    <xdr:row>229</xdr:row>
                    <xdr:rowOff>9525</xdr:rowOff>
                  </from>
                  <to>
                    <xdr:col>3</xdr:col>
                    <xdr:colOff>95250</xdr:colOff>
                    <xdr:row>229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2" name="Check Box 230">
              <controlPr defaultSize="0" autoFill="0" autoLine="0" autoPict="0">
                <anchor moveWithCells="1">
                  <from>
                    <xdr:col>0</xdr:col>
                    <xdr:colOff>276225</xdr:colOff>
                    <xdr:row>230</xdr:row>
                    <xdr:rowOff>9525</xdr:rowOff>
                  </from>
                  <to>
                    <xdr:col>3</xdr:col>
                    <xdr:colOff>95250</xdr:colOff>
                    <xdr:row>230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3" name="Check Box 231">
              <controlPr defaultSize="0" autoFill="0" autoLine="0" autoPict="0">
                <anchor moveWithCells="1">
                  <from>
                    <xdr:col>0</xdr:col>
                    <xdr:colOff>276225</xdr:colOff>
                    <xdr:row>231</xdr:row>
                    <xdr:rowOff>9525</xdr:rowOff>
                  </from>
                  <to>
                    <xdr:col>3</xdr:col>
                    <xdr:colOff>95250</xdr:colOff>
                    <xdr:row>231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4" name="Check Box 232">
              <controlPr defaultSize="0" autoFill="0" autoLine="0" autoPict="0">
                <anchor moveWithCells="1">
                  <from>
                    <xdr:col>0</xdr:col>
                    <xdr:colOff>276225</xdr:colOff>
                    <xdr:row>232</xdr:row>
                    <xdr:rowOff>9525</xdr:rowOff>
                  </from>
                  <to>
                    <xdr:col>3</xdr:col>
                    <xdr:colOff>95250</xdr:colOff>
                    <xdr:row>232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5" name="Check Box 233">
              <controlPr defaultSize="0" autoFill="0" autoLine="0" autoPict="0">
                <anchor moveWithCells="1">
                  <from>
                    <xdr:col>0</xdr:col>
                    <xdr:colOff>276225</xdr:colOff>
                    <xdr:row>233</xdr:row>
                    <xdr:rowOff>9525</xdr:rowOff>
                  </from>
                  <to>
                    <xdr:col>3</xdr:col>
                    <xdr:colOff>95250</xdr:colOff>
                    <xdr:row>233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6" name="Check Box 234">
              <controlPr defaultSize="0" autoFill="0" autoLine="0" autoPict="0">
                <anchor moveWithCells="1">
                  <from>
                    <xdr:col>0</xdr:col>
                    <xdr:colOff>276225</xdr:colOff>
                    <xdr:row>234</xdr:row>
                    <xdr:rowOff>9525</xdr:rowOff>
                  </from>
                  <to>
                    <xdr:col>3</xdr:col>
                    <xdr:colOff>95250</xdr:colOff>
                    <xdr:row>234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7" name="Check Box 235">
              <controlPr defaultSize="0" autoFill="0" autoLine="0" autoPict="0">
                <anchor moveWithCells="1">
                  <from>
                    <xdr:col>0</xdr:col>
                    <xdr:colOff>276225</xdr:colOff>
                    <xdr:row>235</xdr:row>
                    <xdr:rowOff>9525</xdr:rowOff>
                  </from>
                  <to>
                    <xdr:col>3</xdr:col>
                    <xdr:colOff>95250</xdr:colOff>
                    <xdr:row>235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8" name="Check Box 236">
              <controlPr defaultSize="0" autoFill="0" autoLine="0" autoPict="0">
                <anchor moveWithCells="1">
                  <from>
                    <xdr:col>0</xdr:col>
                    <xdr:colOff>276225</xdr:colOff>
                    <xdr:row>236</xdr:row>
                    <xdr:rowOff>9525</xdr:rowOff>
                  </from>
                  <to>
                    <xdr:col>3</xdr:col>
                    <xdr:colOff>95250</xdr:colOff>
                    <xdr:row>236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9" name="Check Box 237">
              <controlPr defaultSize="0" autoFill="0" autoLine="0" autoPict="0">
                <anchor moveWithCells="1">
                  <from>
                    <xdr:col>0</xdr:col>
                    <xdr:colOff>276225</xdr:colOff>
                    <xdr:row>237</xdr:row>
                    <xdr:rowOff>9525</xdr:rowOff>
                  </from>
                  <to>
                    <xdr:col>3</xdr:col>
                    <xdr:colOff>95250</xdr:colOff>
                    <xdr:row>237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0" name="Check Box 238">
              <controlPr defaultSize="0" autoFill="0" autoLine="0" autoPict="0">
                <anchor moveWithCells="1">
                  <from>
                    <xdr:col>0</xdr:col>
                    <xdr:colOff>276225</xdr:colOff>
                    <xdr:row>238</xdr:row>
                    <xdr:rowOff>9525</xdr:rowOff>
                  </from>
                  <to>
                    <xdr:col>3</xdr:col>
                    <xdr:colOff>95250</xdr:colOff>
                    <xdr:row>238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1" name="Check Box 239">
              <controlPr defaultSize="0" autoFill="0" autoLine="0" autoPict="0">
                <anchor moveWithCells="1">
                  <from>
                    <xdr:col>0</xdr:col>
                    <xdr:colOff>276225</xdr:colOff>
                    <xdr:row>239</xdr:row>
                    <xdr:rowOff>9525</xdr:rowOff>
                  </from>
                  <to>
                    <xdr:col>3</xdr:col>
                    <xdr:colOff>95250</xdr:colOff>
                    <xdr:row>239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2" name="Check Box 240">
              <controlPr defaultSize="0" autoFill="0" autoLine="0" autoPict="0">
                <anchor moveWithCells="1">
                  <from>
                    <xdr:col>0</xdr:col>
                    <xdr:colOff>276225</xdr:colOff>
                    <xdr:row>240</xdr:row>
                    <xdr:rowOff>9525</xdr:rowOff>
                  </from>
                  <to>
                    <xdr:col>3</xdr:col>
                    <xdr:colOff>95250</xdr:colOff>
                    <xdr:row>240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3" name="Check Box 241">
              <controlPr defaultSize="0" autoFill="0" autoLine="0" autoPict="0">
                <anchor moveWithCells="1">
                  <from>
                    <xdr:col>0</xdr:col>
                    <xdr:colOff>276225</xdr:colOff>
                    <xdr:row>241</xdr:row>
                    <xdr:rowOff>9525</xdr:rowOff>
                  </from>
                  <to>
                    <xdr:col>3</xdr:col>
                    <xdr:colOff>95250</xdr:colOff>
                    <xdr:row>241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4" name="Check Box 242">
              <controlPr defaultSize="0" autoFill="0" autoLine="0" autoPict="0">
                <anchor moveWithCells="1">
                  <from>
                    <xdr:col>0</xdr:col>
                    <xdr:colOff>276225</xdr:colOff>
                    <xdr:row>242</xdr:row>
                    <xdr:rowOff>9525</xdr:rowOff>
                  </from>
                  <to>
                    <xdr:col>3</xdr:col>
                    <xdr:colOff>95250</xdr:colOff>
                    <xdr:row>242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5" name="Check Box 243">
              <controlPr defaultSize="0" autoFill="0" autoLine="0" autoPict="0">
                <anchor moveWithCells="1">
                  <from>
                    <xdr:col>0</xdr:col>
                    <xdr:colOff>276225</xdr:colOff>
                    <xdr:row>243</xdr:row>
                    <xdr:rowOff>9525</xdr:rowOff>
                  </from>
                  <to>
                    <xdr:col>3</xdr:col>
                    <xdr:colOff>95250</xdr:colOff>
                    <xdr:row>243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6" name="Check Box 244">
              <controlPr defaultSize="0" autoFill="0" autoLine="0" autoPict="0">
                <anchor moveWithCells="1">
                  <from>
                    <xdr:col>0</xdr:col>
                    <xdr:colOff>276225</xdr:colOff>
                    <xdr:row>244</xdr:row>
                    <xdr:rowOff>9525</xdr:rowOff>
                  </from>
                  <to>
                    <xdr:col>3</xdr:col>
                    <xdr:colOff>95250</xdr:colOff>
                    <xdr:row>244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7" name="Check Box 245">
              <controlPr defaultSize="0" autoFill="0" autoLine="0" autoPict="0">
                <anchor moveWithCells="1">
                  <from>
                    <xdr:col>0</xdr:col>
                    <xdr:colOff>276225</xdr:colOff>
                    <xdr:row>245</xdr:row>
                    <xdr:rowOff>9525</xdr:rowOff>
                  </from>
                  <to>
                    <xdr:col>3</xdr:col>
                    <xdr:colOff>95250</xdr:colOff>
                    <xdr:row>245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8" name="Check Box 246">
              <controlPr defaultSize="0" autoFill="0" autoLine="0" autoPict="0">
                <anchor moveWithCells="1">
                  <from>
                    <xdr:col>0</xdr:col>
                    <xdr:colOff>276225</xdr:colOff>
                    <xdr:row>246</xdr:row>
                    <xdr:rowOff>9525</xdr:rowOff>
                  </from>
                  <to>
                    <xdr:col>3</xdr:col>
                    <xdr:colOff>95250</xdr:colOff>
                    <xdr:row>246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9" name="Check Box 247">
              <controlPr defaultSize="0" autoFill="0" autoLine="0" autoPict="0">
                <anchor moveWithCells="1">
                  <from>
                    <xdr:col>0</xdr:col>
                    <xdr:colOff>276225</xdr:colOff>
                    <xdr:row>247</xdr:row>
                    <xdr:rowOff>9525</xdr:rowOff>
                  </from>
                  <to>
                    <xdr:col>3</xdr:col>
                    <xdr:colOff>95250</xdr:colOff>
                    <xdr:row>247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0" name="Check Box 248">
              <controlPr defaultSize="0" autoFill="0" autoLine="0" autoPict="0">
                <anchor moveWithCells="1">
                  <from>
                    <xdr:col>0</xdr:col>
                    <xdr:colOff>276225</xdr:colOff>
                    <xdr:row>248</xdr:row>
                    <xdr:rowOff>9525</xdr:rowOff>
                  </from>
                  <to>
                    <xdr:col>3</xdr:col>
                    <xdr:colOff>95250</xdr:colOff>
                    <xdr:row>248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1" name="Check Box 249">
              <controlPr defaultSize="0" autoFill="0" autoLine="0" autoPict="0">
                <anchor moveWithCells="1">
                  <from>
                    <xdr:col>0</xdr:col>
                    <xdr:colOff>276225</xdr:colOff>
                    <xdr:row>249</xdr:row>
                    <xdr:rowOff>9525</xdr:rowOff>
                  </from>
                  <to>
                    <xdr:col>3</xdr:col>
                    <xdr:colOff>95250</xdr:colOff>
                    <xdr:row>249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2" name="Check Box 250">
              <controlPr defaultSize="0" autoFill="0" autoLine="0" autoPict="0">
                <anchor moveWithCells="1">
                  <from>
                    <xdr:col>0</xdr:col>
                    <xdr:colOff>276225</xdr:colOff>
                    <xdr:row>250</xdr:row>
                    <xdr:rowOff>9525</xdr:rowOff>
                  </from>
                  <to>
                    <xdr:col>3</xdr:col>
                    <xdr:colOff>95250</xdr:colOff>
                    <xdr:row>250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3" name="Check Box 251">
              <controlPr defaultSize="0" autoFill="0" autoLine="0" autoPict="0">
                <anchor moveWithCells="1">
                  <from>
                    <xdr:col>0</xdr:col>
                    <xdr:colOff>276225</xdr:colOff>
                    <xdr:row>251</xdr:row>
                    <xdr:rowOff>9525</xdr:rowOff>
                  </from>
                  <to>
                    <xdr:col>3</xdr:col>
                    <xdr:colOff>95250</xdr:colOff>
                    <xdr:row>251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4" name="Check Box 252">
              <controlPr defaultSize="0" autoFill="0" autoLine="0" autoPict="0">
                <anchor moveWithCells="1">
                  <from>
                    <xdr:col>0</xdr:col>
                    <xdr:colOff>276225</xdr:colOff>
                    <xdr:row>252</xdr:row>
                    <xdr:rowOff>9525</xdr:rowOff>
                  </from>
                  <to>
                    <xdr:col>3</xdr:col>
                    <xdr:colOff>95250</xdr:colOff>
                    <xdr:row>252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5" name="Check Box 253">
              <controlPr defaultSize="0" autoFill="0" autoLine="0" autoPict="0">
                <anchor moveWithCells="1">
                  <from>
                    <xdr:col>0</xdr:col>
                    <xdr:colOff>276225</xdr:colOff>
                    <xdr:row>253</xdr:row>
                    <xdr:rowOff>9525</xdr:rowOff>
                  </from>
                  <to>
                    <xdr:col>3</xdr:col>
                    <xdr:colOff>95250</xdr:colOff>
                    <xdr:row>253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6" name="Check Box 254">
              <controlPr defaultSize="0" autoFill="0" autoLine="0" autoPict="0">
                <anchor moveWithCells="1">
                  <from>
                    <xdr:col>0</xdr:col>
                    <xdr:colOff>276225</xdr:colOff>
                    <xdr:row>254</xdr:row>
                    <xdr:rowOff>9525</xdr:rowOff>
                  </from>
                  <to>
                    <xdr:col>3</xdr:col>
                    <xdr:colOff>95250</xdr:colOff>
                    <xdr:row>254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7" name="Check Box 255">
              <controlPr defaultSize="0" autoFill="0" autoLine="0" autoPict="0">
                <anchor moveWithCells="1">
                  <from>
                    <xdr:col>0</xdr:col>
                    <xdr:colOff>276225</xdr:colOff>
                    <xdr:row>255</xdr:row>
                    <xdr:rowOff>9525</xdr:rowOff>
                  </from>
                  <to>
                    <xdr:col>3</xdr:col>
                    <xdr:colOff>95250</xdr:colOff>
                    <xdr:row>255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8" name="Check Box 256">
              <controlPr defaultSize="0" autoFill="0" autoLine="0" autoPict="0">
                <anchor moveWithCells="1">
                  <from>
                    <xdr:col>0</xdr:col>
                    <xdr:colOff>276225</xdr:colOff>
                    <xdr:row>256</xdr:row>
                    <xdr:rowOff>9525</xdr:rowOff>
                  </from>
                  <to>
                    <xdr:col>3</xdr:col>
                    <xdr:colOff>95250</xdr:colOff>
                    <xdr:row>256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9" name="Check Box 257">
              <controlPr defaultSize="0" autoFill="0" autoLine="0" autoPict="0">
                <anchor moveWithCells="1">
                  <from>
                    <xdr:col>0</xdr:col>
                    <xdr:colOff>276225</xdr:colOff>
                    <xdr:row>257</xdr:row>
                    <xdr:rowOff>9525</xdr:rowOff>
                  </from>
                  <to>
                    <xdr:col>3</xdr:col>
                    <xdr:colOff>95250</xdr:colOff>
                    <xdr:row>257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0" name="Check Box 258">
              <controlPr defaultSize="0" autoFill="0" autoLine="0" autoPict="0">
                <anchor moveWithCells="1">
                  <from>
                    <xdr:col>0</xdr:col>
                    <xdr:colOff>276225</xdr:colOff>
                    <xdr:row>258</xdr:row>
                    <xdr:rowOff>9525</xdr:rowOff>
                  </from>
                  <to>
                    <xdr:col>3</xdr:col>
                    <xdr:colOff>95250</xdr:colOff>
                    <xdr:row>258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1" name="Check Box 259">
              <controlPr defaultSize="0" autoFill="0" autoLine="0" autoPict="0">
                <anchor moveWithCells="1">
                  <from>
                    <xdr:col>0</xdr:col>
                    <xdr:colOff>276225</xdr:colOff>
                    <xdr:row>259</xdr:row>
                    <xdr:rowOff>9525</xdr:rowOff>
                  </from>
                  <to>
                    <xdr:col>3</xdr:col>
                    <xdr:colOff>95250</xdr:colOff>
                    <xdr:row>259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2" name="Check Box 260">
              <controlPr defaultSize="0" autoFill="0" autoLine="0" autoPict="0">
                <anchor moveWithCells="1">
                  <from>
                    <xdr:col>0</xdr:col>
                    <xdr:colOff>276225</xdr:colOff>
                    <xdr:row>260</xdr:row>
                    <xdr:rowOff>9525</xdr:rowOff>
                  </from>
                  <to>
                    <xdr:col>3</xdr:col>
                    <xdr:colOff>95250</xdr:colOff>
                    <xdr:row>260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3" name="Check Box 261">
              <controlPr defaultSize="0" autoFill="0" autoLine="0" autoPict="0">
                <anchor moveWithCells="1">
                  <from>
                    <xdr:col>0</xdr:col>
                    <xdr:colOff>276225</xdr:colOff>
                    <xdr:row>261</xdr:row>
                    <xdr:rowOff>9525</xdr:rowOff>
                  </from>
                  <to>
                    <xdr:col>3</xdr:col>
                    <xdr:colOff>95250</xdr:colOff>
                    <xdr:row>261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4" name="Check Box 262">
              <controlPr defaultSize="0" autoFill="0" autoLine="0" autoPict="0">
                <anchor moveWithCells="1">
                  <from>
                    <xdr:col>0</xdr:col>
                    <xdr:colOff>276225</xdr:colOff>
                    <xdr:row>262</xdr:row>
                    <xdr:rowOff>9525</xdr:rowOff>
                  </from>
                  <to>
                    <xdr:col>3</xdr:col>
                    <xdr:colOff>95250</xdr:colOff>
                    <xdr:row>262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5" name="Check Box 263">
              <controlPr defaultSize="0" autoFill="0" autoLine="0" autoPict="0">
                <anchor moveWithCells="1">
                  <from>
                    <xdr:col>0</xdr:col>
                    <xdr:colOff>276225</xdr:colOff>
                    <xdr:row>263</xdr:row>
                    <xdr:rowOff>9525</xdr:rowOff>
                  </from>
                  <to>
                    <xdr:col>3</xdr:col>
                    <xdr:colOff>95250</xdr:colOff>
                    <xdr:row>263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6" name="Check Box 264">
              <controlPr defaultSize="0" autoFill="0" autoLine="0" autoPict="0">
                <anchor moveWithCells="1">
                  <from>
                    <xdr:col>0</xdr:col>
                    <xdr:colOff>276225</xdr:colOff>
                    <xdr:row>264</xdr:row>
                    <xdr:rowOff>9525</xdr:rowOff>
                  </from>
                  <to>
                    <xdr:col>3</xdr:col>
                    <xdr:colOff>95250</xdr:colOff>
                    <xdr:row>264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Check Box 265">
              <controlPr defaultSize="0" autoFill="0" autoLine="0" autoPict="0">
                <anchor moveWithCells="1">
                  <from>
                    <xdr:col>0</xdr:col>
                    <xdr:colOff>276225</xdr:colOff>
                    <xdr:row>265</xdr:row>
                    <xdr:rowOff>9525</xdr:rowOff>
                  </from>
                  <to>
                    <xdr:col>3</xdr:col>
                    <xdr:colOff>95250</xdr:colOff>
                    <xdr:row>265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8" name="Check Box 266">
              <controlPr defaultSize="0" autoFill="0" autoLine="0" autoPict="0">
                <anchor moveWithCells="1">
                  <from>
                    <xdr:col>0</xdr:col>
                    <xdr:colOff>276225</xdr:colOff>
                    <xdr:row>266</xdr:row>
                    <xdr:rowOff>9525</xdr:rowOff>
                  </from>
                  <to>
                    <xdr:col>3</xdr:col>
                    <xdr:colOff>95250</xdr:colOff>
                    <xdr:row>266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9" name="Check Box 267">
              <controlPr defaultSize="0" autoFill="0" autoLine="0" autoPict="0">
                <anchor moveWithCells="1">
                  <from>
                    <xdr:col>0</xdr:col>
                    <xdr:colOff>276225</xdr:colOff>
                    <xdr:row>267</xdr:row>
                    <xdr:rowOff>9525</xdr:rowOff>
                  </from>
                  <to>
                    <xdr:col>3</xdr:col>
                    <xdr:colOff>95250</xdr:colOff>
                    <xdr:row>267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0" name="Check Box 268">
              <controlPr defaultSize="0" autoFill="0" autoLine="0" autoPict="0">
                <anchor moveWithCells="1">
                  <from>
                    <xdr:col>0</xdr:col>
                    <xdr:colOff>276225</xdr:colOff>
                    <xdr:row>268</xdr:row>
                    <xdr:rowOff>9525</xdr:rowOff>
                  </from>
                  <to>
                    <xdr:col>3</xdr:col>
                    <xdr:colOff>95250</xdr:colOff>
                    <xdr:row>268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1" name="Check Box 269">
              <controlPr defaultSize="0" autoFill="0" autoLine="0" autoPict="0">
                <anchor moveWithCells="1">
                  <from>
                    <xdr:col>0</xdr:col>
                    <xdr:colOff>276225</xdr:colOff>
                    <xdr:row>269</xdr:row>
                    <xdr:rowOff>9525</xdr:rowOff>
                  </from>
                  <to>
                    <xdr:col>3</xdr:col>
                    <xdr:colOff>95250</xdr:colOff>
                    <xdr:row>269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2" name="Check Box 270">
              <controlPr defaultSize="0" autoFill="0" autoLine="0" autoPict="0">
                <anchor moveWithCells="1">
                  <from>
                    <xdr:col>0</xdr:col>
                    <xdr:colOff>276225</xdr:colOff>
                    <xdr:row>270</xdr:row>
                    <xdr:rowOff>9525</xdr:rowOff>
                  </from>
                  <to>
                    <xdr:col>3</xdr:col>
                    <xdr:colOff>95250</xdr:colOff>
                    <xdr:row>270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3" name="Check Box 271">
              <controlPr defaultSize="0" autoFill="0" autoLine="0" autoPict="0">
                <anchor moveWithCells="1">
                  <from>
                    <xdr:col>0</xdr:col>
                    <xdr:colOff>276225</xdr:colOff>
                    <xdr:row>271</xdr:row>
                    <xdr:rowOff>9525</xdr:rowOff>
                  </from>
                  <to>
                    <xdr:col>3</xdr:col>
                    <xdr:colOff>95250</xdr:colOff>
                    <xdr:row>271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4" name="Check Box 272">
              <controlPr defaultSize="0" autoFill="0" autoLine="0" autoPict="0">
                <anchor moveWithCells="1">
                  <from>
                    <xdr:col>0</xdr:col>
                    <xdr:colOff>276225</xdr:colOff>
                    <xdr:row>272</xdr:row>
                    <xdr:rowOff>9525</xdr:rowOff>
                  </from>
                  <to>
                    <xdr:col>3</xdr:col>
                    <xdr:colOff>95250</xdr:colOff>
                    <xdr:row>272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5" name="Check Box 273">
              <controlPr defaultSize="0" autoFill="0" autoLine="0" autoPict="0">
                <anchor moveWithCells="1">
                  <from>
                    <xdr:col>0</xdr:col>
                    <xdr:colOff>276225</xdr:colOff>
                    <xdr:row>273</xdr:row>
                    <xdr:rowOff>9525</xdr:rowOff>
                  </from>
                  <to>
                    <xdr:col>3</xdr:col>
                    <xdr:colOff>95250</xdr:colOff>
                    <xdr:row>273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6" name="Check Box 274">
              <controlPr defaultSize="0" autoFill="0" autoLine="0" autoPict="0">
                <anchor moveWithCells="1">
                  <from>
                    <xdr:col>0</xdr:col>
                    <xdr:colOff>276225</xdr:colOff>
                    <xdr:row>274</xdr:row>
                    <xdr:rowOff>9525</xdr:rowOff>
                  </from>
                  <to>
                    <xdr:col>3</xdr:col>
                    <xdr:colOff>95250</xdr:colOff>
                    <xdr:row>274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7" name="Check Box 275">
              <controlPr defaultSize="0" autoFill="0" autoLine="0" autoPict="0">
                <anchor moveWithCells="1">
                  <from>
                    <xdr:col>0</xdr:col>
                    <xdr:colOff>276225</xdr:colOff>
                    <xdr:row>275</xdr:row>
                    <xdr:rowOff>9525</xdr:rowOff>
                  </from>
                  <to>
                    <xdr:col>3</xdr:col>
                    <xdr:colOff>95250</xdr:colOff>
                    <xdr:row>275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8" name="Check Box 276">
              <controlPr defaultSize="0" autoFill="0" autoLine="0" autoPict="0">
                <anchor moveWithCells="1">
                  <from>
                    <xdr:col>0</xdr:col>
                    <xdr:colOff>276225</xdr:colOff>
                    <xdr:row>276</xdr:row>
                    <xdr:rowOff>9525</xdr:rowOff>
                  </from>
                  <to>
                    <xdr:col>3</xdr:col>
                    <xdr:colOff>95250</xdr:colOff>
                    <xdr:row>276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9" name="Check Box 277">
              <controlPr defaultSize="0" autoFill="0" autoLine="0" autoPict="0">
                <anchor moveWithCells="1">
                  <from>
                    <xdr:col>0</xdr:col>
                    <xdr:colOff>276225</xdr:colOff>
                    <xdr:row>277</xdr:row>
                    <xdr:rowOff>9525</xdr:rowOff>
                  </from>
                  <to>
                    <xdr:col>3</xdr:col>
                    <xdr:colOff>95250</xdr:colOff>
                    <xdr:row>277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0" name="Check Box 278">
              <controlPr defaultSize="0" autoFill="0" autoLine="0" autoPict="0">
                <anchor moveWithCells="1">
                  <from>
                    <xdr:col>0</xdr:col>
                    <xdr:colOff>276225</xdr:colOff>
                    <xdr:row>278</xdr:row>
                    <xdr:rowOff>9525</xdr:rowOff>
                  </from>
                  <to>
                    <xdr:col>3</xdr:col>
                    <xdr:colOff>95250</xdr:colOff>
                    <xdr:row>278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1" name="Check Box 279">
              <controlPr defaultSize="0" autoFill="0" autoLine="0" autoPict="0">
                <anchor moveWithCells="1">
                  <from>
                    <xdr:col>0</xdr:col>
                    <xdr:colOff>276225</xdr:colOff>
                    <xdr:row>279</xdr:row>
                    <xdr:rowOff>9525</xdr:rowOff>
                  </from>
                  <to>
                    <xdr:col>3</xdr:col>
                    <xdr:colOff>95250</xdr:colOff>
                    <xdr:row>279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2" name="Check Box 280">
              <controlPr defaultSize="0" autoFill="0" autoLine="0" autoPict="0">
                <anchor moveWithCells="1">
                  <from>
                    <xdr:col>0</xdr:col>
                    <xdr:colOff>276225</xdr:colOff>
                    <xdr:row>280</xdr:row>
                    <xdr:rowOff>9525</xdr:rowOff>
                  </from>
                  <to>
                    <xdr:col>3</xdr:col>
                    <xdr:colOff>95250</xdr:colOff>
                    <xdr:row>280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3" name="Check Box 281">
              <controlPr defaultSize="0" autoFill="0" autoLine="0" autoPict="0">
                <anchor moveWithCells="1">
                  <from>
                    <xdr:col>0</xdr:col>
                    <xdr:colOff>276225</xdr:colOff>
                    <xdr:row>281</xdr:row>
                    <xdr:rowOff>9525</xdr:rowOff>
                  </from>
                  <to>
                    <xdr:col>3</xdr:col>
                    <xdr:colOff>95250</xdr:colOff>
                    <xdr:row>281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4" name="Check Box 282">
              <controlPr defaultSize="0" autoFill="0" autoLine="0" autoPict="0">
                <anchor moveWithCells="1">
                  <from>
                    <xdr:col>0</xdr:col>
                    <xdr:colOff>276225</xdr:colOff>
                    <xdr:row>282</xdr:row>
                    <xdr:rowOff>9525</xdr:rowOff>
                  </from>
                  <to>
                    <xdr:col>3</xdr:col>
                    <xdr:colOff>95250</xdr:colOff>
                    <xdr:row>282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5" name="Check Box 283">
              <controlPr defaultSize="0" autoFill="0" autoLine="0" autoPict="0">
                <anchor moveWithCells="1">
                  <from>
                    <xdr:col>0</xdr:col>
                    <xdr:colOff>276225</xdr:colOff>
                    <xdr:row>283</xdr:row>
                    <xdr:rowOff>9525</xdr:rowOff>
                  </from>
                  <to>
                    <xdr:col>3</xdr:col>
                    <xdr:colOff>95250</xdr:colOff>
                    <xdr:row>283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6" name="Check Box 284">
              <controlPr defaultSize="0" autoFill="0" autoLine="0" autoPict="0">
                <anchor moveWithCells="1">
                  <from>
                    <xdr:col>0</xdr:col>
                    <xdr:colOff>276225</xdr:colOff>
                    <xdr:row>284</xdr:row>
                    <xdr:rowOff>9525</xdr:rowOff>
                  </from>
                  <to>
                    <xdr:col>3</xdr:col>
                    <xdr:colOff>95250</xdr:colOff>
                    <xdr:row>284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7" name="Check Box 285">
              <controlPr defaultSize="0" autoFill="0" autoLine="0" autoPict="0">
                <anchor moveWithCells="1">
                  <from>
                    <xdr:col>0</xdr:col>
                    <xdr:colOff>276225</xdr:colOff>
                    <xdr:row>285</xdr:row>
                    <xdr:rowOff>9525</xdr:rowOff>
                  </from>
                  <to>
                    <xdr:col>3</xdr:col>
                    <xdr:colOff>95250</xdr:colOff>
                    <xdr:row>285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8" name="Check Box 286">
              <controlPr defaultSize="0" autoFill="0" autoLine="0" autoPict="0">
                <anchor moveWithCells="1">
                  <from>
                    <xdr:col>0</xdr:col>
                    <xdr:colOff>276225</xdr:colOff>
                    <xdr:row>286</xdr:row>
                    <xdr:rowOff>9525</xdr:rowOff>
                  </from>
                  <to>
                    <xdr:col>3</xdr:col>
                    <xdr:colOff>95250</xdr:colOff>
                    <xdr:row>286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9" name="Check Box 287">
              <controlPr defaultSize="0" autoFill="0" autoLine="0" autoPict="0">
                <anchor moveWithCells="1">
                  <from>
                    <xdr:col>0</xdr:col>
                    <xdr:colOff>276225</xdr:colOff>
                    <xdr:row>287</xdr:row>
                    <xdr:rowOff>9525</xdr:rowOff>
                  </from>
                  <to>
                    <xdr:col>3</xdr:col>
                    <xdr:colOff>95250</xdr:colOff>
                    <xdr:row>287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0" name="Check Box 288">
              <controlPr defaultSize="0" autoFill="0" autoLine="0" autoPict="0">
                <anchor moveWithCells="1">
                  <from>
                    <xdr:col>0</xdr:col>
                    <xdr:colOff>276225</xdr:colOff>
                    <xdr:row>288</xdr:row>
                    <xdr:rowOff>9525</xdr:rowOff>
                  </from>
                  <to>
                    <xdr:col>3</xdr:col>
                    <xdr:colOff>95250</xdr:colOff>
                    <xdr:row>288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1" name="Check Box 289">
              <controlPr defaultSize="0" autoFill="0" autoLine="0" autoPict="0">
                <anchor moveWithCells="1">
                  <from>
                    <xdr:col>0</xdr:col>
                    <xdr:colOff>276225</xdr:colOff>
                    <xdr:row>289</xdr:row>
                    <xdr:rowOff>9525</xdr:rowOff>
                  </from>
                  <to>
                    <xdr:col>3</xdr:col>
                    <xdr:colOff>95250</xdr:colOff>
                    <xdr:row>289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2" name="Check Box 290">
              <controlPr defaultSize="0" autoFill="0" autoLine="0" autoPict="0">
                <anchor moveWithCells="1">
                  <from>
                    <xdr:col>0</xdr:col>
                    <xdr:colOff>276225</xdr:colOff>
                    <xdr:row>290</xdr:row>
                    <xdr:rowOff>9525</xdr:rowOff>
                  </from>
                  <to>
                    <xdr:col>3</xdr:col>
                    <xdr:colOff>95250</xdr:colOff>
                    <xdr:row>290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3" name="Check Box 291">
              <controlPr defaultSize="0" autoFill="0" autoLine="0" autoPict="0">
                <anchor moveWithCells="1">
                  <from>
                    <xdr:col>0</xdr:col>
                    <xdr:colOff>276225</xdr:colOff>
                    <xdr:row>291</xdr:row>
                    <xdr:rowOff>9525</xdr:rowOff>
                  </from>
                  <to>
                    <xdr:col>3</xdr:col>
                    <xdr:colOff>95250</xdr:colOff>
                    <xdr:row>291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4" name="Check Box 292">
              <controlPr defaultSize="0" autoFill="0" autoLine="0" autoPict="0">
                <anchor moveWithCells="1">
                  <from>
                    <xdr:col>0</xdr:col>
                    <xdr:colOff>276225</xdr:colOff>
                    <xdr:row>292</xdr:row>
                    <xdr:rowOff>9525</xdr:rowOff>
                  </from>
                  <to>
                    <xdr:col>3</xdr:col>
                    <xdr:colOff>95250</xdr:colOff>
                    <xdr:row>292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5" name="Check Box 293">
              <controlPr defaultSize="0" autoFill="0" autoLine="0" autoPict="0">
                <anchor moveWithCells="1">
                  <from>
                    <xdr:col>0</xdr:col>
                    <xdr:colOff>276225</xdr:colOff>
                    <xdr:row>293</xdr:row>
                    <xdr:rowOff>9525</xdr:rowOff>
                  </from>
                  <to>
                    <xdr:col>3</xdr:col>
                    <xdr:colOff>95250</xdr:colOff>
                    <xdr:row>293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6" name="Check Box 294">
              <controlPr defaultSize="0" autoFill="0" autoLine="0" autoPict="0">
                <anchor moveWithCells="1">
                  <from>
                    <xdr:col>0</xdr:col>
                    <xdr:colOff>276225</xdr:colOff>
                    <xdr:row>294</xdr:row>
                    <xdr:rowOff>9525</xdr:rowOff>
                  </from>
                  <to>
                    <xdr:col>3</xdr:col>
                    <xdr:colOff>95250</xdr:colOff>
                    <xdr:row>294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7" name="Check Box 295">
              <controlPr defaultSize="0" autoFill="0" autoLine="0" autoPict="0">
                <anchor moveWithCells="1">
                  <from>
                    <xdr:col>0</xdr:col>
                    <xdr:colOff>276225</xdr:colOff>
                    <xdr:row>295</xdr:row>
                    <xdr:rowOff>9525</xdr:rowOff>
                  </from>
                  <to>
                    <xdr:col>3</xdr:col>
                    <xdr:colOff>95250</xdr:colOff>
                    <xdr:row>295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8" name="Check Box 296">
              <controlPr defaultSize="0" autoFill="0" autoLine="0" autoPict="0">
                <anchor moveWithCells="1">
                  <from>
                    <xdr:col>0</xdr:col>
                    <xdr:colOff>276225</xdr:colOff>
                    <xdr:row>296</xdr:row>
                    <xdr:rowOff>9525</xdr:rowOff>
                  </from>
                  <to>
                    <xdr:col>3</xdr:col>
                    <xdr:colOff>95250</xdr:colOff>
                    <xdr:row>296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9" name="Check Box 297">
              <controlPr defaultSize="0" autoFill="0" autoLine="0" autoPict="0">
                <anchor moveWithCells="1">
                  <from>
                    <xdr:col>0</xdr:col>
                    <xdr:colOff>276225</xdr:colOff>
                    <xdr:row>297</xdr:row>
                    <xdr:rowOff>9525</xdr:rowOff>
                  </from>
                  <to>
                    <xdr:col>3</xdr:col>
                    <xdr:colOff>95250</xdr:colOff>
                    <xdr:row>297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0" name="Check Box 298">
              <controlPr defaultSize="0" autoFill="0" autoLine="0" autoPict="0">
                <anchor moveWithCells="1">
                  <from>
                    <xdr:col>0</xdr:col>
                    <xdr:colOff>276225</xdr:colOff>
                    <xdr:row>298</xdr:row>
                    <xdr:rowOff>9525</xdr:rowOff>
                  </from>
                  <to>
                    <xdr:col>3</xdr:col>
                    <xdr:colOff>95250</xdr:colOff>
                    <xdr:row>298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1" name="Check Box 299">
              <controlPr defaultSize="0" autoFill="0" autoLine="0" autoPict="0">
                <anchor moveWithCells="1">
                  <from>
                    <xdr:col>0</xdr:col>
                    <xdr:colOff>276225</xdr:colOff>
                    <xdr:row>299</xdr:row>
                    <xdr:rowOff>9525</xdr:rowOff>
                  </from>
                  <to>
                    <xdr:col>3</xdr:col>
                    <xdr:colOff>95250</xdr:colOff>
                    <xdr:row>299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2" name="Check Box 300">
              <controlPr defaultSize="0" autoFill="0" autoLine="0" autoPict="0">
                <anchor moveWithCells="1">
                  <from>
                    <xdr:col>0</xdr:col>
                    <xdr:colOff>276225</xdr:colOff>
                    <xdr:row>300</xdr:row>
                    <xdr:rowOff>9525</xdr:rowOff>
                  </from>
                  <to>
                    <xdr:col>3</xdr:col>
                    <xdr:colOff>95250</xdr:colOff>
                    <xdr:row>300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3" name="Check Box 301">
              <controlPr defaultSize="0" autoFill="0" autoLine="0" autoPict="0">
                <anchor moveWithCells="1">
                  <from>
                    <xdr:col>0</xdr:col>
                    <xdr:colOff>276225</xdr:colOff>
                    <xdr:row>301</xdr:row>
                    <xdr:rowOff>9525</xdr:rowOff>
                  </from>
                  <to>
                    <xdr:col>3</xdr:col>
                    <xdr:colOff>95250</xdr:colOff>
                    <xdr:row>301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4" name="Check Box 302">
              <controlPr defaultSize="0" autoFill="0" autoLine="0" autoPict="0">
                <anchor moveWithCells="1">
                  <from>
                    <xdr:col>0</xdr:col>
                    <xdr:colOff>276225</xdr:colOff>
                    <xdr:row>302</xdr:row>
                    <xdr:rowOff>9525</xdr:rowOff>
                  </from>
                  <to>
                    <xdr:col>3</xdr:col>
                    <xdr:colOff>95250</xdr:colOff>
                    <xdr:row>302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5" name="Check Box 303">
              <controlPr defaultSize="0" autoFill="0" autoLine="0" autoPict="0">
                <anchor moveWithCells="1">
                  <from>
                    <xdr:col>0</xdr:col>
                    <xdr:colOff>276225</xdr:colOff>
                    <xdr:row>303</xdr:row>
                    <xdr:rowOff>9525</xdr:rowOff>
                  </from>
                  <to>
                    <xdr:col>3</xdr:col>
                    <xdr:colOff>95250</xdr:colOff>
                    <xdr:row>303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6" name="Check Box 304">
              <controlPr defaultSize="0" autoFill="0" autoLine="0" autoPict="0">
                <anchor moveWithCells="1">
                  <from>
                    <xdr:col>0</xdr:col>
                    <xdr:colOff>276225</xdr:colOff>
                    <xdr:row>304</xdr:row>
                    <xdr:rowOff>9525</xdr:rowOff>
                  </from>
                  <to>
                    <xdr:col>3</xdr:col>
                    <xdr:colOff>95250</xdr:colOff>
                    <xdr:row>304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7" name="Check Box 305">
              <controlPr defaultSize="0" autoFill="0" autoLine="0" autoPict="0">
                <anchor moveWithCells="1">
                  <from>
                    <xdr:col>0</xdr:col>
                    <xdr:colOff>276225</xdr:colOff>
                    <xdr:row>305</xdr:row>
                    <xdr:rowOff>9525</xdr:rowOff>
                  </from>
                  <to>
                    <xdr:col>3</xdr:col>
                    <xdr:colOff>95250</xdr:colOff>
                    <xdr:row>305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8" name="Check Box 306">
              <controlPr defaultSize="0" autoFill="0" autoLine="0" autoPict="0">
                <anchor moveWithCells="1">
                  <from>
                    <xdr:col>0</xdr:col>
                    <xdr:colOff>276225</xdr:colOff>
                    <xdr:row>306</xdr:row>
                    <xdr:rowOff>9525</xdr:rowOff>
                  </from>
                  <to>
                    <xdr:col>3</xdr:col>
                    <xdr:colOff>95250</xdr:colOff>
                    <xdr:row>306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9" name="Check Box 307">
              <controlPr defaultSize="0" autoFill="0" autoLine="0" autoPict="0">
                <anchor moveWithCells="1">
                  <from>
                    <xdr:col>0</xdr:col>
                    <xdr:colOff>276225</xdr:colOff>
                    <xdr:row>307</xdr:row>
                    <xdr:rowOff>9525</xdr:rowOff>
                  </from>
                  <to>
                    <xdr:col>3</xdr:col>
                    <xdr:colOff>95250</xdr:colOff>
                    <xdr:row>307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0" name="Check Box 308">
              <controlPr defaultSize="0" autoFill="0" autoLine="0" autoPict="0">
                <anchor moveWithCells="1">
                  <from>
                    <xdr:col>0</xdr:col>
                    <xdr:colOff>276225</xdr:colOff>
                    <xdr:row>308</xdr:row>
                    <xdr:rowOff>9525</xdr:rowOff>
                  </from>
                  <to>
                    <xdr:col>3</xdr:col>
                    <xdr:colOff>95250</xdr:colOff>
                    <xdr:row>308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1" name="Check Box 309">
              <controlPr defaultSize="0" autoFill="0" autoLine="0" autoPict="0">
                <anchor moveWithCells="1">
                  <from>
                    <xdr:col>0</xdr:col>
                    <xdr:colOff>276225</xdr:colOff>
                    <xdr:row>309</xdr:row>
                    <xdr:rowOff>9525</xdr:rowOff>
                  </from>
                  <to>
                    <xdr:col>3</xdr:col>
                    <xdr:colOff>95250</xdr:colOff>
                    <xdr:row>309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2" name="Check Box 310">
              <controlPr defaultSize="0" autoFill="0" autoLine="0" autoPict="0">
                <anchor moveWithCells="1">
                  <from>
                    <xdr:col>0</xdr:col>
                    <xdr:colOff>276225</xdr:colOff>
                    <xdr:row>310</xdr:row>
                    <xdr:rowOff>9525</xdr:rowOff>
                  </from>
                  <to>
                    <xdr:col>3</xdr:col>
                    <xdr:colOff>95250</xdr:colOff>
                    <xdr:row>310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3" name="Check Box 311">
              <controlPr defaultSize="0" autoFill="0" autoLine="0" autoPict="0">
                <anchor moveWithCells="1">
                  <from>
                    <xdr:col>0</xdr:col>
                    <xdr:colOff>276225</xdr:colOff>
                    <xdr:row>311</xdr:row>
                    <xdr:rowOff>9525</xdr:rowOff>
                  </from>
                  <to>
                    <xdr:col>3</xdr:col>
                    <xdr:colOff>95250</xdr:colOff>
                    <xdr:row>311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4" name="Check Box 312">
              <controlPr defaultSize="0" autoFill="0" autoLine="0" autoPict="0">
                <anchor moveWithCells="1">
                  <from>
                    <xdr:col>0</xdr:col>
                    <xdr:colOff>276225</xdr:colOff>
                    <xdr:row>312</xdr:row>
                    <xdr:rowOff>9525</xdr:rowOff>
                  </from>
                  <to>
                    <xdr:col>3</xdr:col>
                    <xdr:colOff>95250</xdr:colOff>
                    <xdr:row>312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5" name="Check Box 313">
              <controlPr defaultSize="0" autoFill="0" autoLine="0" autoPict="0">
                <anchor moveWithCells="1">
                  <from>
                    <xdr:col>0</xdr:col>
                    <xdr:colOff>276225</xdr:colOff>
                    <xdr:row>313</xdr:row>
                    <xdr:rowOff>9525</xdr:rowOff>
                  </from>
                  <to>
                    <xdr:col>3</xdr:col>
                    <xdr:colOff>95250</xdr:colOff>
                    <xdr:row>313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6" name="Check Box 314">
              <controlPr defaultSize="0" autoFill="0" autoLine="0" autoPict="0">
                <anchor moveWithCells="1">
                  <from>
                    <xdr:col>0</xdr:col>
                    <xdr:colOff>276225</xdr:colOff>
                    <xdr:row>314</xdr:row>
                    <xdr:rowOff>9525</xdr:rowOff>
                  </from>
                  <to>
                    <xdr:col>3</xdr:col>
                    <xdr:colOff>95250</xdr:colOff>
                    <xdr:row>314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7" name="Check Box 315">
              <controlPr defaultSize="0" autoFill="0" autoLine="0" autoPict="0">
                <anchor moveWithCells="1">
                  <from>
                    <xdr:col>0</xdr:col>
                    <xdr:colOff>276225</xdr:colOff>
                    <xdr:row>315</xdr:row>
                    <xdr:rowOff>9525</xdr:rowOff>
                  </from>
                  <to>
                    <xdr:col>3</xdr:col>
                    <xdr:colOff>95250</xdr:colOff>
                    <xdr:row>315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8" name="Check Box 316">
              <controlPr defaultSize="0" autoFill="0" autoLine="0" autoPict="0">
                <anchor moveWithCells="1">
                  <from>
                    <xdr:col>0</xdr:col>
                    <xdr:colOff>276225</xdr:colOff>
                    <xdr:row>316</xdr:row>
                    <xdr:rowOff>9525</xdr:rowOff>
                  </from>
                  <to>
                    <xdr:col>3</xdr:col>
                    <xdr:colOff>95250</xdr:colOff>
                    <xdr:row>316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9" name="Check Box 317">
              <controlPr defaultSize="0" autoFill="0" autoLine="0" autoPict="0">
                <anchor moveWithCells="1">
                  <from>
                    <xdr:col>0</xdr:col>
                    <xdr:colOff>276225</xdr:colOff>
                    <xdr:row>317</xdr:row>
                    <xdr:rowOff>9525</xdr:rowOff>
                  </from>
                  <to>
                    <xdr:col>3</xdr:col>
                    <xdr:colOff>95250</xdr:colOff>
                    <xdr:row>317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0" name="Check Box 318">
              <controlPr defaultSize="0" autoFill="0" autoLine="0" autoPict="0">
                <anchor moveWithCells="1">
                  <from>
                    <xdr:col>0</xdr:col>
                    <xdr:colOff>276225</xdr:colOff>
                    <xdr:row>318</xdr:row>
                    <xdr:rowOff>9525</xdr:rowOff>
                  </from>
                  <to>
                    <xdr:col>3</xdr:col>
                    <xdr:colOff>95250</xdr:colOff>
                    <xdr:row>318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1" name="Check Box 319">
              <controlPr defaultSize="0" autoFill="0" autoLine="0" autoPict="0">
                <anchor moveWithCells="1">
                  <from>
                    <xdr:col>0</xdr:col>
                    <xdr:colOff>276225</xdr:colOff>
                    <xdr:row>319</xdr:row>
                    <xdr:rowOff>9525</xdr:rowOff>
                  </from>
                  <to>
                    <xdr:col>3</xdr:col>
                    <xdr:colOff>95250</xdr:colOff>
                    <xdr:row>319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2" name="Check Box 320">
              <controlPr defaultSize="0" autoFill="0" autoLine="0" autoPict="0">
                <anchor moveWithCells="1">
                  <from>
                    <xdr:col>0</xdr:col>
                    <xdr:colOff>276225</xdr:colOff>
                    <xdr:row>320</xdr:row>
                    <xdr:rowOff>9525</xdr:rowOff>
                  </from>
                  <to>
                    <xdr:col>3</xdr:col>
                    <xdr:colOff>95250</xdr:colOff>
                    <xdr:row>320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3" name="Check Box 321">
              <controlPr defaultSize="0" autoFill="0" autoLine="0" autoPict="0">
                <anchor moveWithCells="1">
                  <from>
                    <xdr:col>0</xdr:col>
                    <xdr:colOff>276225</xdr:colOff>
                    <xdr:row>321</xdr:row>
                    <xdr:rowOff>9525</xdr:rowOff>
                  </from>
                  <to>
                    <xdr:col>3</xdr:col>
                    <xdr:colOff>95250</xdr:colOff>
                    <xdr:row>321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4" name="Check Box 322">
              <controlPr defaultSize="0" autoFill="0" autoLine="0" autoPict="0">
                <anchor moveWithCells="1">
                  <from>
                    <xdr:col>0</xdr:col>
                    <xdr:colOff>276225</xdr:colOff>
                    <xdr:row>322</xdr:row>
                    <xdr:rowOff>9525</xdr:rowOff>
                  </from>
                  <to>
                    <xdr:col>3</xdr:col>
                    <xdr:colOff>95250</xdr:colOff>
                    <xdr:row>322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5" name="Check Box 323">
              <controlPr defaultSize="0" autoFill="0" autoLine="0" autoPict="0">
                <anchor moveWithCells="1">
                  <from>
                    <xdr:col>0</xdr:col>
                    <xdr:colOff>276225</xdr:colOff>
                    <xdr:row>323</xdr:row>
                    <xdr:rowOff>9525</xdr:rowOff>
                  </from>
                  <to>
                    <xdr:col>3</xdr:col>
                    <xdr:colOff>95250</xdr:colOff>
                    <xdr:row>323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6" name="Check Box 324">
              <controlPr defaultSize="0" autoFill="0" autoLine="0" autoPict="0">
                <anchor moveWithCells="1">
                  <from>
                    <xdr:col>0</xdr:col>
                    <xdr:colOff>276225</xdr:colOff>
                    <xdr:row>324</xdr:row>
                    <xdr:rowOff>9525</xdr:rowOff>
                  </from>
                  <to>
                    <xdr:col>3</xdr:col>
                    <xdr:colOff>95250</xdr:colOff>
                    <xdr:row>324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7" name="Check Box 325">
              <controlPr defaultSize="0" autoFill="0" autoLine="0" autoPict="0">
                <anchor moveWithCells="1">
                  <from>
                    <xdr:col>0</xdr:col>
                    <xdr:colOff>276225</xdr:colOff>
                    <xdr:row>325</xdr:row>
                    <xdr:rowOff>9525</xdr:rowOff>
                  </from>
                  <to>
                    <xdr:col>3</xdr:col>
                    <xdr:colOff>95250</xdr:colOff>
                    <xdr:row>325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8" name="Check Box 326">
              <controlPr defaultSize="0" autoFill="0" autoLine="0" autoPict="0">
                <anchor moveWithCells="1">
                  <from>
                    <xdr:col>0</xdr:col>
                    <xdr:colOff>276225</xdr:colOff>
                    <xdr:row>326</xdr:row>
                    <xdr:rowOff>9525</xdr:rowOff>
                  </from>
                  <to>
                    <xdr:col>3</xdr:col>
                    <xdr:colOff>95250</xdr:colOff>
                    <xdr:row>326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9" name="Check Box 327">
              <controlPr defaultSize="0" autoFill="0" autoLine="0" autoPict="0">
                <anchor moveWithCells="1">
                  <from>
                    <xdr:col>0</xdr:col>
                    <xdr:colOff>276225</xdr:colOff>
                    <xdr:row>327</xdr:row>
                    <xdr:rowOff>9525</xdr:rowOff>
                  </from>
                  <to>
                    <xdr:col>3</xdr:col>
                    <xdr:colOff>95250</xdr:colOff>
                    <xdr:row>327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0" name="Check Box 328">
              <controlPr defaultSize="0" autoFill="0" autoLine="0" autoPict="0">
                <anchor moveWithCells="1">
                  <from>
                    <xdr:col>0</xdr:col>
                    <xdr:colOff>276225</xdr:colOff>
                    <xdr:row>328</xdr:row>
                    <xdr:rowOff>9525</xdr:rowOff>
                  </from>
                  <to>
                    <xdr:col>3</xdr:col>
                    <xdr:colOff>95250</xdr:colOff>
                    <xdr:row>328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1" name="Check Box 329">
              <controlPr defaultSize="0" autoFill="0" autoLine="0" autoPict="0">
                <anchor moveWithCells="1">
                  <from>
                    <xdr:col>0</xdr:col>
                    <xdr:colOff>276225</xdr:colOff>
                    <xdr:row>329</xdr:row>
                    <xdr:rowOff>9525</xdr:rowOff>
                  </from>
                  <to>
                    <xdr:col>3</xdr:col>
                    <xdr:colOff>95250</xdr:colOff>
                    <xdr:row>329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2" name="Check Box 330">
              <controlPr defaultSize="0" autoFill="0" autoLine="0" autoPict="0">
                <anchor moveWithCells="1">
                  <from>
                    <xdr:col>0</xdr:col>
                    <xdr:colOff>276225</xdr:colOff>
                    <xdr:row>330</xdr:row>
                    <xdr:rowOff>9525</xdr:rowOff>
                  </from>
                  <to>
                    <xdr:col>3</xdr:col>
                    <xdr:colOff>95250</xdr:colOff>
                    <xdr:row>330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3" name="Check Box 331">
              <controlPr defaultSize="0" autoFill="0" autoLine="0" autoPict="0">
                <anchor moveWithCells="1">
                  <from>
                    <xdr:col>0</xdr:col>
                    <xdr:colOff>276225</xdr:colOff>
                    <xdr:row>331</xdr:row>
                    <xdr:rowOff>9525</xdr:rowOff>
                  </from>
                  <to>
                    <xdr:col>3</xdr:col>
                    <xdr:colOff>95250</xdr:colOff>
                    <xdr:row>331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4" name="Check Box 332">
              <controlPr defaultSize="0" autoFill="0" autoLine="0" autoPict="0">
                <anchor moveWithCells="1">
                  <from>
                    <xdr:col>0</xdr:col>
                    <xdr:colOff>276225</xdr:colOff>
                    <xdr:row>332</xdr:row>
                    <xdr:rowOff>9525</xdr:rowOff>
                  </from>
                  <to>
                    <xdr:col>3</xdr:col>
                    <xdr:colOff>95250</xdr:colOff>
                    <xdr:row>332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5" name="Check Box 333">
              <controlPr defaultSize="0" autoFill="0" autoLine="0" autoPict="0">
                <anchor moveWithCells="1">
                  <from>
                    <xdr:col>0</xdr:col>
                    <xdr:colOff>276225</xdr:colOff>
                    <xdr:row>333</xdr:row>
                    <xdr:rowOff>9525</xdr:rowOff>
                  </from>
                  <to>
                    <xdr:col>3</xdr:col>
                    <xdr:colOff>95250</xdr:colOff>
                    <xdr:row>333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6" name="Check Box 334">
              <controlPr defaultSize="0" autoFill="0" autoLine="0" autoPict="0">
                <anchor moveWithCells="1">
                  <from>
                    <xdr:col>0</xdr:col>
                    <xdr:colOff>276225</xdr:colOff>
                    <xdr:row>334</xdr:row>
                    <xdr:rowOff>9525</xdr:rowOff>
                  </from>
                  <to>
                    <xdr:col>3</xdr:col>
                    <xdr:colOff>95250</xdr:colOff>
                    <xdr:row>334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7" name="Check Box 335">
              <controlPr defaultSize="0" autoFill="0" autoLine="0" autoPict="0">
                <anchor moveWithCells="1">
                  <from>
                    <xdr:col>0</xdr:col>
                    <xdr:colOff>276225</xdr:colOff>
                    <xdr:row>335</xdr:row>
                    <xdr:rowOff>9525</xdr:rowOff>
                  </from>
                  <to>
                    <xdr:col>3</xdr:col>
                    <xdr:colOff>95250</xdr:colOff>
                    <xdr:row>335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8" name="Check Box 336">
              <controlPr defaultSize="0" autoFill="0" autoLine="0" autoPict="0">
                <anchor moveWithCells="1">
                  <from>
                    <xdr:col>0</xdr:col>
                    <xdr:colOff>276225</xdr:colOff>
                    <xdr:row>336</xdr:row>
                    <xdr:rowOff>9525</xdr:rowOff>
                  </from>
                  <to>
                    <xdr:col>3</xdr:col>
                    <xdr:colOff>95250</xdr:colOff>
                    <xdr:row>336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9" name="Check Box 337">
              <controlPr defaultSize="0" autoFill="0" autoLine="0" autoPict="0">
                <anchor moveWithCells="1">
                  <from>
                    <xdr:col>0</xdr:col>
                    <xdr:colOff>276225</xdr:colOff>
                    <xdr:row>337</xdr:row>
                    <xdr:rowOff>9525</xdr:rowOff>
                  </from>
                  <to>
                    <xdr:col>3</xdr:col>
                    <xdr:colOff>95250</xdr:colOff>
                    <xdr:row>337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0" name="Check Box 338">
              <controlPr defaultSize="0" autoFill="0" autoLine="0" autoPict="0">
                <anchor moveWithCells="1">
                  <from>
                    <xdr:col>0</xdr:col>
                    <xdr:colOff>276225</xdr:colOff>
                    <xdr:row>338</xdr:row>
                    <xdr:rowOff>9525</xdr:rowOff>
                  </from>
                  <to>
                    <xdr:col>3</xdr:col>
                    <xdr:colOff>95250</xdr:colOff>
                    <xdr:row>338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1" name="Check Box 339">
              <controlPr defaultSize="0" autoFill="0" autoLine="0" autoPict="0">
                <anchor moveWithCells="1">
                  <from>
                    <xdr:col>0</xdr:col>
                    <xdr:colOff>276225</xdr:colOff>
                    <xdr:row>339</xdr:row>
                    <xdr:rowOff>9525</xdr:rowOff>
                  </from>
                  <to>
                    <xdr:col>3</xdr:col>
                    <xdr:colOff>95250</xdr:colOff>
                    <xdr:row>339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2" name="Check Box 340">
              <controlPr defaultSize="0" autoFill="0" autoLine="0" autoPict="0">
                <anchor moveWithCells="1">
                  <from>
                    <xdr:col>0</xdr:col>
                    <xdr:colOff>276225</xdr:colOff>
                    <xdr:row>340</xdr:row>
                    <xdr:rowOff>9525</xdr:rowOff>
                  </from>
                  <to>
                    <xdr:col>3</xdr:col>
                    <xdr:colOff>95250</xdr:colOff>
                    <xdr:row>340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3" name="Check Box 341">
              <controlPr defaultSize="0" autoFill="0" autoLine="0" autoPict="0">
                <anchor moveWithCells="1">
                  <from>
                    <xdr:col>0</xdr:col>
                    <xdr:colOff>276225</xdr:colOff>
                    <xdr:row>341</xdr:row>
                    <xdr:rowOff>9525</xdr:rowOff>
                  </from>
                  <to>
                    <xdr:col>3</xdr:col>
                    <xdr:colOff>95250</xdr:colOff>
                    <xdr:row>341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4" name="Check Box 342">
              <controlPr defaultSize="0" autoFill="0" autoLine="0" autoPict="0">
                <anchor moveWithCells="1">
                  <from>
                    <xdr:col>0</xdr:col>
                    <xdr:colOff>276225</xdr:colOff>
                    <xdr:row>342</xdr:row>
                    <xdr:rowOff>9525</xdr:rowOff>
                  </from>
                  <to>
                    <xdr:col>3</xdr:col>
                    <xdr:colOff>95250</xdr:colOff>
                    <xdr:row>342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5" name="Check Box 343">
              <controlPr defaultSize="0" autoFill="0" autoLine="0" autoPict="0">
                <anchor moveWithCells="1">
                  <from>
                    <xdr:col>0</xdr:col>
                    <xdr:colOff>276225</xdr:colOff>
                    <xdr:row>343</xdr:row>
                    <xdr:rowOff>9525</xdr:rowOff>
                  </from>
                  <to>
                    <xdr:col>3</xdr:col>
                    <xdr:colOff>95250</xdr:colOff>
                    <xdr:row>343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6" name="Check Box 344">
              <controlPr defaultSize="0" autoFill="0" autoLine="0" autoPict="0">
                <anchor moveWithCells="1">
                  <from>
                    <xdr:col>0</xdr:col>
                    <xdr:colOff>276225</xdr:colOff>
                    <xdr:row>344</xdr:row>
                    <xdr:rowOff>9525</xdr:rowOff>
                  </from>
                  <to>
                    <xdr:col>3</xdr:col>
                    <xdr:colOff>95250</xdr:colOff>
                    <xdr:row>344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7" name="Check Box 345">
              <controlPr defaultSize="0" autoFill="0" autoLine="0" autoPict="0">
                <anchor moveWithCells="1">
                  <from>
                    <xdr:col>0</xdr:col>
                    <xdr:colOff>276225</xdr:colOff>
                    <xdr:row>345</xdr:row>
                    <xdr:rowOff>9525</xdr:rowOff>
                  </from>
                  <to>
                    <xdr:col>3</xdr:col>
                    <xdr:colOff>95250</xdr:colOff>
                    <xdr:row>345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8" name="Check Box 346">
              <controlPr defaultSize="0" autoFill="0" autoLine="0" autoPict="0">
                <anchor moveWithCells="1">
                  <from>
                    <xdr:col>0</xdr:col>
                    <xdr:colOff>276225</xdr:colOff>
                    <xdr:row>346</xdr:row>
                    <xdr:rowOff>9525</xdr:rowOff>
                  </from>
                  <to>
                    <xdr:col>3</xdr:col>
                    <xdr:colOff>95250</xdr:colOff>
                    <xdr:row>346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9" name="Check Box 347">
              <controlPr defaultSize="0" autoFill="0" autoLine="0" autoPict="0">
                <anchor moveWithCells="1">
                  <from>
                    <xdr:col>0</xdr:col>
                    <xdr:colOff>276225</xdr:colOff>
                    <xdr:row>347</xdr:row>
                    <xdr:rowOff>9525</xdr:rowOff>
                  </from>
                  <to>
                    <xdr:col>3</xdr:col>
                    <xdr:colOff>95250</xdr:colOff>
                    <xdr:row>347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0" name="Check Box 348">
              <controlPr defaultSize="0" autoFill="0" autoLine="0" autoPict="0">
                <anchor moveWithCells="1">
                  <from>
                    <xdr:col>0</xdr:col>
                    <xdr:colOff>276225</xdr:colOff>
                    <xdr:row>348</xdr:row>
                    <xdr:rowOff>9525</xdr:rowOff>
                  </from>
                  <to>
                    <xdr:col>3</xdr:col>
                    <xdr:colOff>95250</xdr:colOff>
                    <xdr:row>348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1" name="Check Box 349">
              <controlPr defaultSize="0" autoFill="0" autoLine="0" autoPict="0">
                <anchor moveWithCells="1">
                  <from>
                    <xdr:col>0</xdr:col>
                    <xdr:colOff>276225</xdr:colOff>
                    <xdr:row>349</xdr:row>
                    <xdr:rowOff>9525</xdr:rowOff>
                  </from>
                  <to>
                    <xdr:col>3</xdr:col>
                    <xdr:colOff>95250</xdr:colOff>
                    <xdr:row>349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2" name="Check Box 350">
              <controlPr defaultSize="0" autoFill="0" autoLine="0" autoPict="0">
                <anchor moveWithCells="1">
                  <from>
                    <xdr:col>0</xdr:col>
                    <xdr:colOff>276225</xdr:colOff>
                    <xdr:row>350</xdr:row>
                    <xdr:rowOff>9525</xdr:rowOff>
                  </from>
                  <to>
                    <xdr:col>3</xdr:col>
                    <xdr:colOff>95250</xdr:colOff>
                    <xdr:row>350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3" name="Check Box 351">
              <controlPr defaultSize="0" autoFill="0" autoLine="0" autoPict="0">
                <anchor moveWithCells="1">
                  <from>
                    <xdr:col>0</xdr:col>
                    <xdr:colOff>276225</xdr:colOff>
                    <xdr:row>351</xdr:row>
                    <xdr:rowOff>9525</xdr:rowOff>
                  </from>
                  <to>
                    <xdr:col>3</xdr:col>
                    <xdr:colOff>95250</xdr:colOff>
                    <xdr:row>351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4" name="Check Box 352">
              <controlPr defaultSize="0" autoFill="0" autoLine="0" autoPict="0">
                <anchor moveWithCells="1">
                  <from>
                    <xdr:col>0</xdr:col>
                    <xdr:colOff>276225</xdr:colOff>
                    <xdr:row>352</xdr:row>
                    <xdr:rowOff>9525</xdr:rowOff>
                  </from>
                  <to>
                    <xdr:col>3</xdr:col>
                    <xdr:colOff>95250</xdr:colOff>
                    <xdr:row>352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5" name="Check Box 353">
              <controlPr defaultSize="0" autoFill="0" autoLine="0" autoPict="0">
                <anchor moveWithCells="1">
                  <from>
                    <xdr:col>0</xdr:col>
                    <xdr:colOff>276225</xdr:colOff>
                    <xdr:row>353</xdr:row>
                    <xdr:rowOff>9525</xdr:rowOff>
                  </from>
                  <to>
                    <xdr:col>3</xdr:col>
                    <xdr:colOff>95250</xdr:colOff>
                    <xdr:row>353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6" name="Check Box 354">
              <controlPr defaultSize="0" autoFill="0" autoLine="0" autoPict="0">
                <anchor moveWithCells="1">
                  <from>
                    <xdr:col>0</xdr:col>
                    <xdr:colOff>276225</xdr:colOff>
                    <xdr:row>354</xdr:row>
                    <xdr:rowOff>9525</xdr:rowOff>
                  </from>
                  <to>
                    <xdr:col>3</xdr:col>
                    <xdr:colOff>95250</xdr:colOff>
                    <xdr:row>354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7" name="Check Box 355">
              <controlPr defaultSize="0" autoFill="0" autoLine="0" autoPict="0">
                <anchor moveWithCells="1">
                  <from>
                    <xdr:col>0</xdr:col>
                    <xdr:colOff>276225</xdr:colOff>
                    <xdr:row>355</xdr:row>
                    <xdr:rowOff>9525</xdr:rowOff>
                  </from>
                  <to>
                    <xdr:col>3</xdr:col>
                    <xdr:colOff>95250</xdr:colOff>
                    <xdr:row>355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8" name="Check Box 356">
              <controlPr defaultSize="0" autoFill="0" autoLine="0" autoPict="0">
                <anchor moveWithCells="1">
                  <from>
                    <xdr:col>0</xdr:col>
                    <xdr:colOff>276225</xdr:colOff>
                    <xdr:row>356</xdr:row>
                    <xdr:rowOff>9525</xdr:rowOff>
                  </from>
                  <to>
                    <xdr:col>3</xdr:col>
                    <xdr:colOff>95250</xdr:colOff>
                    <xdr:row>356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9" name="Check Box 357">
              <controlPr defaultSize="0" autoFill="0" autoLine="0" autoPict="0">
                <anchor moveWithCells="1">
                  <from>
                    <xdr:col>0</xdr:col>
                    <xdr:colOff>276225</xdr:colOff>
                    <xdr:row>357</xdr:row>
                    <xdr:rowOff>9525</xdr:rowOff>
                  </from>
                  <to>
                    <xdr:col>3</xdr:col>
                    <xdr:colOff>95250</xdr:colOff>
                    <xdr:row>357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0" name="Check Box 358">
              <controlPr defaultSize="0" autoFill="0" autoLine="0" autoPict="0">
                <anchor moveWithCells="1">
                  <from>
                    <xdr:col>0</xdr:col>
                    <xdr:colOff>276225</xdr:colOff>
                    <xdr:row>358</xdr:row>
                    <xdr:rowOff>9525</xdr:rowOff>
                  </from>
                  <to>
                    <xdr:col>3</xdr:col>
                    <xdr:colOff>95250</xdr:colOff>
                    <xdr:row>358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1" name="Check Box 359">
              <controlPr defaultSize="0" autoFill="0" autoLine="0" autoPict="0">
                <anchor moveWithCells="1">
                  <from>
                    <xdr:col>0</xdr:col>
                    <xdr:colOff>276225</xdr:colOff>
                    <xdr:row>359</xdr:row>
                    <xdr:rowOff>9525</xdr:rowOff>
                  </from>
                  <to>
                    <xdr:col>3</xdr:col>
                    <xdr:colOff>95250</xdr:colOff>
                    <xdr:row>359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2" name="Check Box 360">
              <controlPr defaultSize="0" autoFill="0" autoLine="0" autoPict="0">
                <anchor moveWithCells="1">
                  <from>
                    <xdr:col>0</xdr:col>
                    <xdr:colOff>276225</xdr:colOff>
                    <xdr:row>360</xdr:row>
                    <xdr:rowOff>9525</xdr:rowOff>
                  </from>
                  <to>
                    <xdr:col>3</xdr:col>
                    <xdr:colOff>95250</xdr:colOff>
                    <xdr:row>360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3" name="Check Box 361">
              <controlPr defaultSize="0" autoFill="0" autoLine="0" autoPict="0">
                <anchor moveWithCells="1">
                  <from>
                    <xdr:col>0</xdr:col>
                    <xdr:colOff>276225</xdr:colOff>
                    <xdr:row>361</xdr:row>
                    <xdr:rowOff>9525</xdr:rowOff>
                  </from>
                  <to>
                    <xdr:col>3</xdr:col>
                    <xdr:colOff>95250</xdr:colOff>
                    <xdr:row>361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4" name="Check Box 362">
              <controlPr defaultSize="0" autoFill="0" autoLine="0" autoPict="0">
                <anchor moveWithCells="1">
                  <from>
                    <xdr:col>0</xdr:col>
                    <xdr:colOff>276225</xdr:colOff>
                    <xdr:row>362</xdr:row>
                    <xdr:rowOff>9525</xdr:rowOff>
                  </from>
                  <to>
                    <xdr:col>3</xdr:col>
                    <xdr:colOff>95250</xdr:colOff>
                    <xdr:row>362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5" name="Check Box 363">
              <controlPr defaultSize="0" autoFill="0" autoLine="0" autoPict="0">
                <anchor moveWithCells="1">
                  <from>
                    <xdr:col>0</xdr:col>
                    <xdr:colOff>276225</xdr:colOff>
                    <xdr:row>363</xdr:row>
                    <xdr:rowOff>9525</xdr:rowOff>
                  </from>
                  <to>
                    <xdr:col>3</xdr:col>
                    <xdr:colOff>95250</xdr:colOff>
                    <xdr:row>363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6" name="Check Box 364">
              <controlPr defaultSize="0" autoFill="0" autoLine="0" autoPict="0">
                <anchor moveWithCells="1">
                  <from>
                    <xdr:col>0</xdr:col>
                    <xdr:colOff>276225</xdr:colOff>
                    <xdr:row>364</xdr:row>
                    <xdr:rowOff>9525</xdr:rowOff>
                  </from>
                  <to>
                    <xdr:col>3</xdr:col>
                    <xdr:colOff>95250</xdr:colOff>
                    <xdr:row>364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7" name="Check Box 365">
              <controlPr defaultSize="0" autoFill="0" autoLine="0" autoPict="0">
                <anchor moveWithCells="1">
                  <from>
                    <xdr:col>0</xdr:col>
                    <xdr:colOff>276225</xdr:colOff>
                    <xdr:row>365</xdr:row>
                    <xdr:rowOff>9525</xdr:rowOff>
                  </from>
                  <to>
                    <xdr:col>3</xdr:col>
                    <xdr:colOff>95250</xdr:colOff>
                    <xdr:row>365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8" name="Check Box 366">
              <controlPr defaultSize="0" autoFill="0" autoLine="0" autoPict="0">
                <anchor moveWithCells="1">
                  <from>
                    <xdr:col>0</xdr:col>
                    <xdr:colOff>276225</xdr:colOff>
                    <xdr:row>366</xdr:row>
                    <xdr:rowOff>9525</xdr:rowOff>
                  </from>
                  <to>
                    <xdr:col>3</xdr:col>
                    <xdr:colOff>95250</xdr:colOff>
                    <xdr:row>366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9" name="Check Box 367">
              <controlPr defaultSize="0" autoFill="0" autoLine="0" autoPict="0">
                <anchor moveWithCells="1">
                  <from>
                    <xdr:col>0</xdr:col>
                    <xdr:colOff>276225</xdr:colOff>
                    <xdr:row>367</xdr:row>
                    <xdr:rowOff>9525</xdr:rowOff>
                  </from>
                  <to>
                    <xdr:col>3</xdr:col>
                    <xdr:colOff>95250</xdr:colOff>
                    <xdr:row>367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0" name="Check Box 368">
              <controlPr defaultSize="0" autoFill="0" autoLine="0" autoPict="0">
                <anchor moveWithCells="1">
                  <from>
                    <xdr:col>0</xdr:col>
                    <xdr:colOff>276225</xdr:colOff>
                    <xdr:row>368</xdr:row>
                    <xdr:rowOff>9525</xdr:rowOff>
                  </from>
                  <to>
                    <xdr:col>3</xdr:col>
                    <xdr:colOff>95250</xdr:colOff>
                    <xdr:row>368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1" name="Check Box 369">
              <controlPr defaultSize="0" autoFill="0" autoLine="0" autoPict="0">
                <anchor moveWithCells="1">
                  <from>
                    <xdr:col>0</xdr:col>
                    <xdr:colOff>276225</xdr:colOff>
                    <xdr:row>369</xdr:row>
                    <xdr:rowOff>9525</xdr:rowOff>
                  </from>
                  <to>
                    <xdr:col>3</xdr:col>
                    <xdr:colOff>95250</xdr:colOff>
                    <xdr:row>369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2" name="Check Box 370">
              <controlPr defaultSize="0" autoFill="0" autoLine="0" autoPict="0">
                <anchor moveWithCells="1">
                  <from>
                    <xdr:col>0</xdr:col>
                    <xdr:colOff>276225</xdr:colOff>
                    <xdr:row>370</xdr:row>
                    <xdr:rowOff>9525</xdr:rowOff>
                  </from>
                  <to>
                    <xdr:col>3</xdr:col>
                    <xdr:colOff>95250</xdr:colOff>
                    <xdr:row>370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3" name="Check Box 371">
              <controlPr defaultSize="0" autoFill="0" autoLine="0" autoPict="0">
                <anchor moveWithCells="1">
                  <from>
                    <xdr:col>0</xdr:col>
                    <xdr:colOff>276225</xdr:colOff>
                    <xdr:row>371</xdr:row>
                    <xdr:rowOff>9525</xdr:rowOff>
                  </from>
                  <to>
                    <xdr:col>3</xdr:col>
                    <xdr:colOff>95250</xdr:colOff>
                    <xdr:row>371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4" name="Check Box 372">
              <controlPr defaultSize="0" autoFill="0" autoLine="0" autoPict="0">
                <anchor moveWithCells="1">
                  <from>
                    <xdr:col>0</xdr:col>
                    <xdr:colOff>276225</xdr:colOff>
                    <xdr:row>372</xdr:row>
                    <xdr:rowOff>9525</xdr:rowOff>
                  </from>
                  <to>
                    <xdr:col>3</xdr:col>
                    <xdr:colOff>95250</xdr:colOff>
                    <xdr:row>372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5" name="Check Box 373">
              <controlPr defaultSize="0" autoFill="0" autoLine="0" autoPict="0">
                <anchor moveWithCells="1">
                  <from>
                    <xdr:col>0</xdr:col>
                    <xdr:colOff>276225</xdr:colOff>
                    <xdr:row>373</xdr:row>
                    <xdr:rowOff>9525</xdr:rowOff>
                  </from>
                  <to>
                    <xdr:col>3</xdr:col>
                    <xdr:colOff>95250</xdr:colOff>
                    <xdr:row>373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6" name="Check Box 374">
              <controlPr defaultSize="0" autoFill="0" autoLine="0" autoPict="0">
                <anchor moveWithCells="1">
                  <from>
                    <xdr:col>0</xdr:col>
                    <xdr:colOff>276225</xdr:colOff>
                    <xdr:row>374</xdr:row>
                    <xdr:rowOff>9525</xdr:rowOff>
                  </from>
                  <to>
                    <xdr:col>3</xdr:col>
                    <xdr:colOff>95250</xdr:colOff>
                    <xdr:row>374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7" name="Check Box 375">
              <controlPr defaultSize="0" autoFill="0" autoLine="0" autoPict="0">
                <anchor moveWithCells="1">
                  <from>
                    <xdr:col>0</xdr:col>
                    <xdr:colOff>276225</xdr:colOff>
                    <xdr:row>375</xdr:row>
                    <xdr:rowOff>9525</xdr:rowOff>
                  </from>
                  <to>
                    <xdr:col>3</xdr:col>
                    <xdr:colOff>95250</xdr:colOff>
                    <xdr:row>375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8" name="Check Box 376">
              <controlPr defaultSize="0" autoFill="0" autoLine="0" autoPict="0">
                <anchor moveWithCells="1">
                  <from>
                    <xdr:col>0</xdr:col>
                    <xdr:colOff>276225</xdr:colOff>
                    <xdr:row>376</xdr:row>
                    <xdr:rowOff>9525</xdr:rowOff>
                  </from>
                  <to>
                    <xdr:col>3</xdr:col>
                    <xdr:colOff>95250</xdr:colOff>
                    <xdr:row>376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9" name="Check Box 377">
              <controlPr defaultSize="0" autoFill="0" autoLine="0" autoPict="0">
                <anchor moveWithCells="1">
                  <from>
                    <xdr:col>0</xdr:col>
                    <xdr:colOff>276225</xdr:colOff>
                    <xdr:row>377</xdr:row>
                    <xdr:rowOff>9525</xdr:rowOff>
                  </from>
                  <to>
                    <xdr:col>3</xdr:col>
                    <xdr:colOff>95250</xdr:colOff>
                    <xdr:row>377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0" name="Check Box 378">
              <controlPr defaultSize="0" autoFill="0" autoLine="0" autoPict="0">
                <anchor moveWithCells="1">
                  <from>
                    <xdr:col>0</xdr:col>
                    <xdr:colOff>276225</xdr:colOff>
                    <xdr:row>378</xdr:row>
                    <xdr:rowOff>9525</xdr:rowOff>
                  </from>
                  <to>
                    <xdr:col>3</xdr:col>
                    <xdr:colOff>95250</xdr:colOff>
                    <xdr:row>378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1" name="Check Box 379">
              <controlPr defaultSize="0" autoFill="0" autoLine="0" autoPict="0">
                <anchor moveWithCells="1">
                  <from>
                    <xdr:col>0</xdr:col>
                    <xdr:colOff>276225</xdr:colOff>
                    <xdr:row>379</xdr:row>
                    <xdr:rowOff>9525</xdr:rowOff>
                  </from>
                  <to>
                    <xdr:col>3</xdr:col>
                    <xdr:colOff>95250</xdr:colOff>
                    <xdr:row>379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2" name="Check Box 380">
              <controlPr defaultSize="0" autoFill="0" autoLine="0" autoPict="0">
                <anchor moveWithCells="1">
                  <from>
                    <xdr:col>0</xdr:col>
                    <xdr:colOff>276225</xdr:colOff>
                    <xdr:row>380</xdr:row>
                    <xdr:rowOff>9525</xdr:rowOff>
                  </from>
                  <to>
                    <xdr:col>3</xdr:col>
                    <xdr:colOff>95250</xdr:colOff>
                    <xdr:row>380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3" name="Check Box 381">
              <controlPr defaultSize="0" autoFill="0" autoLine="0" autoPict="0">
                <anchor moveWithCells="1">
                  <from>
                    <xdr:col>0</xdr:col>
                    <xdr:colOff>276225</xdr:colOff>
                    <xdr:row>381</xdr:row>
                    <xdr:rowOff>9525</xdr:rowOff>
                  </from>
                  <to>
                    <xdr:col>3</xdr:col>
                    <xdr:colOff>95250</xdr:colOff>
                    <xdr:row>381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4" name="Check Box 382">
              <controlPr defaultSize="0" autoFill="0" autoLine="0" autoPict="0">
                <anchor moveWithCells="1">
                  <from>
                    <xdr:col>0</xdr:col>
                    <xdr:colOff>276225</xdr:colOff>
                    <xdr:row>382</xdr:row>
                    <xdr:rowOff>9525</xdr:rowOff>
                  </from>
                  <to>
                    <xdr:col>3</xdr:col>
                    <xdr:colOff>95250</xdr:colOff>
                    <xdr:row>382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5" name="Check Box 383">
              <controlPr defaultSize="0" autoFill="0" autoLine="0" autoPict="0">
                <anchor moveWithCells="1">
                  <from>
                    <xdr:col>0</xdr:col>
                    <xdr:colOff>276225</xdr:colOff>
                    <xdr:row>383</xdr:row>
                    <xdr:rowOff>9525</xdr:rowOff>
                  </from>
                  <to>
                    <xdr:col>3</xdr:col>
                    <xdr:colOff>95250</xdr:colOff>
                    <xdr:row>383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6" name="Check Box 384">
              <controlPr defaultSize="0" autoFill="0" autoLine="0" autoPict="0">
                <anchor moveWithCells="1">
                  <from>
                    <xdr:col>0</xdr:col>
                    <xdr:colOff>276225</xdr:colOff>
                    <xdr:row>384</xdr:row>
                    <xdr:rowOff>9525</xdr:rowOff>
                  </from>
                  <to>
                    <xdr:col>3</xdr:col>
                    <xdr:colOff>95250</xdr:colOff>
                    <xdr:row>384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7" name="Check Box 385">
              <controlPr defaultSize="0" autoFill="0" autoLine="0" autoPict="0">
                <anchor moveWithCells="1">
                  <from>
                    <xdr:col>0</xdr:col>
                    <xdr:colOff>276225</xdr:colOff>
                    <xdr:row>385</xdr:row>
                    <xdr:rowOff>9525</xdr:rowOff>
                  </from>
                  <to>
                    <xdr:col>3</xdr:col>
                    <xdr:colOff>95250</xdr:colOff>
                    <xdr:row>385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8" name="Check Box 386">
              <controlPr defaultSize="0" autoFill="0" autoLine="0" autoPict="0">
                <anchor moveWithCells="1">
                  <from>
                    <xdr:col>0</xdr:col>
                    <xdr:colOff>276225</xdr:colOff>
                    <xdr:row>386</xdr:row>
                    <xdr:rowOff>9525</xdr:rowOff>
                  </from>
                  <to>
                    <xdr:col>3</xdr:col>
                    <xdr:colOff>95250</xdr:colOff>
                    <xdr:row>386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9" name="Check Box 387">
              <controlPr defaultSize="0" autoFill="0" autoLine="0" autoPict="0">
                <anchor moveWithCells="1">
                  <from>
                    <xdr:col>0</xdr:col>
                    <xdr:colOff>276225</xdr:colOff>
                    <xdr:row>387</xdr:row>
                    <xdr:rowOff>9525</xdr:rowOff>
                  </from>
                  <to>
                    <xdr:col>3</xdr:col>
                    <xdr:colOff>95250</xdr:colOff>
                    <xdr:row>387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0" name="Check Box 388">
              <controlPr defaultSize="0" autoFill="0" autoLine="0" autoPict="0">
                <anchor moveWithCells="1">
                  <from>
                    <xdr:col>0</xdr:col>
                    <xdr:colOff>276225</xdr:colOff>
                    <xdr:row>388</xdr:row>
                    <xdr:rowOff>9525</xdr:rowOff>
                  </from>
                  <to>
                    <xdr:col>3</xdr:col>
                    <xdr:colOff>95250</xdr:colOff>
                    <xdr:row>388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1" name="Check Box 389">
              <controlPr defaultSize="0" autoFill="0" autoLine="0" autoPict="0">
                <anchor moveWithCells="1">
                  <from>
                    <xdr:col>0</xdr:col>
                    <xdr:colOff>276225</xdr:colOff>
                    <xdr:row>389</xdr:row>
                    <xdr:rowOff>9525</xdr:rowOff>
                  </from>
                  <to>
                    <xdr:col>3</xdr:col>
                    <xdr:colOff>95250</xdr:colOff>
                    <xdr:row>389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2" name="Check Box 390">
              <controlPr defaultSize="0" autoFill="0" autoLine="0" autoPict="0">
                <anchor moveWithCells="1">
                  <from>
                    <xdr:col>0</xdr:col>
                    <xdr:colOff>276225</xdr:colOff>
                    <xdr:row>390</xdr:row>
                    <xdr:rowOff>9525</xdr:rowOff>
                  </from>
                  <to>
                    <xdr:col>3</xdr:col>
                    <xdr:colOff>95250</xdr:colOff>
                    <xdr:row>390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3" name="Check Box 391">
              <controlPr defaultSize="0" autoFill="0" autoLine="0" autoPict="0">
                <anchor moveWithCells="1">
                  <from>
                    <xdr:col>0</xdr:col>
                    <xdr:colOff>276225</xdr:colOff>
                    <xdr:row>391</xdr:row>
                    <xdr:rowOff>9525</xdr:rowOff>
                  </from>
                  <to>
                    <xdr:col>3</xdr:col>
                    <xdr:colOff>95250</xdr:colOff>
                    <xdr:row>391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4" name="Check Box 392">
              <controlPr defaultSize="0" autoFill="0" autoLine="0" autoPict="0">
                <anchor moveWithCells="1">
                  <from>
                    <xdr:col>0</xdr:col>
                    <xdr:colOff>276225</xdr:colOff>
                    <xdr:row>392</xdr:row>
                    <xdr:rowOff>9525</xdr:rowOff>
                  </from>
                  <to>
                    <xdr:col>3</xdr:col>
                    <xdr:colOff>95250</xdr:colOff>
                    <xdr:row>392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5" name="Check Box 393">
              <controlPr defaultSize="0" autoFill="0" autoLine="0" autoPict="0">
                <anchor moveWithCells="1">
                  <from>
                    <xdr:col>0</xdr:col>
                    <xdr:colOff>276225</xdr:colOff>
                    <xdr:row>393</xdr:row>
                    <xdr:rowOff>9525</xdr:rowOff>
                  </from>
                  <to>
                    <xdr:col>3</xdr:col>
                    <xdr:colOff>95250</xdr:colOff>
                    <xdr:row>393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6" name="Check Box 394">
              <controlPr defaultSize="0" autoFill="0" autoLine="0" autoPict="0">
                <anchor moveWithCells="1">
                  <from>
                    <xdr:col>0</xdr:col>
                    <xdr:colOff>276225</xdr:colOff>
                    <xdr:row>394</xdr:row>
                    <xdr:rowOff>9525</xdr:rowOff>
                  </from>
                  <to>
                    <xdr:col>3</xdr:col>
                    <xdr:colOff>95250</xdr:colOff>
                    <xdr:row>394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7" name="Check Box 395">
              <controlPr defaultSize="0" autoFill="0" autoLine="0" autoPict="0">
                <anchor moveWithCells="1">
                  <from>
                    <xdr:col>0</xdr:col>
                    <xdr:colOff>276225</xdr:colOff>
                    <xdr:row>395</xdr:row>
                    <xdr:rowOff>9525</xdr:rowOff>
                  </from>
                  <to>
                    <xdr:col>3</xdr:col>
                    <xdr:colOff>95250</xdr:colOff>
                    <xdr:row>395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8" name="Check Box 396">
              <controlPr defaultSize="0" autoFill="0" autoLine="0" autoPict="0">
                <anchor moveWithCells="1">
                  <from>
                    <xdr:col>0</xdr:col>
                    <xdr:colOff>276225</xdr:colOff>
                    <xdr:row>396</xdr:row>
                    <xdr:rowOff>9525</xdr:rowOff>
                  </from>
                  <to>
                    <xdr:col>3</xdr:col>
                    <xdr:colOff>95250</xdr:colOff>
                    <xdr:row>396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9" name="Check Box 397">
              <controlPr defaultSize="0" autoFill="0" autoLine="0" autoPict="0">
                <anchor moveWithCells="1">
                  <from>
                    <xdr:col>0</xdr:col>
                    <xdr:colOff>276225</xdr:colOff>
                    <xdr:row>397</xdr:row>
                    <xdr:rowOff>9525</xdr:rowOff>
                  </from>
                  <to>
                    <xdr:col>3</xdr:col>
                    <xdr:colOff>95250</xdr:colOff>
                    <xdr:row>397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0" name="Check Box 398">
              <controlPr defaultSize="0" autoFill="0" autoLine="0" autoPict="0">
                <anchor moveWithCells="1">
                  <from>
                    <xdr:col>0</xdr:col>
                    <xdr:colOff>276225</xdr:colOff>
                    <xdr:row>398</xdr:row>
                    <xdr:rowOff>9525</xdr:rowOff>
                  </from>
                  <to>
                    <xdr:col>3</xdr:col>
                    <xdr:colOff>95250</xdr:colOff>
                    <xdr:row>398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1" name="Check Box 399">
              <controlPr defaultSize="0" autoFill="0" autoLine="0" autoPict="0">
                <anchor moveWithCells="1">
                  <from>
                    <xdr:col>0</xdr:col>
                    <xdr:colOff>276225</xdr:colOff>
                    <xdr:row>399</xdr:row>
                    <xdr:rowOff>9525</xdr:rowOff>
                  </from>
                  <to>
                    <xdr:col>3</xdr:col>
                    <xdr:colOff>95250</xdr:colOff>
                    <xdr:row>399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2" name="Check Box 400">
              <controlPr defaultSize="0" autoFill="0" autoLine="0" autoPict="0">
                <anchor moveWithCells="1">
                  <from>
                    <xdr:col>0</xdr:col>
                    <xdr:colOff>276225</xdr:colOff>
                    <xdr:row>400</xdr:row>
                    <xdr:rowOff>9525</xdr:rowOff>
                  </from>
                  <to>
                    <xdr:col>3</xdr:col>
                    <xdr:colOff>95250</xdr:colOff>
                    <xdr:row>400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3" name="Check Box 401">
              <controlPr defaultSize="0" autoFill="0" autoLine="0" autoPict="0">
                <anchor moveWithCells="1">
                  <from>
                    <xdr:col>0</xdr:col>
                    <xdr:colOff>276225</xdr:colOff>
                    <xdr:row>401</xdr:row>
                    <xdr:rowOff>9525</xdr:rowOff>
                  </from>
                  <to>
                    <xdr:col>3</xdr:col>
                    <xdr:colOff>95250</xdr:colOff>
                    <xdr:row>401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4" name="Check Box 402">
              <controlPr defaultSize="0" autoFill="0" autoLine="0" autoPict="0">
                <anchor moveWithCells="1">
                  <from>
                    <xdr:col>0</xdr:col>
                    <xdr:colOff>276225</xdr:colOff>
                    <xdr:row>402</xdr:row>
                    <xdr:rowOff>9525</xdr:rowOff>
                  </from>
                  <to>
                    <xdr:col>3</xdr:col>
                    <xdr:colOff>95250</xdr:colOff>
                    <xdr:row>402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5" name="Check Box 403">
              <controlPr defaultSize="0" autoFill="0" autoLine="0" autoPict="0">
                <anchor moveWithCells="1">
                  <from>
                    <xdr:col>0</xdr:col>
                    <xdr:colOff>276225</xdr:colOff>
                    <xdr:row>403</xdr:row>
                    <xdr:rowOff>9525</xdr:rowOff>
                  </from>
                  <to>
                    <xdr:col>3</xdr:col>
                    <xdr:colOff>95250</xdr:colOff>
                    <xdr:row>403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6" name="Check Box 404">
              <controlPr defaultSize="0" autoFill="0" autoLine="0" autoPict="0">
                <anchor moveWithCells="1">
                  <from>
                    <xdr:col>0</xdr:col>
                    <xdr:colOff>276225</xdr:colOff>
                    <xdr:row>404</xdr:row>
                    <xdr:rowOff>9525</xdr:rowOff>
                  </from>
                  <to>
                    <xdr:col>3</xdr:col>
                    <xdr:colOff>95250</xdr:colOff>
                    <xdr:row>404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7" name="Check Box 405">
              <controlPr defaultSize="0" autoFill="0" autoLine="0" autoPict="0">
                <anchor moveWithCells="1">
                  <from>
                    <xdr:col>0</xdr:col>
                    <xdr:colOff>276225</xdr:colOff>
                    <xdr:row>405</xdr:row>
                    <xdr:rowOff>9525</xdr:rowOff>
                  </from>
                  <to>
                    <xdr:col>3</xdr:col>
                    <xdr:colOff>95250</xdr:colOff>
                    <xdr:row>405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8" name="Check Box 406">
              <controlPr defaultSize="0" autoFill="0" autoLine="0" autoPict="0">
                <anchor moveWithCells="1">
                  <from>
                    <xdr:col>0</xdr:col>
                    <xdr:colOff>276225</xdr:colOff>
                    <xdr:row>406</xdr:row>
                    <xdr:rowOff>9525</xdr:rowOff>
                  </from>
                  <to>
                    <xdr:col>3</xdr:col>
                    <xdr:colOff>95250</xdr:colOff>
                    <xdr:row>406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9" name="Check Box 407">
              <controlPr defaultSize="0" autoFill="0" autoLine="0" autoPict="0">
                <anchor moveWithCells="1">
                  <from>
                    <xdr:col>0</xdr:col>
                    <xdr:colOff>276225</xdr:colOff>
                    <xdr:row>407</xdr:row>
                    <xdr:rowOff>9525</xdr:rowOff>
                  </from>
                  <to>
                    <xdr:col>3</xdr:col>
                    <xdr:colOff>95250</xdr:colOff>
                    <xdr:row>407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0" name="Check Box 408">
              <controlPr defaultSize="0" autoFill="0" autoLine="0" autoPict="0">
                <anchor moveWithCells="1">
                  <from>
                    <xdr:col>0</xdr:col>
                    <xdr:colOff>276225</xdr:colOff>
                    <xdr:row>408</xdr:row>
                    <xdr:rowOff>9525</xdr:rowOff>
                  </from>
                  <to>
                    <xdr:col>3</xdr:col>
                    <xdr:colOff>95250</xdr:colOff>
                    <xdr:row>408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1" name="Check Box 409">
              <controlPr defaultSize="0" autoFill="0" autoLine="0" autoPict="0">
                <anchor moveWithCells="1">
                  <from>
                    <xdr:col>0</xdr:col>
                    <xdr:colOff>276225</xdr:colOff>
                    <xdr:row>409</xdr:row>
                    <xdr:rowOff>9525</xdr:rowOff>
                  </from>
                  <to>
                    <xdr:col>3</xdr:col>
                    <xdr:colOff>95250</xdr:colOff>
                    <xdr:row>409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2" name="Check Box 410">
              <controlPr defaultSize="0" autoFill="0" autoLine="0" autoPict="0">
                <anchor moveWithCells="1">
                  <from>
                    <xdr:col>0</xdr:col>
                    <xdr:colOff>276225</xdr:colOff>
                    <xdr:row>410</xdr:row>
                    <xdr:rowOff>9525</xdr:rowOff>
                  </from>
                  <to>
                    <xdr:col>3</xdr:col>
                    <xdr:colOff>95250</xdr:colOff>
                    <xdr:row>410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3" name="Check Box 411">
              <controlPr defaultSize="0" autoFill="0" autoLine="0" autoPict="0">
                <anchor moveWithCells="1">
                  <from>
                    <xdr:col>0</xdr:col>
                    <xdr:colOff>276225</xdr:colOff>
                    <xdr:row>411</xdr:row>
                    <xdr:rowOff>9525</xdr:rowOff>
                  </from>
                  <to>
                    <xdr:col>3</xdr:col>
                    <xdr:colOff>95250</xdr:colOff>
                    <xdr:row>411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4" name="Check Box 412">
              <controlPr defaultSize="0" autoFill="0" autoLine="0" autoPict="0">
                <anchor moveWithCells="1">
                  <from>
                    <xdr:col>0</xdr:col>
                    <xdr:colOff>276225</xdr:colOff>
                    <xdr:row>412</xdr:row>
                    <xdr:rowOff>9525</xdr:rowOff>
                  </from>
                  <to>
                    <xdr:col>3</xdr:col>
                    <xdr:colOff>95250</xdr:colOff>
                    <xdr:row>412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5" name="Check Box 413">
              <controlPr defaultSize="0" autoFill="0" autoLine="0" autoPict="0">
                <anchor moveWithCells="1">
                  <from>
                    <xdr:col>0</xdr:col>
                    <xdr:colOff>276225</xdr:colOff>
                    <xdr:row>413</xdr:row>
                    <xdr:rowOff>9525</xdr:rowOff>
                  </from>
                  <to>
                    <xdr:col>3</xdr:col>
                    <xdr:colOff>95250</xdr:colOff>
                    <xdr:row>413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6" name="Check Box 414">
              <controlPr defaultSize="0" autoFill="0" autoLine="0" autoPict="0">
                <anchor moveWithCells="1">
                  <from>
                    <xdr:col>0</xdr:col>
                    <xdr:colOff>276225</xdr:colOff>
                    <xdr:row>414</xdr:row>
                    <xdr:rowOff>9525</xdr:rowOff>
                  </from>
                  <to>
                    <xdr:col>3</xdr:col>
                    <xdr:colOff>95250</xdr:colOff>
                    <xdr:row>414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7" name="Check Box 415">
              <controlPr defaultSize="0" autoFill="0" autoLine="0" autoPict="0">
                <anchor moveWithCells="1">
                  <from>
                    <xdr:col>0</xdr:col>
                    <xdr:colOff>276225</xdr:colOff>
                    <xdr:row>415</xdr:row>
                    <xdr:rowOff>9525</xdr:rowOff>
                  </from>
                  <to>
                    <xdr:col>3</xdr:col>
                    <xdr:colOff>95250</xdr:colOff>
                    <xdr:row>415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8" name="Check Box 416">
              <controlPr defaultSize="0" autoFill="0" autoLine="0" autoPict="0">
                <anchor moveWithCells="1">
                  <from>
                    <xdr:col>0</xdr:col>
                    <xdr:colOff>276225</xdr:colOff>
                    <xdr:row>416</xdr:row>
                    <xdr:rowOff>9525</xdr:rowOff>
                  </from>
                  <to>
                    <xdr:col>3</xdr:col>
                    <xdr:colOff>95250</xdr:colOff>
                    <xdr:row>416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9" name="Check Box 417">
              <controlPr defaultSize="0" autoFill="0" autoLine="0" autoPict="0">
                <anchor moveWithCells="1">
                  <from>
                    <xdr:col>0</xdr:col>
                    <xdr:colOff>276225</xdr:colOff>
                    <xdr:row>417</xdr:row>
                    <xdr:rowOff>9525</xdr:rowOff>
                  </from>
                  <to>
                    <xdr:col>3</xdr:col>
                    <xdr:colOff>95250</xdr:colOff>
                    <xdr:row>417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0" name="Check Box 418">
              <controlPr defaultSize="0" autoFill="0" autoLine="0" autoPict="0">
                <anchor moveWithCells="1">
                  <from>
                    <xdr:col>0</xdr:col>
                    <xdr:colOff>276225</xdr:colOff>
                    <xdr:row>418</xdr:row>
                    <xdr:rowOff>9525</xdr:rowOff>
                  </from>
                  <to>
                    <xdr:col>3</xdr:col>
                    <xdr:colOff>95250</xdr:colOff>
                    <xdr:row>418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1" name="Check Box 419">
              <controlPr defaultSize="0" autoFill="0" autoLine="0" autoPict="0">
                <anchor moveWithCells="1">
                  <from>
                    <xdr:col>0</xdr:col>
                    <xdr:colOff>276225</xdr:colOff>
                    <xdr:row>419</xdr:row>
                    <xdr:rowOff>9525</xdr:rowOff>
                  </from>
                  <to>
                    <xdr:col>3</xdr:col>
                    <xdr:colOff>95250</xdr:colOff>
                    <xdr:row>419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2" name="Check Box 420">
              <controlPr defaultSize="0" autoFill="0" autoLine="0" autoPict="0">
                <anchor moveWithCells="1">
                  <from>
                    <xdr:col>0</xdr:col>
                    <xdr:colOff>276225</xdr:colOff>
                    <xdr:row>420</xdr:row>
                    <xdr:rowOff>9525</xdr:rowOff>
                  </from>
                  <to>
                    <xdr:col>3</xdr:col>
                    <xdr:colOff>95250</xdr:colOff>
                    <xdr:row>420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3" name="Check Box 421">
              <controlPr defaultSize="0" autoFill="0" autoLine="0" autoPict="0">
                <anchor moveWithCells="1">
                  <from>
                    <xdr:col>0</xdr:col>
                    <xdr:colOff>276225</xdr:colOff>
                    <xdr:row>421</xdr:row>
                    <xdr:rowOff>9525</xdr:rowOff>
                  </from>
                  <to>
                    <xdr:col>3</xdr:col>
                    <xdr:colOff>95250</xdr:colOff>
                    <xdr:row>421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4" name="Check Box 422">
              <controlPr defaultSize="0" autoFill="0" autoLine="0" autoPict="0">
                <anchor moveWithCells="1">
                  <from>
                    <xdr:col>0</xdr:col>
                    <xdr:colOff>276225</xdr:colOff>
                    <xdr:row>422</xdr:row>
                    <xdr:rowOff>9525</xdr:rowOff>
                  </from>
                  <to>
                    <xdr:col>3</xdr:col>
                    <xdr:colOff>95250</xdr:colOff>
                    <xdr:row>422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5" name="Check Box 423">
              <controlPr defaultSize="0" autoFill="0" autoLine="0" autoPict="0">
                <anchor moveWithCells="1">
                  <from>
                    <xdr:col>0</xdr:col>
                    <xdr:colOff>276225</xdr:colOff>
                    <xdr:row>423</xdr:row>
                    <xdr:rowOff>9525</xdr:rowOff>
                  </from>
                  <to>
                    <xdr:col>3</xdr:col>
                    <xdr:colOff>95250</xdr:colOff>
                    <xdr:row>423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6" name="Check Box 424">
              <controlPr defaultSize="0" autoFill="0" autoLine="0" autoPict="0">
                <anchor moveWithCells="1">
                  <from>
                    <xdr:col>0</xdr:col>
                    <xdr:colOff>276225</xdr:colOff>
                    <xdr:row>424</xdr:row>
                    <xdr:rowOff>9525</xdr:rowOff>
                  </from>
                  <to>
                    <xdr:col>3</xdr:col>
                    <xdr:colOff>95250</xdr:colOff>
                    <xdr:row>424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7" name="Check Box 425">
              <controlPr defaultSize="0" autoFill="0" autoLine="0" autoPict="0">
                <anchor moveWithCells="1">
                  <from>
                    <xdr:col>0</xdr:col>
                    <xdr:colOff>276225</xdr:colOff>
                    <xdr:row>425</xdr:row>
                    <xdr:rowOff>9525</xdr:rowOff>
                  </from>
                  <to>
                    <xdr:col>3</xdr:col>
                    <xdr:colOff>95250</xdr:colOff>
                    <xdr:row>425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8" name="Check Box 426">
              <controlPr defaultSize="0" autoFill="0" autoLine="0" autoPict="0">
                <anchor moveWithCells="1">
                  <from>
                    <xdr:col>0</xdr:col>
                    <xdr:colOff>276225</xdr:colOff>
                    <xdr:row>426</xdr:row>
                    <xdr:rowOff>9525</xdr:rowOff>
                  </from>
                  <to>
                    <xdr:col>3</xdr:col>
                    <xdr:colOff>95250</xdr:colOff>
                    <xdr:row>426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9" name="Check Box 427">
              <controlPr defaultSize="0" autoFill="0" autoLine="0" autoPict="0">
                <anchor moveWithCells="1">
                  <from>
                    <xdr:col>0</xdr:col>
                    <xdr:colOff>276225</xdr:colOff>
                    <xdr:row>427</xdr:row>
                    <xdr:rowOff>9525</xdr:rowOff>
                  </from>
                  <to>
                    <xdr:col>3</xdr:col>
                    <xdr:colOff>95250</xdr:colOff>
                    <xdr:row>427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0" name="Check Box 428">
              <controlPr defaultSize="0" autoFill="0" autoLine="0" autoPict="0">
                <anchor moveWithCells="1">
                  <from>
                    <xdr:col>0</xdr:col>
                    <xdr:colOff>276225</xdr:colOff>
                    <xdr:row>428</xdr:row>
                    <xdr:rowOff>9525</xdr:rowOff>
                  </from>
                  <to>
                    <xdr:col>3</xdr:col>
                    <xdr:colOff>95250</xdr:colOff>
                    <xdr:row>428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1" name="Check Box 429">
              <controlPr defaultSize="0" autoFill="0" autoLine="0" autoPict="0">
                <anchor moveWithCells="1">
                  <from>
                    <xdr:col>0</xdr:col>
                    <xdr:colOff>276225</xdr:colOff>
                    <xdr:row>429</xdr:row>
                    <xdr:rowOff>9525</xdr:rowOff>
                  </from>
                  <to>
                    <xdr:col>3</xdr:col>
                    <xdr:colOff>95250</xdr:colOff>
                    <xdr:row>429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2" name="Check Box 430">
              <controlPr defaultSize="0" autoFill="0" autoLine="0" autoPict="0">
                <anchor moveWithCells="1">
                  <from>
                    <xdr:col>0</xdr:col>
                    <xdr:colOff>276225</xdr:colOff>
                    <xdr:row>430</xdr:row>
                    <xdr:rowOff>9525</xdr:rowOff>
                  </from>
                  <to>
                    <xdr:col>3</xdr:col>
                    <xdr:colOff>95250</xdr:colOff>
                    <xdr:row>430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3" name="Check Box 431">
              <controlPr defaultSize="0" autoFill="0" autoLine="0" autoPict="0">
                <anchor moveWithCells="1">
                  <from>
                    <xdr:col>0</xdr:col>
                    <xdr:colOff>276225</xdr:colOff>
                    <xdr:row>431</xdr:row>
                    <xdr:rowOff>9525</xdr:rowOff>
                  </from>
                  <to>
                    <xdr:col>3</xdr:col>
                    <xdr:colOff>95250</xdr:colOff>
                    <xdr:row>431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4" name="Check Box 432">
              <controlPr defaultSize="0" autoFill="0" autoLine="0" autoPict="0">
                <anchor moveWithCells="1">
                  <from>
                    <xdr:col>0</xdr:col>
                    <xdr:colOff>276225</xdr:colOff>
                    <xdr:row>432</xdr:row>
                    <xdr:rowOff>9525</xdr:rowOff>
                  </from>
                  <to>
                    <xdr:col>3</xdr:col>
                    <xdr:colOff>95250</xdr:colOff>
                    <xdr:row>432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5" name="Check Box 433">
              <controlPr defaultSize="0" autoFill="0" autoLine="0" autoPict="0">
                <anchor moveWithCells="1">
                  <from>
                    <xdr:col>0</xdr:col>
                    <xdr:colOff>276225</xdr:colOff>
                    <xdr:row>433</xdr:row>
                    <xdr:rowOff>9525</xdr:rowOff>
                  </from>
                  <to>
                    <xdr:col>3</xdr:col>
                    <xdr:colOff>95250</xdr:colOff>
                    <xdr:row>433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6" name="Check Box 434">
              <controlPr defaultSize="0" autoFill="0" autoLine="0" autoPict="0">
                <anchor moveWithCells="1">
                  <from>
                    <xdr:col>0</xdr:col>
                    <xdr:colOff>276225</xdr:colOff>
                    <xdr:row>434</xdr:row>
                    <xdr:rowOff>9525</xdr:rowOff>
                  </from>
                  <to>
                    <xdr:col>3</xdr:col>
                    <xdr:colOff>95250</xdr:colOff>
                    <xdr:row>434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7" name="Check Box 435">
              <controlPr defaultSize="0" autoFill="0" autoLine="0" autoPict="0">
                <anchor moveWithCells="1">
                  <from>
                    <xdr:col>0</xdr:col>
                    <xdr:colOff>276225</xdr:colOff>
                    <xdr:row>435</xdr:row>
                    <xdr:rowOff>9525</xdr:rowOff>
                  </from>
                  <to>
                    <xdr:col>3</xdr:col>
                    <xdr:colOff>95250</xdr:colOff>
                    <xdr:row>435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8" name="Check Box 436">
              <controlPr defaultSize="0" autoFill="0" autoLine="0" autoPict="0">
                <anchor moveWithCells="1">
                  <from>
                    <xdr:col>0</xdr:col>
                    <xdr:colOff>276225</xdr:colOff>
                    <xdr:row>436</xdr:row>
                    <xdr:rowOff>9525</xdr:rowOff>
                  </from>
                  <to>
                    <xdr:col>3</xdr:col>
                    <xdr:colOff>95250</xdr:colOff>
                    <xdr:row>436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9" name="Check Box 437">
              <controlPr defaultSize="0" autoFill="0" autoLine="0" autoPict="0">
                <anchor moveWithCells="1">
                  <from>
                    <xdr:col>0</xdr:col>
                    <xdr:colOff>276225</xdr:colOff>
                    <xdr:row>437</xdr:row>
                    <xdr:rowOff>9525</xdr:rowOff>
                  </from>
                  <to>
                    <xdr:col>3</xdr:col>
                    <xdr:colOff>95250</xdr:colOff>
                    <xdr:row>437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0" name="Check Box 438">
              <controlPr defaultSize="0" autoFill="0" autoLine="0" autoPict="0">
                <anchor moveWithCells="1">
                  <from>
                    <xdr:col>0</xdr:col>
                    <xdr:colOff>276225</xdr:colOff>
                    <xdr:row>438</xdr:row>
                    <xdr:rowOff>9525</xdr:rowOff>
                  </from>
                  <to>
                    <xdr:col>3</xdr:col>
                    <xdr:colOff>95250</xdr:colOff>
                    <xdr:row>438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1" name="Check Box 439">
              <controlPr defaultSize="0" autoFill="0" autoLine="0" autoPict="0">
                <anchor moveWithCells="1">
                  <from>
                    <xdr:col>0</xdr:col>
                    <xdr:colOff>276225</xdr:colOff>
                    <xdr:row>439</xdr:row>
                    <xdr:rowOff>9525</xdr:rowOff>
                  </from>
                  <to>
                    <xdr:col>3</xdr:col>
                    <xdr:colOff>95250</xdr:colOff>
                    <xdr:row>439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2" name="Check Box 440">
              <controlPr defaultSize="0" autoFill="0" autoLine="0" autoPict="0">
                <anchor moveWithCells="1">
                  <from>
                    <xdr:col>0</xdr:col>
                    <xdr:colOff>276225</xdr:colOff>
                    <xdr:row>440</xdr:row>
                    <xdr:rowOff>9525</xdr:rowOff>
                  </from>
                  <to>
                    <xdr:col>3</xdr:col>
                    <xdr:colOff>95250</xdr:colOff>
                    <xdr:row>440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Check Box 441">
              <controlPr defaultSize="0" autoFill="0" autoLine="0" autoPict="0">
                <anchor moveWithCells="1">
                  <from>
                    <xdr:col>0</xdr:col>
                    <xdr:colOff>276225</xdr:colOff>
                    <xdr:row>441</xdr:row>
                    <xdr:rowOff>9525</xdr:rowOff>
                  </from>
                  <to>
                    <xdr:col>3</xdr:col>
                    <xdr:colOff>95250</xdr:colOff>
                    <xdr:row>441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4" name="Check Box 442">
              <controlPr defaultSize="0" autoFill="0" autoLine="0" autoPict="0">
                <anchor moveWithCells="1">
                  <from>
                    <xdr:col>0</xdr:col>
                    <xdr:colOff>276225</xdr:colOff>
                    <xdr:row>442</xdr:row>
                    <xdr:rowOff>9525</xdr:rowOff>
                  </from>
                  <to>
                    <xdr:col>3</xdr:col>
                    <xdr:colOff>95250</xdr:colOff>
                    <xdr:row>442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5" name="Check Box 443">
              <controlPr defaultSize="0" autoFill="0" autoLine="0" autoPict="0">
                <anchor moveWithCells="1">
                  <from>
                    <xdr:col>0</xdr:col>
                    <xdr:colOff>276225</xdr:colOff>
                    <xdr:row>443</xdr:row>
                    <xdr:rowOff>9525</xdr:rowOff>
                  </from>
                  <to>
                    <xdr:col>3</xdr:col>
                    <xdr:colOff>95250</xdr:colOff>
                    <xdr:row>443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6" name="Check Box 444">
              <controlPr defaultSize="0" autoFill="0" autoLine="0" autoPict="0">
                <anchor moveWithCells="1">
                  <from>
                    <xdr:col>0</xdr:col>
                    <xdr:colOff>276225</xdr:colOff>
                    <xdr:row>444</xdr:row>
                    <xdr:rowOff>9525</xdr:rowOff>
                  </from>
                  <to>
                    <xdr:col>3</xdr:col>
                    <xdr:colOff>95250</xdr:colOff>
                    <xdr:row>444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7" name="Check Box 445">
              <controlPr defaultSize="0" autoFill="0" autoLine="0" autoPict="0">
                <anchor moveWithCells="1">
                  <from>
                    <xdr:col>0</xdr:col>
                    <xdr:colOff>276225</xdr:colOff>
                    <xdr:row>445</xdr:row>
                    <xdr:rowOff>9525</xdr:rowOff>
                  </from>
                  <to>
                    <xdr:col>3</xdr:col>
                    <xdr:colOff>95250</xdr:colOff>
                    <xdr:row>445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8" name="Check Box 446">
              <controlPr defaultSize="0" autoFill="0" autoLine="0" autoPict="0">
                <anchor moveWithCells="1">
                  <from>
                    <xdr:col>0</xdr:col>
                    <xdr:colOff>276225</xdr:colOff>
                    <xdr:row>446</xdr:row>
                    <xdr:rowOff>9525</xdr:rowOff>
                  </from>
                  <to>
                    <xdr:col>3</xdr:col>
                    <xdr:colOff>95250</xdr:colOff>
                    <xdr:row>446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9" name="Check Box 447">
              <controlPr defaultSize="0" autoFill="0" autoLine="0" autoPict="0">
                <anchor moveWithCells="1">
                  <from>
                    <xdr:col>0</xdr:col>
                    <xdr:colOff>276225</xdr:colOff>
                    <xdr:row>447</xdr:row>
                    <xdr:rowOff>9525</xdr:rowOff>
                  </from>
                  <to>
                    <xdr:col>3</xdr:col>
                    <xdr:colOff>95250</xdr:colOff>
                    <xdr:row>447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50" name="Check Box 448">
              <controlPr defaultSize="0" autoFill="0" autoLine="0" autoPict="0">
                <anchor moveWithCells="1">
                  <from>
                    <xdr:col>0</xdr:col>
                    <xdr:colOff>276225</xdr:colOff>
                    <xdr:row>448</xdr:row>
                    <xdr:rowOff>9525</xdr:rowOff>
                  </from>
                  <to>
                    <xdr:col>3</xdr:col>
                    <xdr:colOff>95250</xdr:colOff>
                    <xdr:row>448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51" name="Check Box 449">
              <controlPr defaultSize="0" autoFill="0" autoLine="0" autoPict="0">
                <anchor moveWithCells="1">
                  <from>
                    <xdr:col>0</xdr:col>
                    <xdr:colOff>276225</xdr:colOff>
                    <xdr:row>449</xdr:row>
                    <xdr:rowOff>9525</xdr:rowOff>
                  </from>
                  <to>
                    <xdr:col>3</xdr:col>
                    <xdr:colOff>95250</xdr:colOff>
                    <xdr:row>449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2" name="Check Box 450">
              <controlPr defaultSize="0" autoFill="0" autoLine="0" autoPict="0">
                <anchor moveWithCells="1">
                  <from>
                    <xdr:col>0</xdr:col>
                    <xdr:colOff>276225</xdr:colOff>
                    <xdr:row>450</xdr:row>
                    <xdr:rowOff>9525</xdr:rowOff>
                  </from>
                  <to>
                    <xdr:col>3</xdr:col>
                    <xdr:colOff>95250</xdr:colOff>
                    <xdr:row>450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3" name="Check Box 451">
              <controlPr defaultSize="0" autoFill="0" autoLine="0" autoPict="0">
                <anchor moveWithCells="1">
                  <from>
                    <xdr:col>0</xdr:col>
                    <xdr:colOff>276225</xdr:colOff>
                    <xdr:row>451</xdr:row>
                    <xdr:rowOff>9525</xdr:rowOff>
                  </from>
                  <to>
                    <xdr:col>3</xdr:col>
                    <xdr:colOff>95250</xdr:colOff>
                    <xdr:row>451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4" name="Check Box 452">
              <controlPr defaultSize="0" autoFill="0" autoLine="0" autoPict="0">
                <anchor moveWithCells="1">
                  <from>
                    <xdr:col>0</xdr:col>
                    <xdr:colOff>276225</xdr:colOff>
                    <xdr:row>452</xdr:row>
                    <xdr:rowOff>9525</xdr:rowOff>
                  </from>
                  <to>
                    <xdr:col>3</xdr:col>
                    <xdr:colOff>95250</xdr:colOff>
                    <xdr:row>452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5" name="Check Box 453">
              <controlPr defaultSize="0" autoFill="0" autoLine="0" autoPict="0">
                <anchor moveWithCells="1">
                  <from>
                    <xdr:col>0</xdr:col>
                    <xdr:colOff>276225</xdr:colOff>
                    <xdr:row>453</xdr:row>
                    <xdr:rowOff>9525</xdr:rowOff>
                  </from>
                  <to>
                    <xdr:col>3</xdr:col>
                    <xdr:colOff>95250</xdr:colOff>
                    <xdr:row>453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6" name="Check Box 454">
              <controlPr defaultSize="0" autoFill="0" autoLine="0" autoPict="0">
                <anchor moveWithCells="1">
                  <from>
                    <xdr:col>0</xdr:col>
                    <xdr:colOff>276225</xdr:colOff>
                    <xdr:row>454</xdr:row>
                    <xdr:rowOff>9525</xdr:rowOff>
                  </from>
                  <to>
                    <xdr:col>3</xdr:col>
                    <xdr:colOff>95250</xdr:colOff>
                    <xdr:row>454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7" name="Check Box 455">
              <controlPr defaultSize="0" autoFill="0" autoLine="0" autoPict="0">
                <anchor moveWithCells="1">
                  <from>
                    <xdr:col>0</xdr:col>
                    <xdr:colOff>276225</xdr:colOff>
                    <xdr:row>455</xdr:row>
                    <xdr:rowOff>9525</xdr:rowOff>
                  </from>
                  <to>
                    <xdr:col>3</xdr:col>
                    <xdr:colOff>95250</xdr:colOff>
                    <xdr:row>455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8" name="Check Box 456">
              <controlPr defaultSize="0" autoFill="0" autoLine="0" autoPict="0">
                <anchor moveWithCells="1">
                  <from>
                    <xdr:col>0</xdr:col>
                    <xdr:colOff>276225</xdr:colOff>
                    <xdr:row>456</xdr:row>
                    <xdr:rowOff>9525</xdr:rowOff>
                  </from>
                  <to>
                    <xdr:col>3</xdr:col>
                    <xdr:colOff>95250</xdr:colOff>
                    <xdr:row>456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9" name="Check Box 457">
              <controlPr defaultSize="0" autoFill="0" autoLine="0" autoPict="0">
                <anchor moveWithCells="1">
                  <from>
                    <xdr:col>0</xdr:col>
                    <xdr:colOff>276225</xdr:colOff>
                    <xdr:row>457</xdr:row>
                    <xdr:rowOff>9525</xdr:rowOff>
                  </from>
                  <to>
                    <xdr:col>3</xdr:col>
                    <xdr:colOff>95250</xdr:colOff>
                    <xdr:row>457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60" name="Check Box 458">
              <controlPr defaultSize="0" autoFill="0" autoLine="0" autoPict="0">
                <anchor moveWithCells="1">
                  <from>
                    <xdr:col>0</xdr:col>
                    <xdr:colOff>276225</xdr:colOff>
                    <xdr:row>458</xdr:row>
                    <xdr:rowOff>9525</xdr:rowOff>
                  </from>
                  <to>
                    <xdr:col>3</xdr:col>
                    <xdr:colOff>95250</xdr:colOff>
                    <xdr:row>458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61" name="Check Box 459">
              <controlPr defaultSize="0" autoFill="0" autoLine="0" autoPict="0">
                <anchor moveWithCells="1">
                  <from>
                    <xdr:col>0</xdr:col>
                    <xdr:colOff>276225</xdr:colOff>
                    <xdr:row>459</xdr:row>
                    <xdr:rowOff>9525</xdr:rowOff>
                  </from>
                  <to>
                    <xdr:col>3</xdr:col>
                    <xdr:colOff>95250</xdr:colOff>
                    <xdr:row>459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2" name="Check Box 460">
              <controlPr defaultSize="0" autoFill="0" autoLine="0" autoPict="0">
                <anchor moveWithCells="1">
                  <from>
                    <xdr:col>0</xdr:col>
                    <xdr:colOff>276225</xdr:colOff>
                    <xdr:row>460</xdr:row>
                    <xdr:rowOff>9525</xdr:rowOff>
                  </from>
                  <to>
                    <xdr:col>3</xdr:col>
                    <xdr:colOff>95250</xdr:colOff>
                    <xdr:row>460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3" name="Check Box 461">
              <controlPr defaultSize="0" autoFill="0" autoLine="0" autoPict="0">
                <anchor moveWithCells="1">
                  <from>
                    <xdr:col>0</xdr:col>
                    <xdr:colOff>276225</xdr:colOff>
                    <xdr:row>461</xdr:row>
                    <xdr:rowOff>9525</xdr:rowOff>
                  </from>
                  <to>
                    <xdr:col>3</xdr:col>
                    <xdr:colOff>95250</xdr:colOff>
                    <xdr:row>461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4" name="Check Box 462">
              <controlPr defaultSize="0" autoFill="0" autoLine="0" autoPict="0">
                <anchor moveWithCells="1">
                  <from>
                    <xdr:col>0</xdr:col>
                    <xdr:colOff>276225</xdr:colOff>
                    <xdr:row>462</xdr:row>
                    <xdr:rowOff>9525</xdr:rowOff>
                  </from>
                  <to>
                    <xdr:col>3</xdr:col>
                    <xdr:colOff>95250</xdr:colOff>
                    <xdr:row>462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5" name="Check Box 463">
              <controlPr defaultSize="0" autoFill="0" autoLine="0" autoPict="0">
                <anchor moveWithCells="1">
                  <from>
                    <xdr:col>0</xdr:col>
                    <xdr:colOff>276225</xdr:colOff>
                    <xdr:row>463</xdr:row>
                    <xdr:rowOff>9525</xdr:rowOff>
                  </from>
                  <to>
                    <xdr:col>3</xdr:col>
                    <xdr:colOff>95250</xdr:colOff>
                    <xdr:row>463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6" name="Check Box 464">
              <controlPr defaultSize="0" autoFill="0" autoLine="0" autoPict="0">
                <anchor moveWithCells="1">
                  <from>
                    <xdr:col>0</xdr:col>
                    <xdr:colOff>276225</xdr:colOff>
                    <xdr:row>464</xdr:row>
                    <xdr:rowOff>9525</xdr:rowOff>
                  </from>
                  <to>
                    <xdr:col>3</xdr:col>
                    <xdr:colOff>95250</xdr:colOff>
                    <xdr:row>464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7" name="Check Box 465">
              <controlPr defaultSize="0" autoFill="0" autoLine="0" autoPict="0">
                <anchor moveWithCells="1">
                  <from>
                    <xdr:col>0</xdr:col>
                    <xdr:colOff>276225</xdr:colOff>
                    <xdr:row>465</xdr:row>
                    <xdr:rowOff>9525</xdr:rowOff>
                  </from>
                  <to>
                    <xdr:col>3</xdr:col>
                    <xdr:colOff>95250</xdr:colOff>
                    <xdr:row>465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8" name="Check Box 466">
              <controlPr defaultSize="0" autoFill="0" autoLine="0" autoPict="0">
                <anchor moveWithCells="1">
                  <from>
                    <xdr:col>0</xdr:col>
                    <xdr:colOff>276225</xdr:colOff>
                    <xdr:row>466</xdr:row>
                    <xdr:rowOff>9525</xdr:rowOff>
                  </from>
                  <to>
                    <xdr:col>3</xdr:col>
                    <xdr:colOff>95250</xdr:colOff>
                    <xdr:row>466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9" name="Check Box 467">
              <controlPr defaultSize="0" autoFill="0" autoLine="0" autoPict="0">
                <anchor moveWithCells="1">
                  <from>
                    <xdr:col>0</xdr:col>
                    <xdr:colOff>276225</xdr:colOff>
                    <xdr:row>467</xdr:row>
                    <xdr:rowOff>9525</xdr:rowOff>
                  </from>
                  <to>
                    <xdr:col>3</xdr:col>
                    <xdr:colOff>95250</xdr:colOff>
                    <xdr:row>467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70" name="Check Box 468">
              <controlPr defaultSize="0" autoFill="0" autoLine="0" autoPict="0">
                <anchor moveWithCells="1">
                  <from>
                    <xdr:col>0</xdr:col>
                    <xdr:colOff>276225</xdr:colOff>
                    <xdr:row>468</xdr:row>
                    <xdr:rowOff>9525</xdr:rowOff>
                  </from>
                  <to>
                    <xdr:col>3</xdr:col>
                    <xdr:colOff>95250</xdr:colOff>
                    <xdr:row>468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71" name="Check Box 469">
              <controlPr defaultSize="0" autoFill="0" autoLine="0" autoPict="0">
                <anchor moveWithCells="1">
                  <from>
                    <xdr:col>0</xdr:col>
                    <xdr:colOff>276225</xdr:colOff>
                    <xdr:row>469</xdr:row>
                    <xdr:rowOff>9525</xdr:rowOff>
                  </from>
                  <to>
                    <xdr:col>3</xdr:col>
                    <xdr:colOff>95250</xdr:colOff>
                    <xdr:row>469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2" name="Check Box 470">
              <controlPr defaultSize="0" autoFill="0" autoLine="0" autoPict="0">
                <anchor moveWithCells="1">
                  <from>
                    <xdr:col>0</xdr:col>
                    <xdr:colOff>276225</xdr:colOff>
                    <xdr:row>470</xdr:row>
                    <xdr:rowOff>9525</xdr:rowOff>
                  </from>
                  <to>
                    <xdr:col>3</xdr:col>
                    <xdr:colOff>95250</xdr:colOff>
                    <xdr:row>470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3" name="Check Box 471">
              <controlPr defaultSize="0" autoFill="0" autoLine="0" autoPict="0">
                <anchor moveWithCells="1">
                  <from>
                    <xdr:col>0</xdr:col>
                    <xdr:colOff>276225</xdr:colOff>
                    <xdr:row>471</xdr:row>
                    <xdr:rowOff>9525</xdr:rowOff>
                  </from>
                  <to>
                    <xdr:col>3</xdr:col>
                    <xdr:colOff>95250</xdr:colOff>
                    <xdr:row>471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4" name="Check Box 472">
              <controlPr defaultSize="0" autoFill="0" autoLine="0" autoPict="0">
                <anchor moveWithCells="1">
                  <from>
                    <xdr:col>0</xdr:col>
                    <xdr:colOff>276225</xdr:colOff>
                    <xdr:row>472</xdr:row>
                    <xdr:rowOff>9525</xdr:rowOff>
                  </from>
                  <to>
                    <xdr:col>3</xdr:col>
                    <xdr:colOff>95250</xdr:colOff>
                    <xdr:row>472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5" name="Check Box 473">
              <controlPr defaultSize="0" autoFill="0" autoLine="0" autoPict="0">
                <anchor moveWithCells="1">
                  <from>
                    <xdr:col>0</xdr:col>
                    <xdr:colOff>276225</xdr:colOff>
                    <xdr:row>473</xdr:row>
                    <xdr:rowOff>9525</xdr:rowOff>
                  </from>
                  <to>
                    <xdr:col>3</xdr:col>
                    <xdr:colOff>95250</xdr:colOff>
                    <xdr:row>473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6" name="Check Box 474">
              <controlPr defaultSize="0" autoFill="0" autoLine="0" autoPict="0">
                <anchor moveWithCells="1">
                  <from>
                    <xdr:col>0</xdr:col>
                    <xdr:colOff>276225</xdr:colOff>
                    <xdr:row>474</xdr:row>
                    <xdr:rowOff>9525</xdr:rowOff>
                  </from>
                  <to>
                    <xdr:col>3</xdr:col>
                    <xdr:colOff>95250</xdr:colOff>
                    <xdr:row>474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7" name="Check Box 475">
              <controlPr defaultSize="0" autoFill="0" autoLine="0" autoPict="0">
                <anchor moveWithCells="1">
                  <from>
                    <xdr:col>0</xdr:col>
                    <xdr:colOff>276225</xdr:colOff>
                    <xdr:row>475</xdr:row>
                    <xdr:rowOff>9525</xdr:rowOff>
                  </from>
                  <to>
                    <xdr:col>3</xdr:col>
                    <xdr:colOff>95250</xdr:colOff>
                    <xdr:row>475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8" name="Check Box 476">
              <controlPr defaultSize="0" autoFill="0" autoLine="0" autoPict="0">
                <anchor moveWithCells="1">
                  <from>
                    <xdr:col>0</xdr:col>
                    <xdr:colOff>276225</xdr:colOff>
                    <xdr:row>476</xdr:row>
                    <xdr:rowOff>9525</xdr:rowOff>
                  </from>
                  <to>
                    <xdr:col>3</xdr:col>
                    <xdr:colOff>95250</xdr:colOff>
                    <xdr:row>476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9" name="Check Box 477">
              <controlPr defaultSize="0" autoFill="0" autoLine="0" autoPict="0">
                <anchor moveWithCells="1">
                  <from>
                    <xdr:col>0</xdr:col>
                    <xdr:colOff>276225</xdr:colOff>
                    <xdr:row>477</xdr:row>
                    <xdr:rowOff>9525</xdr:rowOff>
                  </from>
                  <to>
                    <xdr:col>3</xdr:col>
                    <xdr:colOff>95250</xdr:colOff>
                    <xdr:row>477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80" name="Check Box 478">
              <controlPr defaultSize="0" autoFill="0" autoLine="0" autoPict="0">
                <anchor moveWithCells="1">
                  <from>
                    <xdr:col>0</xdr:col>
                    <xdr:colOff>276225</xdr:colOff>
                    <xdr:row>478</xdr:row>
                    <xdr:rowOff>9525</xdr:rowOff>
                  </from>
                  <to>
                    <xdr:col>3</xdr:col>
                    <xdr:colOff>95250</xdr:colOff>
                    <xdr:row>478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81" name="Check Box 479">
              <controlPr defaultSize="0" autoFill="0" autoLine="0" autoPict="0">
                <anchor moveWithCells="1">
                  <from>
                    <xdr:col>0</xdr:col>
                    <xdr:colOff>276225</xdr:colOff>
                    <xdr:row>479</xdr:row>
                    <xdr:rowOff>9525</xdr:rowOff>
                  </from>
                  <to>
                    <xdr:col>3</xdr:col>
                    <xdr:colOff>95250</xdr:colOff>
                    <xdr:row>479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2" name="Check Box 480">
              <controlPr defaultSize="0" autoFill="0" autoLine="0" autoPict="0">
                <anchor moveWithCells="1">
                  <from>
                    <xdr:col>0</xdr:col>
                    <xdr:colOff>276225</xdr:colOff>
                    <xdr:row>480</xdr:row>
                    <xdr:rowOff>9525</xdr:rowOff>
                  </from>
                  <to>
                    <xdr:col>3</xdr:col>
                    <xdr:colOff>95250</xdr:colOff>
                    <xdr:row>480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3" name="Check Box 481">
              <controlPr defaultSize="0" autoFill="0" autoLine="0" autoPict="0">
                <anchor moveWithCells="1">
                  <from>
                    <xdr:col>0</xdr:col>
                    <xdr:colOff>276225</xdr:colOff>
                    <xdr:row>481</xdr:row>
                    <xdr:rowOff>9525</xdr:rowOff>
                  </from>
                  <to>
                    <xdr:col>3</xdr:col>
                    <xdr:colOff>95250</xdr:colOff>
                    <xdr:row>481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4" name="Check Box 482">
              <controlPr defaultSize="0" autoFill="0" autoLine="0" autoPict="0">
                <anchor moveWithCells="1">
                  <from>
                    <xdr:col>0</xdr:col>
                    <xdr:colOff>276225</xdr:colOff>
                    <xdr:row>482</xdr:row>
                    <xdr:rowOff>9525</xdr:rowOff>
                  </from>
                  <to>
                    <xdr:col>3</xdr:col>
                    <xdr:colOff>95250</xdr:colOff>
                    <xdr:row>482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5" name="Check Box 483">
              <controlPr defaultSize="0" autoFill="0" autoLine="0" autoPict="0">
                <anchor moveWithCells="1">
                  <from>
                    <xdr:col>0</xdr:col>
                    <xdr:colOff>276225</xdr:colOff>
                    <xdr:row>483</xdr:row>
                    <xdr:rowOff>9525</xdr:rowOff>
                  </from>
                  <to>
                    <xdr:col>3</xdr:col>
                    <xdr:colOff>95250</xdr:colOff>
                    <xdr:row>483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6" name="Check Box 484">
              <controlPr defaultSize="0" autoFill="0" autoLine="0" autoPict="0">
                <anchor moveWithCells="1">
                  <from>
                    <xdr:col>0</xdr:col>
                    <xdr:colOff>276225</xdr:colOff>
                    <xdr:row>484</xdr:row>
                    <xdr:rowOff>9525</xdr:rowOff>
                  </from>
                  <to>
                    <xdr:col>3</xdr:col>
                    <xdr:colOff>95250</xdr:colOff>
                    <xdr:row>484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7" name="Check Box 485">
              <controlPr defaultSize="0" autoFill="0" autoLine="0" autoPict="0">
                <anchor moveWithCells="1">
                  <from>
                    <xdr:col>0</xdr:col>
                    <xdr:colOff>276225</xdr:colOff>
                    <xdr:row>485</xdr:row>
                    <xdr:rowOff>9525</xdr:rowOff>
                  </from>
                  <to>
                    <xdr:col>3</xdr:col>
                    <xdr:colOff>95250</xdr:colOff>
                    <xdr:row>485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8" name="Check Box 486">
              <controlPr defaultSize="0" autoFill="0" autoLine="0" autoPict="0">
                <anchor moveWithCells="1">
                  <from>
                    <xdr:col>0</xdr:col>
                    <xdr:colOff>276225</xdr:colOff>
                    <xdr:row>486</xdr:row>
                    <xdr:rowOff>9525</xdr:rowOff>
                  </from>
                  <to>
                    <xdr:col>3</xdr:col>
                    <xdr:colOff>95250</xdr:colOff>
                    <xdr:row>486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9" name="Check Box 487">
              <controlPr defaultSize="0" autoFill="0" autoLine="0" autoPict="0">
                <anchor moveWithCells="1">
                  <from>
                    <xdr:col>0</xdr:col>
                    <xdr:colOff>276225</xdr:colOff>
                    <xdr:row>487</xdr:row>
                    <xdr:rowOff>9525</xdr:rowOff>
                  </from>
                  <to>
                    <xdr:col>3</xdr:col>
                    <xdr:colOff>95250</xdr:colOff>
                    <xdr:row>487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90" name="Check Box 488">
              <controlPr defaultSize="0" autoFill="0" autoLine="0" autoPict="0">
                <anchor moveWithCells="1">
                  <from>
                    <xdr:col>0</xdr:col>
                    <xdr:colOff>276225</xdr:colOff>
                    <xdr:row>488</xdr:row>
                    <xdr:rowOff>9525</xdr:rowOff>
                  </from>
                  <to>
                    <xdr:col>3</xdr:col>
                    <xdr:colOff>95250</xdr:colOff>
                    <xdr:row>488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91" name="Check Box 489">
              <controlPr defaultSize="0" autoFill="0" autoLine="0" autoPict="0">
                <anchor moveWithCells="1">
                  <from>
                    <xdr:col>0</xdr:col>
                    <xdr:colOff>276225</xdr:colOff>
                    <xdr:row>489</xdr:row>
                    <xdr:rowOff>9525</xdr:rowOff>
                  </from>
                  <to>
                    <xdr:col>3</xdr:col>
                    <xdr:colOff>95250</xdr:colOff>
                    <xdr:row>489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2" name="Check Box 490">
              <controlPr defaultSize="0" autoFill="0" autoLine="0" autoPict="0">
                <anchor moveWithCells="1">
                  <from>
                    <xdr:col>0</xdr:col>
                    <xdr:colOff>276225</xdr:colOff>
                    <xdr:row>490</xdr:row>
                    <xdr:rowOff>9525</xdr:rowOff>
                  </from>
                  <to>
                    <xdr:col>3</xdr:col>
                    <xdr:colOff>95250</xdr:colOff>
                    <xdr:row>490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3" name="Check Box 491">
              <controlPr defaultSize="0" autoFill="0" autoLine="0" autoPict="0">
                <anchor moveWithCells="1">
                  <from>
                    <xdr:col>0</xdr:col>
                    <xdr:colOff>276225</xdr:colOff>
                    <xdr:row>491</xdr:row>
                    <xdr:rowOff>9525</xdr:rowOff>
                  </from>
                  <to>
                    <xdr:col>3</xdr:col>
                    <xdr:colOff>95250</xdr:colOff>
                    <xdr:row>491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4" name="Check Box 492">
              <controlPr defaultSize="0" autoFill="0" autoLine="0" autoPict="0">
                <anchor moveWithCells="1">
                  <from>
                    <xdr:col>0</xdr:col>
                    <xdr:colOff>276225</xdr:colOff>
                    <xdr:row>492</xdr:row>
                    <xdr:rowOff>9525</xdr:rowOff>
                  </from>
                  <to>
                    <xdr:col>3</xdr:col>
                    <xdr:colOff>95250</xdr:colOff>
                    <xdr:row>492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5" name="Check Box 493">
              <controlPr defaultSize="0" autoFill="0" autoLine="0" autoPict="0">
                <anchor moveWithCells="1">
                  <from>
                    <xdr:col>0</xdr:col>
                    <xdr:colOff>276225</xdr:colOff>
                    <xdr:row>493</xdr:row>
                    <xdr:rowOff>9525</xdr:rowOff>
                  </from>
                  <to>
                    <xdr:col>3</xdr:col>
                    <xdr:colOff>95250</xdr:colOff>
                    <xdr:row>493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6" name="Check Box 494">
              <controlPr defaultSize="0" autoFill="0" autoLine="0" autoPict="0">
                <anchor moveWithCells="1">
                  <from>
                    <xdr:col>0</xdr:col>
                    <xdr:colOff>276225</xdr:colOff>
                    <xdr:row>494</xdr:row>
                    <xdr:rowOff>9525</xdr:rowOff>
                  </from>
                  <to>
                    <xdr:col>3</xdr:col>
                    <xdr:colOff>95250</xdr:colOff>
                    <xdr:row>494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7" name="Check Box 495">
              <controlPr defaultSize="0" autoFill="0" autoLine="0" autoPict="0">
                <anchor moveWithCells="1">
                  <from>
                    <xdr:col>0</xdr:col>
                    <xdr:colOff>276225</xdr:colOff>
                    <xdr:row>495</xdr:row>
                    <xdr:rowOff>9525</xdr:rowOff>
                  </from>
                  <to>
                    <xdr:col>3</xdr:col>
                    <xdr:colOff>95250</xdr:colOff>
                    <xdr:row>495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8" name="Check Box 496">
              <controlPr defaultSize="0" autoFill="0" autoLine="0" autoPict="0">
                <anchor moveWithCells="1">
                  <from>
                    <xdr:col>0</xdr:col>
                    <xdr:colOff>276225</xdr:colOff>
                    <xdr:row>496</xdr:row>
                    <xdr:rowOff>9525</xdr:rowOff>
                  </from>
                  <to>
                    <xdr:col>3</xdr:col>
                    <xdr:colOff>95250</xdr:colOff>
                    <xdr:row>496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9" name="Check Box 497">
              <controlPr defaultSize="0" autoFill="0" autoLine="0" autoPict="0">
                <anchor moveWithCells="1">
                  <from>
                    <xdr:col>0</xdr:col>
                    <xdr:colOff>276225</xdr:colOff>
                    <xdr:row>497</xdr:row>
                    <xdr:rowOff>9525</xdr:rowOff>
                  </from>
                  <to>
                    <xdr:col>3</xdr:col>
                    <xdr:colOff>95250</xdr:colOff>
                    <xdr:row>497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500" name="Check Box 498">
              <controlPr defaultSize="0" autoFill="0" autoLine="0" autoPict="0">
                <anchor moveWithCells="1">
                  <from>
                    <xdr:col>0</xdr:col>
                    <xdr:colOff>276225</xdr:colOff>
                    <xdr:row>498</xdr:row>
                    <xdr:rowOff>9525</xdr:rowOff>
                  </from>
                  <to>
                    <xdr:col>3</xdr:col>
                    <xdr:colOff>95250</xdr:colOff>
                    <xdr:row>498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1" name="Check Box 499">
              <controlPr defaultSize="0" autoFill="0" autoLine="0" autoPict="0">
                <anchor moveWithCells="1">
                  <from>
                    <xdr:col>0</xdr:col>
                    <xdr:colOff>276225</xdr:colOff>
                    <xdr:row>499</xdr:row>
                    <xdr:rowOff>9525</xdr:rowOff>
                  </from>
                  <to>
                    <xdr:col>3</xdr:col>
                    <xdr:colOff>95250</xdr:colOff>
                    <xdr:row>499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2" name="Check Box 500">
              <controlPr defaultSize="0" autoFill="0" autoLine="0" autoPict="0">
                <anchor moveWithCells="1">
                  <from>
                    <xdr:col>0</xdr:col>
                    <xdr:colOff>276225</xdr:colOff>
                    <xdr:row>500</xdr:row>
                    <xdr:rowOff>9525</xdr:rowOff>
                  </from>
                  <to>
                    <xdr:col>3</xdr:col>
                    <xdr:colOff>95250</xdr:colOff>
                    <xdr:row>500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503" name="Check Box 501">
              <controlPr defaultSize="0" autoFill="0" autoLine="0" autoPict="0">
                <anchor moveWithCells="1">
                  <from>
                    <xdr:col>0</xdr:col>
                    <xdr:colOff>276225</xdr:colOff>
                    <xdr:row>501</xdr:row>
                    <xdr:rowOff>9525</xdr:rowOff>
                  </from>
                  <to>
                    <xdr:col>3</xdr:col>
                    <xdr:colOff>95250</xdr:colOff>
                    <xdr:row>501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504" name="Check Box 502">
              <controlPr defaultSize="0" autoFill="0" autoLine="0" autoPict="0">
                <anchor moveWithCells="1">
                  <from>
                    <xdr:col>0</xdr:col>
                    <xdr:colOff>276225</xdr:colOff>
                    <xdr:row>502</xdr:row>
                    <xdr:rowOff>9525</xdr:rowOff>
                  </from>
                  <to>
                    <xdr:col>3</xdr:col>
                    <xdr:colOff>95250</xdr:colOff>
                    <xdr:row>502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505" name="Check Box 503">
              <controlPr defaultSize="0" autoFill="0" autoLine="0" autoPict="0">
                <anchor moveWithCells="1">
                  <from>
                    <xdr:col>0</xdr:col>
                    <xdr:colOff>276225</xdr:colOff>
                    <xdr:row>503</xdr:row>
                    <xdr:rowOff>9525</xdr:rowOff>
                  </from>
                  <to>
                    <xdr:col>3</xdr:col>
                    <xdr:colOff>95250</xdr:colOff>
                    <xdr:row>503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506" name="Check Box 504">
              <controlPr defaultSize="0" autoFill="0" autoLine="0" autoPict="0">
                <anchor moveWithCells="1">
                  <from>
                    <xdr:col>0</xdr:col>
                    <xdr:colOff>276225</xdr:colOff>
                    <xdr:row>504</xdr:row>
                    <xdr:rowOff>9525</xdr:rowOff>
                  </from>
                  <to>
                    <xdr:col>3</xdr:col>
                    <xdr:colOff>95250</xdr:colOff>
                    <xdr:row>504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7" name="Check Box 505">
              <controlPr defaultSize="0" autoFill="0" autoLine="0" autoPict="0">
                <anchor moveWithCells="1">
                  <from>
                    <xdr:col>0</xdr:col>
                    <xdr:colOff>276225</xdr:colOff>
                    <xdr:row>505</xdr:row>
                    <xdr:rowOff>9525</xdr:rowOff>
                  </from>
                  <to>
                    <xdr:col>3</xdr:col>
                    <xdr:colOff>95250</xdr:colOff>
                    <xdr:row>505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8" name="Check Box 506">
              <controlPr defaultSize="0" autoFill="0" autoLine="0" autoPict="0">
                <anchor moveWithCells="1">
                  <from>
                    <xdr:col>0</xdr:col>
                    <xdr:colOff>276225</xdr:colOff>
                    <xdr:row>506</xdr:row>
                    <xdr:rowOff>9525</xdr:rowOff>
                  </from>
                  <to>
                    <xdr:col>3</xdr:col>
                    <xdr:colOff>95250</xdr:colOff>
                    <xdr:row>506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9" name="Check Box 507">
              <controlPr defaultSize="0" autoFill="0" autoLine="0" autoPict="0">
                <anchor moveWithCells="1">
                  <from>
                    <xdr:col>0</xdr:col>
                    <xdr:colOff>276225</xdr:colOff>
                    <xdr:row>507</xdr:row>
                    <xdr:rowOff>9525</xdr:rowOff>
                  </from>
                  <to>
                    <xdr:col>3</xdr:col>
                    <xdr:colOff>95250</xdr:colOff>
                    <xdr:row>507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10" name="Check Box 508">
              <controlPr defaultSize="0" autoFill="0" autoLine="0" autoPict="0">
                <anchor moveWithCells="1">
                  <from>
                    <xdr:col>0</xdr:col>
                    <xdr:colOff>276225</xdr:colOff>
                    <xdr:row>508</xdr:row>
                    <xdr:rowOff>9525</xdr:rowOff>
                  </from>
                  <to>
                    <xdr:col>3</xdr:col>
                    <xdr:colOff>95250</xdr:colOff>
                    <xdr:row>508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1" name="Check Box 509">
              <controlPr defaultSize="0" autoFill="0" autoLine="0" autoPict="0">
                <anchor moveWithCells="1">
                  <from>
                    <xdr:col>0</xdr:col>
                    <xdr:colOff>276225</xdr:colOff>
                    <xdr:row>509</xdr:row>
                    <xdr:rowOff>9525</xdr:rowOff>
                  </from>
                  <to>
                    <xdr:col>3</xdr:col>
                    <xdr:colOff>95250</xdr:colOff>
                    <xdr:row>509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12" name="Check Box 510">
              <controlPr defaultSize="0" autoFill="0" autoLine="0" autoPict="0">
                <anchor moveWithCells="1">
                  <from>
                    <xdr:col>0</xdr:col>
                    <xdr:colOff>276225</xdr:colOff>
                    <xdr:row>510</xdr:row>
                    <xdr:rowOff>9525</xdr:rowOff>
                  </from>
                  <to>
                    <xdr:col>3</xdr:col>
                    <xdr:colOff>95250</xdr:colOff>
                    <xdr:row>510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3" name="Check Box 511">
              <controlPr defaultSize="0" autoFill="0" autoLine="0" autoPict="0">
                <anchor moveWithCells="1">
                  <from>
                    <xdr:col>0</xdr:col>
                    <xdr:colOff>276225</xdr:colOff>
                    <xdr:row>511</xdr:row>
                    <xdr:rowOff>9525</xdr:rowOff>
                  </from>
                  <to>
                    <xdr:col>3</xdr:col>
                    <xdr:colOff>95250</xdr:colOff>
                    <xdr:row>511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14" name="Check Box 512">
              <controlPr defaultSize="0" autoFill="0" autoLine="0" autoPict="0">
                <anchor moveWithCells="1">
                  <from>
                    <xdr:col>0</xdr:col>
                    <xdr:colOff>276225</xdr:colOff>
                    <xdr:row>512</xdr:row>
                    <xdr:rowOff>9525</xdr:rowOff>
                  </from>
                  <to>
                    <xdr:col>3</xdr:col>
                    <xdr:colOff>95250</xdr:colOff>
                    <xdr:row>512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15" name="Check Box 513">
              <controlPr defaultSize="0" autoFill="0" autoLine="0" autoPict="0">
                <anchor moveWithCells="1">
                  <from>
                    <xdr:col>0</xdr:col>
                    <xdr:colOff>276225</xdr:colOff>
                    <xdr:row>513</xdr:row>
                    <xdr:rowOff>9525</xdr:rowOff>
                  </from>
                  <to>
                    <xdr:col>3</xdr:col>
                    <xdr:colOff>95250</xdr:colOff>
                    <xdr:row>513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16" name="Check Box 514">
              <controlPr defaultSize="0" autoFill="0" autoLine="0" autoPict="0">
                <anchor moveWithCells="1">
                  <from>
                    <xdr:col>0</xdr:col>
                    <xdr:colOff>276225</xdr:colOff>
                    <xdr:row>514</xdr:row>
                    <xdr:rowOff>9525</xdr:rowOff>
                  </from>
                  <to>
                    <xdr:col>3</xdr:col>
                    <xdr:colOff>95250</xdr:colOff>
                    <xdr:row>514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7" name="Check Box 515">
              <controlPr defaultSize="0" autoFill="0" autoLine="0" autoPict="0">
                <anchor moveWithCells="1">
                  <from>
                    <xdr:col>0</xdr:col>
                    <xdr:colOff>276225</xdr:colOff>
                    <xdr:row>515</xdr:row>
                    <xdr:rowOff>9525</xdr:rowOff>
                  </from>
                  <to>
                    <xdr:col>3</xdr:col>
                    <xdr:colOff>95250</xdr:colOff>
                    <xdr:row>515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8" name="Check Box 516">
              <controlPr defaultSize="0" autoFill="0" autoLine="0" autoPict="0">
                <anchor moveWithCells="1">
                  <from>
                    <xdr:col>0</xdr:col>
                    <xdr:colOff>276225</xdr:colOff>
                    <xdr:row>516</xdr:row>
                    <xdr:rowOff>9525</xdr:rowOff>
                  </from>
                  <to>
                    <xdr:col>3</xdr:col>
                    <xdr:colOff>95250</xdr:colOff>
                    <xdr:row>516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9" name="Check Box 517">
              <controlPr defaultSize="0" autoFill="0" autoLine="0" autoPict="0">
                <anchor moveWithCells="1">
                  <from>
                    <xdr:col>0</xdr:col>
                    <xdr:colOff>276225</xdr:colOff>
                    <xdr:row>517</xdr:row>
                    <xdr:rowOff>9525</xdr:rowOff>
                  </from>
                  <to>
                    <xdr:col>3</xdr:col>
                    <xdr:colOff>95250</xdr:colOff>
                    <xdr:row>517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20" name="Check Box 518">
              <controlPr defaultSize="0" autoFill="0" autoLine="0" autoPict="0">
                <anchor moveWithCells="1">
                  <from>
                    <xdr:col>0</xdr:col>
                    <xdr:colOff>276225</xdr:colOff>
                    <xdr:row>518</xdr:row>
                    <xdr:rowOff>9525</xdr:rowOff>
                  </from>
                  <to>
                    <xdr:col>3</xdr:col>
                    <xdr:colOff>95250</xdr:colOff>
                    <xdr:row>518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21" name="Check Box 519">
              <controlPr defaultSize="0" autoFill="0" autoLine="0" autoPict="0">
                <anchor moveWithCells="1">
                  <from>
                    <xdr:col>0</xdr:col>
                    <xdr:colOff>276225</xdr:colOff>
                    <xdr:row>519</xdr:row>
                    <xdr:rowOff>9525</xdr:rowOff>
                  </from>
                  <to>
                    <xdr:col>3</xdr:col>
                    <xdr:colOff>95250</xdr:colOff>
                    <xdr:row>519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22" name="Check Box 520">
              <controlPr defaultSize="0" autoFill="0" autoLine="0" autoPict="0">
                <anchor moveWithCells="1">
                  <from>
                    <xdr:col>0</xdr:col>
                    <xdr:colOff>276225</xdr:colOff>
                    <xdr:row>520</xdr:row>
                    <xdr:rowOff>9525</xdr:rowOff>
                  </from>
                  <to>
                    <xdr:col>3</xdr:col>
                    <xdr:colOff>95250</xdr:colOff>
                    <xdr:row>520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23" name="Check Box 521">
              <controlPr defaultSize="0" autoFill="0" autoLine="0" autoPict="0">
                <anchor moveWithCells="1">
                  <from>
                    <xdr:col>0</xdr:col>
                    <xdr:colOff>276225</xdr:colOff>
                    <xdr:row>521</xdr:row>
                    <xdr:rowOff>9525</xdr:rowOff>
                  </from>
                  <to>
                    <xdr:col>3</xdr:col>
                    <xdr:colOff>95250</xdr:colOff>
                    <xdr:row>521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24" name="Check Box 522">
              <controlPr defaultSize="0" autoFill="0" autoLine="0" autoPict="0">
                <anchor moveWithCells="1">
                  <from>
                    <xdr:col>0</xdr:col>
                    <xdr:colOff>276225</xdr:colOff>
                    <xdr:row>522</xdr:row>
                    <xdr:rowOff>9525</xdr:rowOff>
                  </from>
                  <to>
                    <xdr:col>3</xdr:col>
                    <xdr:colOff>95250</xdr:colOff>
                    <xdr:row>522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25" name="Check Box 523">
              <controlPr defaultSize="0" autoFill="0" autoLine="0" autoPict="0">
                <anchor moveWithCells="1">
                  <from>
                    <xdr:col>0</xdr:col>
                    <xdr:colOff>276225</xdr:colOff>
                    <xdr:row>523</xdr:row>
                    <xdr:rowOff>9525</xdr:rowOff>
                  </from>
                  <to>
                    <xdr:col>3</xdr:col>
                    <xdr:colOff>95250</xdr:colOff>
                    <xdr:row>523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26" name="Check Box 524">
              <controlPr defaultSize="0" autoFill="0" autoLine="0" autoPict="0">
                <anchor moveWithCells="1">
                  <from>
                    <xdr:col>0</xdr:col>
                    <xdr:colOff>276225</xdr:colOff>
                    <xdr:row>524</xdr:row>
                    <xdr:rowOff>9525</xdr:rowOff>
                  </from>
                  <to>
                    <xdr:col>3</xdr:col>
                    <xdr:colOff>95250</xdr:colOff>
                    <xdr:row>524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7" name="Check Box 525">
              <controlPr defaultSize="0" autoFill="0" autoLine="0" autoPict="0">
                <anchor moveWithCells="1">
                  <from>
                    <xdr:col>0</xdr:col>
                    <xdr:colOff>276225</xdr:colOff>
                    <xdr:row>525</xdr:row>
                    <xdr:rowOff>9525</xdr:rowOff>
                  </from>
                  <to>
                    <xdr:col>3</xdr:col>
                    <xdr:colOff>95250</xdr:colOff>
                    <xdr:row>525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8" name="Check Box 526">
              <controlPr defaultSize="0" autoFill="0" autoLine="0" autoPict="0">
                <anchor moveWithCells="1">
                  <from>
                    <xdr:col>0</xdr:col>
                    <xdr:colOff>276225</xdr:colOff>
                    <xdr:row>526</xdr:row>
                    <xdr:rowOff>9525</xdr:rowOff>
                  </from>
                  <to>
                    <xdr:col>3</xdr:col>
                    <xdr:colOff>95250</xdr:colOff>
                    <xdr:row>526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9" name="Check Box 527">
              <controlPr defaultSize="0" autoFill="0" autoLine="0" autoPict="0">
                <anchor moveWithCells="1">
                  <from>
                    <xdr:col>0</xdr:col>
                    <xdr:colOff>276225</xdr:colOff>
                    <xdr:row>527</xdr:row>
                    <xdr:rowOff>9525</xdr:rowOff>
                  </from>
                  <to>
                    <xdr:col>3</xdr:col>
                    <xdr:colOff>95250</xdr:colOff>
                    <xdr:row>527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30" name="Check Box 528">
              <controlPr defaultSize="0" autoFill="0" autoLine="0" autoPict="0">
                <anchor moveWithCells="1">
                  <from>
                    <xdr:col>0</xdr:col>
                    <xdr:colOff>276225</xdr:colOff>
                    <xdr:row>528</xdr:row>
                    <xdr:rowOff>9525</xdr:rowOff>
                  </from>
                  <to>
                    <xdr:col>3</xdr:col>
                    <xdr:colOff>95250</xdr:colOff>
                    <xdr:row>528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31" name="Check Box 529">
              <controlPr defaultSize="0" autoFill="0" autoLine="0" autoPict="0">
                <anchor moveWithCells="1">
                  <from>
                    <xdr:col>0</xdr:col>
                    <xdr:colOff>276225</xdr:colOff>
                    <xdr:row>529</xdr:row>
                    <xdr:rowOff>9525</xdr:rowOff>
                  </from>
                  <to>
                    <xdr:col>3</xdr:col>
                    <xdr:colOff>95250</xdr:colOff>
                    <xdr:row>529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32" name="Check Box 530">
              <controlPr defaultSize="0" autoFill="0" autoLine="0" autoPict="0">
                <anchor moveWithCells="1">
                  <from>
                    <xdr:col>0</xdr:col>
                    <xdr:colOff>276225</xdr:colOff>
                    <xdr:row>530</xdr:row>
                    <xdr:rowOff>9525</xdr:rowOff>
                  </from>
                  <to>
                    <xdr:col>3</xdr:col>
                    <xdr:colOff>95250</xdr:colOff>
                    <xdr:row>530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33" name="Check Box 531">
              <controlPr defaultSize="0" autoFill="0" autoLine="0" autoPict="0">
                <anchor moveWithCells="1">
                  <from>
                    <xdr:col>0</xdr:col>
                    <xdr:colOff>276225</xdr:colOff>
                    <xdr:row>531</xdr:row>
                    <xdr:rowOff>9525</xdr:rowOff>
                  </from>
                  <to>
                    <xdr:col>3</xdr:col>
                    <xdr:colOff>95250</xdr:colOff>
                    <xdr:row>531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34" name="Check Box 532">
              <controlPr defaultSize="0" autoFill="0" autoLine="0" autoPict="0">
                <anchor moveWithCells="1">
                  <from>
                    <xdr:col>0</xdr:col>
                    <xdr:colOff>276225</xdr:colOff>
                    <xdr:row>532</xdr:row>
                    <xdr:rowOff>9525</xdr:rowOff>
                  </from>
                  <to>
                    <xdr:col>3</xdr:col>
                    <xdr:colOff>95250</xdr:colOff>
                    <xdr:row>532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35" name="Check Box 533">
              <controlPr defaultSize="0" autoFill="0" autoLine="0" autoPict="0">
                <anchor moveWithCells="1">
                  <from>
                    <xdr:col>0</xdr:col>
                    <xdr:colOff>276225</xdr:colOff>
                    <xdr:row>533</xdr:row>
                    <xdr:rowOff>9525</xdr:rowOff>
                  </from>
                  <to>
                    <xdr:col>3</xdr:col>
                    <xdr:colOff>95250</xdr:colOff>
                    <xdr:row>533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36" name="Check Box 534">
              <controlPr defaultSize="0" autoFill="0" autoLine="0" autoPict="0">
                <anchor moveWithCells="1">
                  <from>
                    <xdr:col>0</xdr:col>
                    <xdr:colOff>276225</xdr:colOff>
                    <xdr:row>534</xdr:row>
                    <xdr:rowOff>9525</xdr:rowOff>
                  </from>
                  <to>
                    <xdr:col>3</xdr:col>
                    <xdr:colOff>95250</xdr:colOff>
                    <xdr:row>534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7" name="Check Box 535">
              <controlPr defaultSize="0" autoFill="0" autoLine="0" autoPict="0">
                <anchor moveWithCells="1">
                  <from>
                    <xdr:col>0</xdr:col>
                    <xdr:colOff>276225</xdr:colOff>
                    <xdr:row>535</xdr:row>
                    <xdr:rowOff>9525</xdr:rowOff>
                  </from>
                  <to>
                    <xdr:col>3</xdr:col>
                    <xdr:colOff>95250</xdr:colOff>
                    <xdr:row>535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8" name="Check Box 536">
              <controlPr defaultSize="0" autoFill="0" autoLine="0" autoPict="0">
                <anchor moveWithCells="1">
                  <from>
                    <xdr:col>0</xdr:col>
                    <xdr:colOff>276225</xdr:colOff>
                    <xdr:row>536</xdr:row>
                    <xdr:rowOff>9525</xdr:rowOff>
                  </from>
                  <to>
                    <xdr:col>3</xdr:col>
                    <xdr:colOff>95250</xdr:colOff>
                    <xdr:row>536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9" name="Check Box 537">
              <controlPr defaultSize="0" autoFill="0" autoLine="0" autoPict="0">
                <anchor moveWithCells="1">
                  <from>
                    <xdr:col>0</xdr:col>
                    <xdr:colOff>276225</xdr:colOff>
                    <xdr:row>537</xdr:row>
                    <xdr:rowOff>9525</xdr:rowOff>
                  </from>
                  <to>
                    <xdr:col>3</xdr:col>
                    <xdr:colOff>95250</xdr:colOff>
                    <xdr:row>537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40" name="Check Box 538">
              <controlPr defaultSize="0" autoFill="0" autoLine="0" autoPict="0">
                <anchor moveWithCells="1">
                  <from>
                    <xdr:col>0</xdr:col>
                    <xdr:colOff>276225</xdr:colOff>
                    <xdr:row>538</xdr:row>
                    <xdr:rowOff>9525</xdr:rowOff>
                  </from>
                  <to>
                    <xdr:col>3</xdr:col>
                    <xdr:colOff>95250</xdr:colOff>
                    <xdr:row>538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41" name="Check Box 539">
              <controlPr defaultSize="0" autoFill="0" autoLine="0" autoPict="0">
                <anchor moveWithCells="1">
                  <from>
                    <xdr:col>0</xdr:col>
                    <xdr:colOff>276225</xdr:colOff>
                    <xdr:row>539</xdr:row>
                    <xdr:rowOff>9525</xdr:rowOff>
                  </from>
                  <to>
                    <xdr:col>3</xdr:col>
                    <xdr:colOff>95250</xdr:colOff>
                    <xdr:row>539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42" name="Check Box 540">
              <controlPr defaultSize="0" autoFill="0" autoLine="0" autoPict="0">
                <anchor moveWithCells="1">
                  <from>
                    <xdr:col>0</xdr:col>
                    <xdr:colOff>276225</xdr:colOff>
                    <xdr:row>540</xdr:row>
                    <xdr:rowOff>9525</xdr:rowOff>
                  </from>
                  <to>
                    <xdr:col>3</xdr:col>
                    <xdr:colOff>95250</xdr:colOff>
                    <xdr:row>540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43" name="Check Box 541">
              <controlPr defaultSize="0" autoFill="0" autoLine="0" autoPict="0">
                <anchor moveWithCells="1">
                  <from>
                    <xdr:col>0</xdr:col>
                    <xdr:colOff>276225</xdr:colOff>
                    <xdr:row>541</xdr:row>
                    <xdr:rowOff>9525</xdr:rowOff>
                  </from>
                  <to>
                    <xdr:col>3</xdr:col>
                    <xdr:colOff>95250</xdr:colOff>
                    <xdr:row>541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44" name="Check Box 542">
              <controlPr defaultSize="0" autoFill="0" autoLine="0" autoPict="0">
                <anchor moveWithCells="1">
                  <from>
                    <xdr:col>0</xdr:col>
                    <xdr:colOff>276225</xdr:colOff>
                    <xdr:row>542</xdr:row>
                    <xdr:rowOff>9525</xdr:rowOff>
                  </from>
                  <to>
                    <xdr:col>3</xdr:col>
                    <xdr:colOff>95250</xdr:colOff>
                    <xdr:row>542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45" name="Check Box 543">
              <controlPr defaultSize="0" autoFill="0" autoLine="0" autoPict="0">
                <anchor moveWithCells="1">
                  <from>
                    <xdr:col>0</xdr:col>
                    <xdr:colOff>276225</xdr:colOff>
                    <xdr:row>543</xdr:row>
                    <xdr:rowOff>9525</xdr:rowOff>
                  </from>
                  <to>
                    <xdr:col>3</xdr:col>
                    <xdr:colOff>95250</xdr:colOff>
                    <xdr:row>543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46" name="Check Box 544">
              <controlPr defaultSize="0" autoFill="0" autoLine="0" autoPict="0">
                <anchor moveWithCells="1">
                  <from>
                    <xdr:col>0</xdr:col>
                    <xdr:colOff>276225</xdr:colOff>
                    <xdr:row>544</xdr:row>
                    <xdr:rowOff>9525</xdr:rowOff>
                  </from>
                  <to>
                    <xdr:col>3</xdr:col>
                    <xdr:colOff>95250</xdr:colOff>
                    <xdr:row>544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7" name="Check Box 545">
              <controlPr defaultSize="0" autoFill="0" autoLine="0" autoPict="0">
                <anchor moveWithCells="1">
                  <from>
                    <xdr:col>0</xdr:col>
                    <xdr:colOff>276225</xdr:colOff>
                    <xdr:row>545</xdr:row>
                    <xdr:rowOff>9525</xdr:rowOff>
                  </from>
                  <to>
                    <xdr:col>3</xdr:col>
                    <xdr:colOff>95250</xdr:colOff>
                    <xdr:row>545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8" name="Check Box 546">
              <controlPr defaultSize="0" autoFill="0" autoLine="0" autoPict="0">
                <anchor moveWithCells="1">
                  <from>
                    <xdr:col>0</xdr:col>
                    <xdr:colOff>276225</xdr:colOff>
                    <xdr:row>546</xdr:row>
                    <xdr:rowOff>9525</xdr:rowOff>
                  </from>
                  <to>
                    <xdr:col>3</xdr:col>
                    <xdr:colOff>95250</xdr:colOff>
                    <xdr:row>546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9" name="Check Box 547">
              <controlPr defaultSize="0" autoFill="0" autoLine="0" autoPict="0">
                <anchor moveWithCells="1">
                  <from>
                    <xdr:col>0</xdr:col>
                    <xdr:colOff>276225</xdr:colOff>
                    <xdr:row>547</xdr:row>
                    <xdr:rowOff>9525</xdr:rowOff>
                  </from>
                  <to>
                    <xdr:col>3</xdr:col>
                    <xdr:colOff>95250</xdr:colOff>
                    <xdr:row>547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50" name="Check Box 548">
              <controlPr defaultSize="0" autoFill="0" autoLine="0" autoPict="0">
                <anchor moveWithCells="1">
                  <from>
                    <xdr:col>0</xdr:col>
                    <xdr:colOff>276225</xdr:colOff>
                    <xdr:row>548</xdr:row>
                    <xdr:rowOff>9525</xdr:rowOff>
                  </from>
                  <to>
                    <xdr:col>3</xdr:col>
                    <xdr:colOff>95250</xdr:colOff>
                    <xdr:row>548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51" name="Check Box 549">
              <controlPr defaultSize="0" autoFill="0" autoLine="0" autoPict="0">
                <anchor moveWithCells="1">
                  <from>
                    <xdr:col>0</xdr:col>
                    <xdr:colOff>276225</xdr:colOff>
                    <xdr:row>549</xdr:row>
                    <xdr:rowOff>9525</xdr:rowOff>
                  </from>
                  <to>
                    <xdr:col>3</xdr:col>
                    <xdr:colOff>95250</xdr:colOff>
                    <xdr:row>549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52" name="Check Box 550">
              <controlPr defaultSize="0" autoFill="0" autoLine="0" autoPict="0">
                <anchor moveWithCells="1">
                  <from>
                    <xdr:col>0</xdr:col>
                    <xdr:colOff>276225</xdr:colOff>
                    <xdr:row>550</xdr:row>
                    <xdr:rowOff>9525</xdr:rowOff>
                  </from>
                  <to>
                    <xdr:col>3</xdr:col>
                    <xdr:colOff>95250</xdr:colOff>
                    <xdr:row>550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53" name="Check Box 551">
              <controlPr defaultSize="0" autoFill="0" autoLine="0" autoPict="0">
                <anchor moveWithCells="1">
                  <from>
                    <xdr:col>0</xdr:col>
                    <xdr:colOff>276225</xdr:colOff>
                    <xdr:row>551</xdr:row>
                    <xdr:rowOff>9525</xdr:rowOff>
                  </from>
                  <to>
                    <xdr:col>3</xdr:col>
                    <xdr:colOff>95250</xdr:colOff>
                    <xdr:row>551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54" name="Check Box 552">
              <controlPr defaultSize="0" autoFill="0" autoLine="0" autoPict="0">
                <anchor moveWithCells="1">
                  <from>
                    <xdr:col>0</xdr:col>
                    <xdr:colOff>276225</xdr:colOff>
                    <xdr:row>552</xdr:row>
                    <xdr:rowOff>9525</xdr:rowOff>
                  </from>
                  <to>
                    <xdr:col>3</xdr:col>
                    <xdr:colOff>95250</xdr:colOff>
                    <xdr:row>552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55" name="Check Box 553">
              <controlPr defaultSize="0" autoFill="0" autoLine="0" autoPict="0">
                <anchor moveWithCells="1">
                  <from>
                    <xdr:col>0</xdr:col>
                    <xdr:colOff>276225</xdr:colOff>
                    <xdr:row>553</xdr:row>
                    <xdr:rowOff>9525</xdr:rowOff>
                  </from>
                  <to>
                    <xdr:col>3</xdr:col>
                    <xdr:colOff>95250</xdr:colOff>
                    <xdr:row>553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56" name="Check Box 554">
              <controlPr defaultSize="0" autoFill="0" autoLine="0" autoPict="0">
                <anchor moveWithCells="1">
                  <from>
                    <xdr:col>0</xdr:col>
                    <xdr:colOff>276225</xdr:colOff>
                    <xdr:row>554</xdr:row>
                    <xdr:rowOff>9525</xdr:rowOff>
                  </from>
                  <to>
                    <xdr:col>3</xdr:col>
                    <xdr:colOff>95250</xdr:colOff>
                    <xdr:row>554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7" name="Check Box 555">
              <controlPr defaultSize="0" autoFill="0" autoLine="0" autoPict="0">
                <anchor moveWithCells="1">
                  <from>
                    <xdr:col>0</xdr:col>
                    <xdr:colOff>276225</xdr:colOff>
                    <xdr:row>555</xdr:row>
                    <xdr:rowOff>9525</xdr:rowOff>
                  </from>
                  <to>
                    <xdr:col>3</xdr:col>
                    <xdr:colOff>95250</xdr:colOff>
                    <xdr:row>555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8" name="Check Box 556">
              <controlPr defaultSize="0" autoFill="0" autoLine="0" autoPict="0">
                <anchor moveWithCells="1">
                  <from>
                    <xdr:col>0</xdr:col>
                    <xdr:colOff>276225</xdr:colOff>
                    <xdr:row>556</xdr:row>
                    <xdr:rowOff>9525</xdr:rowOff>
                  </from>
                  <to>
                    <xdr:col>3</xdr:col>
                    <xdr:colOff>95250</xdr:colOff>
                    <xdr:row>556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9" name="Check Box 557">
              <controlPr defaultSize="0" autoFill="0" autoLine="0" autoPict="0">
                <anchor moveWithCells="1">
                  <from>
                    <xdr:col>0</xdr:col>
                    <xdr:colOff>276225</xdr:colOff>
                    <xdr:row>557</xdr:row>
                    <xdr:rowOff>9525</xdr:rowOff>
                  </from>
                  <to>
                    <xdr:col>3</xdr:col>
                    <xdr:colOff>95250</xdr:colOff>
                    <xdr:row>557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60" name="Check Box 558">
              <controlPr defaultSize="0" autoFill="0" autoLine="0" autoPict="0">
                <anchor moveWithCells="1">
                  <from>
                    <xdr:col>0</xdr:col>
                    <xdr:colOff>276225</xdr:colOff>
                    <xdr:row>558</xdr:row>
                    <xdr:rowOff>9525</xdr:rowOff>
                  </from>
                  <to>
                    <xdr:col>3</xdr:col>
                    <xdr:colOff>95250</xdr:colOff>
                    <xdr:row>558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61" name="Check Box 559">
              <controlPr defaultSize="0" autoFill="0" autoLine="0" autoPict="0">
                <anchor moveWithCells="1">
                  <from>
                    <xdr:col>0</xdr:col>
                    <xdr:colOff>276225</xdr:colOff>
                    <xdr:row>559</xdr:row>
                    <xdr:rowOff>9525</xdr:rowOff>
                  </from>
                  <to>
                    <xdr:col>3</xdr:col>
                    <xdr:colOff>95250</xdr:colOff>
                    <xdr:row>559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62" name="Check Box 560">
              <controlPr defaultSize="0" autoFill="0" autoLine="0" autoPict="0">
                <anchor moveWithCells="1">
                  <from>
                    <xdr:col>0</xdr:col>
                    <xdr:colOff>276225</xdr:colOff>
                    <xdr:row>560</xdr:row>
                    <xdr:rowOff>9525</xdr:rowOff>
                  </from>
                  <to>
                    <xdr:col>3</xdr:col>
                    <xdr:colOff>95250</xdr:colOff>
                    <xdr:row>560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63" name="Check Box 561">
              <controlPr defaultSize="0" autoFill="0" autoLine="0" autoPict="0">
                <anchor moveWithCells="1">
                  <from>
                    <xdr:col>0</xdr:col>
                    <xdr:colOff>276225</xdr:colOff>
                    <xdr:row>561</xdr:row>
                    <xdr:rowOff>9525</xdr:rowOff>
                  </from>
                  <to>
                    <xdr:col>3</xdr:col>
                    <xdr:colOff>95250</xdr:colOff>
                    <xdr:row>561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64" name="Check Box 562">
              <controlPr defaultSize="0" autoFill="0" autoLine="0" autoPict="0">
                <anchor moveWithCells="1">
                  <from>
                    <xdr:col>0</xdr:col>
                    <xdr:colOff>276225</xdr:colOff>
                    <xdr:row>562</xdr:row>
                    <xdr:rowOff>9525</xdr:rowOff>
                  </from>
                  <to>
                    <xdr:col>3</xdr:col>
                    <xdr:colOff>95250</xdr:colOff>
                    <xdr:row>562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65" name="Check Box 563">
              <controlPr defaultSize="0" autoFill="0" autoLine="0" autoPict="0">
                <anchor moveWithCells="1">
                  <from>
                    <xdr:col>0</xdr:col>
                    <xdr:colOff>276225</xdr:colOff>
                    <xdr:row>563</xdr:row>
                    <xdr:rowOff>9525</xdr:rowOff>
                  </from>
                  <to>
                    <xdr:col>3</xdr:col>
                    <xdr:colOff>95250</xdr:colOff>
                    <xdr:row>563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66" name="Check Box 564">
              <controlPr defaultSize="0" autoFill="0" autoLine="0" autoPict="0">
                <anchor moveWithCells="1">
                  <from>
                    <xdr:col>0</xdr:col>
                    <xdr:colOff>276225</xdr:colOff>
                    <xdr:row>564</xdr:row>
                    <xdr:rowOff>9525</xdr:rowOff>
                  </from>
                  <to>
                    <xdr:col>3</xdr:col>
                    <xdr:colOff>95250</xdr:colOff>
                    <xdr:row>564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67" name="Check Box 565">
              <controlPr defaultSize="0" autoFill="0" autoLine="0" autoPict="0">
                <anchor moveWithCells="1">
                  <from>
                    <xdr:col>0</xdr:col>
                    <xdr:colOff>276225</xdr:colOff>
                    <xdr:row>565</xdr:row>
                    <xdr:rowOff>9525</xdr:rowOff>
                  </from>
                  <to>
                    <xdr:col>3</xdr:col>
                    <xdr:colOff>95250</xdr:colOff>
                    <xdr:row>565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68" name="Check Box 566">
              <controlPr defaultSize="0" autoFill="0" autoLine="0" autoPict="0">
                <anchor moveWithCells="1">
                  <from>
                    <xdr:col>0</xdr:col>
                    <xdr:colOff>276225</xdr:colOff>
                    <xdr:row>566</xdr:row>
                    <xdr:rowOff>9525</xdr:rowOff>
                  </from>
                  <to>
                    <xdr:col>3</xdr:col>
                    <xdr:colOff>95250</xdr:colOff>
                    <xdr:row>566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9" name="Check Box 567">
              <controlPr defaultSize="0" autoFill="0" autoLine="0" autoPict="0">
                <anchor moveWithCells="1">
                  <from>
                    <xdr:col>0</xdr:col>
                    <xdr:colOff>276225</xdr:colOff>
                    <xdr:row>567</xdr:row>
                    <xdr:rowOff>9525</xdr:rowOff>
                  </from>
                  <to>
                    <xdr:col>3</xdr:col>
                    <xdr:colOff>95250</xdr:colOff>
                    <xdr:row>567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70" name="Check Box 568">
              <controlPr defaultSize="0" autoFill="0" autoLine="0" autoPict="0">
                <anchor moveWithCells="1">
                  <from>
                    <xdr:col>0</xdr:col>
                    <xdr:colOff>276225</xdr:colOff>
                    <xdr:row>568</xdr:row>
                    <xdr:rowOff>9525</xdr:rowOff>
                  </from>
                  <to>
                    <xdr:col>3</xdr:col>
                    <xdr:colOff>95250</xdr:colOff>
                    <xdr:row>568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71" name="Check Box 569">
              <controlPr defaultSize="0" autoFill="0" autoLine="0" autoPict="0">
                <anchor moveWithCells="1">
                  <from>
                    <xdr:col>0</xdr:col>
                    <xdr:colOff>276225</xdr:colOff>
                    <xdr:row>569</xdr:row>
                    <xdr:rowOff>9525</xdr:rowOff>
                  </from>
                  <to>
                    <xdr:col>3</xdr:col>
                    <xdr:colOff>95250</xdr:colOff>
                    <xdr:row>569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72" name="Check Box 570">
              <controlPr defaultSize="0" autoFill="0" autoLine="0" autoPict="0">
                <anchor moveWithCells="1">
                  <from>
                    <xdr:col>0</xdr:col>
                    <xdr:colOff>276225</xdr:colOff>
                    <xdr:row>570</xdr:row>
                    <xdr:rowOff>9525</xdr:rowOff>
                  </from>
                  <to>
                    <xdr:col>3</xdr:col>
                    <xdr:colOff>95250</xdr:colOff>
                    <xdr:row>570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73" name="Check Box 571">
              <controlPr defaultSize="0" autoFill="0" autoLine="0" autoPict="0">
                <anchor moveWithCells="1">
                  <from>
                    <xdr:col>0</xdr:col>
                    <xdr:colOff>276225</xdr:colOff>
                    <xdr:row>571</xdr:row>
                    <xdr:rowOff>9525</xdr:rowOff>
                  </from>
                  <to>
                    <xdr:col>3</xdr:col>
                    <xdr:colOff>95250</xdr:colOff>
                    <xdr:row>571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74" name="Check Box 572">
              <controlPr defaultSize="0" autoFill="0" autoLine="0" autoPict="0">
                <anchor moveWithCells="1">
                  <from>
                    <xdr:col>0</xdr:col>
                    <xdr:colOff>276225</xdr:colOff>
                    <xdr:row>572</xdr:row>
                    <xdr:rowOff>9525</xdr:rowOff>
                  </from>
                  <to>
                    <xdr:col>3</xdr:col>
                    <xdr:colOff>95250</xdr:colOff>
                    <xdr:row>572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75" name="Check Box 573">
              <controlPr defaultSize="0" autoFill="0" autoLine="0" autoPict="0">
                <anchor moveWithCells="1">
                  <from>
                    <xdr:col>0</xdr:col>
                    <xdr:colOff>276225</xdr:colOff>
                    <xdr:row>573</xdr:row>
                    <xdr:rowOff>9525</xdr:rowOff>
                  </from>
                  <to>
                    <xdr:col>3</xdr:col>
                    <xdr:colOff>95250</xdr:colOff>
                    <xdr:row>573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76" name="Check Box 574">
              <controlPr defaultSize="0" autoFill="0" autoLine="0" autoPict="0">
                <anchor moveWithCells="1">
                  <from>
                    <xdr:col>0</xdr:col>
                    <xdr:colOff>276225</xdr:colOff>
                    <xdr:row>574</xdr:row>
                    <xdr:rowOff>9525</xdr:rowOff>
                  </from>
                  <to>
                    <xdr:col>3</xdr:col>
                    <xdr:colOff>95250</xdr:colOff>
                    <xdr:row>574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77" name="Check Box 575">
              <controlPr defaultSize="0" autoFill="0" autoLine="0" autoPict="0">
                <anchor moveWithCells="1">
                  <from>
                    <xdr:col>0</xdr:col>
                    <xdr:colOff>276225</xdr:colOff>
                    <xdr:row>575</xdr:row>
                    <xdr:rowOff>9525</xdr:rowOff>
                  </from>
                  <to>
                    <xdr:col>3</xdr:col>
                    <xdr:colOff>95250</xdr:colOff>
                    <xdr:row>575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78" name="Check Box 576">
              <controlPr defaultSize="0" autoFill="0" autoLine="0" autoPict="0">
                <anchor moveWithCells="1">
                  <from>
                    <xdr:col>0</xdr:col>
                    <xdr:colOff>276225</xdr:colOff>
                    <xdr:row>576</xdr:row>
                    <xdr:rowOff>9525</xdr:rowOff>
                  </from>
                  <to>
                    <xdr:col>3</xdr:col>
                    <xdr:colOff>95250</xdr:colOff>
                    <xdr:row>576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79" name="Check Box 577">
              <controlPr defaultSize="0" autoFill="0" autoLine="0" autoPict="0">
                <anchor moveWithCells="1">
                  <from>
                    <xdr:col>0</xdr:col>
                    <xdr:colOff>276225</xdr:colOff>
                    <xdr:row>577</xdr:row>
                    <xdr:rowOff>9525</xdr:rowOff>
                  </from>
                  <to>
                    <xdr:col>3</xdr:col>
                    <xdr:colOff>95250</xdr:colOff>
                    <xdr:row>577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80" name="Check Box 578">
              <controlPr defaultSize="0" autoFill="0" autoLine="0" autoPict="0">
                <anchor moveWithCells="1">
                  <from>
                    <xdr:col>0</xdr:col>
                    <xdr:colOff>276225</xdr:colOff>
                    <xdr:row>578</xdr:row>
                    <xdr:rowOff>9525</xdr:rowOff>
                  </from>
                  <to>
                    <xdr:col>3</xdr:col>
                    <xdr:colOff>95250</xdr:colOff>
                    <xdr:row>578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81" name="Check Box 579">
              <controlPr defaultSize="0" autoFill="0" autoLine="0" autoPict="0">
                <anchor moveWithCells="1">
                  <from>
                    <xdr:col>0</xdr:col>
                    <xdr:colOff>276225</xdr:colOff>
                    <xdr:row>579</xdr:row>
                    <xdr:rowOff>9525</xdr:rowOff>
                  </from>
                  <to>
                    <xdr:col>3</xdr:col>
                    <xdr:colOff>95250</xdr:colOff>
                    <xdr:row>579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82" name="Check Box 580">
              <controlPr defaultSize="0" autoFill="0" autoLine="0" autoPict="0">
                <anchor moveWithCells="1">
                  <from>
                    <xdr:col>0</xdr:col>
                    <xdr:colOff>276225</xdr:colOff>
                    <xdr:row>580</xdr:row>
                    <xdr:rowOff>9525</xdr:rowOff>
                  </from>
                  <to>
                    <xdr:col>3</xdr:col>
                    <xdr:colOff>95250</xdr:colOff>
                    <xdr:row>580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83" name="Check Box 581">
              <controlPr defaultSize="0" autoFill="0" autoLine="0" autoPict="0">
                <anchor moveWithCells="1">
                  <from>
                    <xdr:col>0</xdr:col>
                    <xdr:colOff>276225</xdr:colOff>
                    <xdr:row>581</xdr:row>
                    <xdr:rowOff>9525</xdr:rowOff>
                  </from>
                  <to>
                    <xdr:col>3</xdr:col>
                    <xdr:colOff>95250</xdr:colOff>
                    <xdr:row>581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84" name="Check Box 582">
              <controlPr defaultSize="0" autoFill="0" autoLine="0" autoPict="0">
                <anchor moveWithCells="1">
                  <from>
                    <xdr:col>0</xdr:col>
                    <xdr:colOff>276225</xdr:colOff>
                    <xdr:row>582</xdr:row>
                    <xdr:rowOff>9525</xdr:rowOff>
                  </from>
                  <to>
                    <xdr:col>3</xdr:col>
                    <xdr:colOff>95250</xdr:colOff>
                    <xdr:row>582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85" name="Check Box 583">
              <controlPr defaultSize="0" autoFill="0" autoLine="0" autoPict="0">
                <anchor moveWithCells="1">
                  <from>
                    <xdr:col>0</xdr:col>
                    <xdr:colOff>276225</xdr:colOff>
                    <xdr:row>583</xdr:row>
                    <xdr:rowOff>9525</xdr:rowOff>
                  </from>
                  <to>
                    <xdr:col>3</xdr:col>
                    <xdr:colOff>95250</xdr:colOff>
                    <xdr:row>583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86" name="Check Box 584">
              <controlPr defaultSize="0" autoFill="0" autoLine="0" autoPict="0">
                <anchor moveWithCells="1">
                  <from>
                    <xdr:col>0</xdr:col>
                    <xdr:colOff>276225</xdr:colOff>
                    <xdr:row>584</xdr:row>
                    <xdr:rowOff>9525</xdr:rowOff>
                  </from>
                  <to>
                    <xdr:col>3</xdr:col>
                    <xdr:colOff>95250</xdr:colOff>
                    <xdr:row>584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87" name="Check Box 585">
              <controlPr defaultSize="0" autoFill="0" autoLine="0" autoPict="0">
                <anchor moveWithCells="1">
                  <from>
                    <xdr:col>0</xdr:col>
                    <xdr:colOff>276225</xdr:colOff>
                    <xdr:row>585</xdr:row>
                    <xdr:rowOff>9525</xdr:rowOff>
                  </from>
                  <to>
                    <xdr:col>3</xdr:col>
                    <xdr:colOff>95250</xdr:colOff>
                    <xdr:row>585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88" name="Check Box 586">
              <controlPr defaultSize="0" autoFill="0" autoLine="0" autoPict="0">
                <anchor moveWithCells="1">
                  <from>
                    <xdr:col>0</xdr:col>
                    <xdr:colOff>276225</xdr:colOff>
                    <xdr:row>586</xdr:row>
                    <xdr:rowOff>9525</xdr:rowOff>
                  </from>
                  <to>
                    <xdr:col>3</xdr:col>
                    <xdr:colOff>95250</xdr:colOff>
                    <xdr:row>586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89" name="Check Box 587">
              <controlPr defaultSize="0" autoFill="0" autoLine="0" autoPict="0">
                <anchor moveWithCells="1">
                  <from>
                    <xdr:col>0</xdr:col>
                    <xdr:colOff>276225</xdr:colOff>
                    <xdr:row>587</xdr:row>
                    <xdr:rowOff>9525</xdr:rowOff>
                  </from>
                  <to>
                    <xdr:col>3</xdr:col>
                    <xdr:colOff>95250</xdr:colOff>
                    <xdr:row>587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90" name="Check Box 588">
              <controlPr defaultSize="0" autoFill="0" autoLine="0" autoPict="0">
                <anchor moveWithCells="1">
                  <from>
                    <xdr:col>0</xdr:col>
                    <xdr:colOff>276225</xdr:colOff>
                    <xdr:row>588</xdr:row>
                    <xdr:rowOff>9525</xdr:rowOff>
                  </from>
                  <to>
                    <xdr:col>3</xdr:col>
                    <xdr:colOff>95250</xdr:colOff>
                    <xdr:row>588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91" name="Check Box 589">
              <controlPr defaultSize="0" autoFill="0" autoLine="0" autoPict="0">
                <anchor moveWithCells="1">
                  <from>
                    <xdr:col>0</xdr:col>
                    <xdr:colOff>276225</xdr:colOff>
                    <xdr:row>589</xdr:row>
                    <xdr:rowOff>9525</xdr:rowOff>
                  </from>
                  <to>
                    <xdr:col>3</xdr:col>
                    <xdr:colOff>95250</xdr:colOff>
                    <xdr:row>589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92" name="Check Box 590">
              <controlPr defaultSize="0" autoFill="0" autoLine="0" autoPict="0">
                <anchor moveWithCells="1">
                  <from>
                    <xdr:col>0</xdr:col>
                    <xdr:colOff>276225</xdr:colOff>
                    <xdr:row>590</xdr:row>
                    <xdr:rowOff>9525</xdr:rowOff>
                  </from>
                  <to>
                    <xdr:col>3</xdr:col>
                    <xdr:colOff>95250</xdr:colOff>
                    <xdr:row>590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93" name="Check Box 591">
              <controlPr defaultSize="0" autoFill="0" autoLine="0" autoPict="0">
                <anchor moveWithCells="1">
                  <from>
                    <xdr:col>0</xdr:col>
                    <xdr:colOff>276225</xdr:colOff>
                    <xdr:row>591</xdr:row>
                    <xdr:rowOff>9525</xdr:rowOff>
                  </from>
                  <to>
                    <xdr:col>3</xdr:col>
                    <xdr:colOff>95250</xdr:colOff>
                    <xdr:row>591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94" name="Check Box 592">
              <controlPr defaultSize="0" autoFill="0" autoLine="0" autoPict="0">
                <anchor moveWithCells="1">
                  <from>
                    <xdr:col>0</xdr:col>
                    <xdr:colOff>276225</xdr:colOff>
                    <xdr:row>592</xdr:row>
                    <xdr:rowOff>9525</xdr:rowOff>
                  </from>
                  <to>
                    <xdr:col>3</xdr:col>
                    <xdr:colOff>95250</xdr:colOff>
                    <xdr:row>592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95" name="Check Box 593">
              <controlPr defaultSize="0" autoFill="0" autoLine="0" autoPict="0">
                <anchor moveWithCells="1">
                  <from>
                    <xdr:col>0</xdr:col>
                    <xdr:colOff>276225</xdr:colOff>
                    <xdr:row>593</xdr:row>
                    <xdr:rowOff>9525</xdr:rowOff>
                  </from>
                  <to>
                    <xdr:col>3</xdr:col>
                    <xdr:colOff>95250</xdr:colOff>
                    <xdr:row>593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96" name="Check Box 594">
              <controlPr defaultSize="0" autoFill="0" autoLine="0" autoPict="0">
                <anchor moveWithCells="1">
                  <from>
                    <xdr:col>0</xdr:col>
                    <xdr:colOff>276225</xdr:colOff>
                    <xdr:row>594</xdr:row>
                    <xdr:rowOff>9525</xdr:rowOff>
                  </from>
                  <to>
                    <xdr:col>3</xdr:col>
                    <xdr:colOff>95250</xdr:colOff>
                    <xdr:row>594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97" name="Check Box 595">
              <controlPr defaultSize="0" autoFill="0" autoLine="0" autoPict="0">
                <anchor moveWithCells="1">
                  <from>
                    <xdr:col>0</xdr:col>
                    <xdr:colOff>276225</xdr:colOff>
                    <xdr:row>595</xdr:row>
                    <xdr:rowOff>9525</xdr:rowOff>
                  </from>
                  <to>
                    <xdr:col>3</xdr:col>
                    <xdr:colOff>95250</xdr:colOff>
                    <xdr:row>595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98" name="Check Box 596">
              <controlPr defaultSize="0" autoFill="0" autoLine="0" autoPict="0">
                <anchor moveWithCells="1">
                  <from>
                    <xdr:col>0</xdr:col>
                    <xdr:colOff>276225</xdr:colOff>
                    <xdr:row>596</xdr:row>
                    <xdr:rowOff>9525</xdr:rowOff>
                  </from>
                  <to>
                    <xdr:col>3</xdr:col>
                    <xdr:colOff>95250</xdr:colOff>
                    <xdr:row>596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99" name="Check Box 597">
              <controlPr defaultSize="0" autoFill="0" autoLine="0" autoPict="0">
                <anchor moveWithCells="1">
                  <from>
                    <xdr:col>0</xdr:col>
                    <xdr:colOff>276225</xdr:colOff>
                    <xdr:row>597</xdr:row>
                    <xdr:rowOff>9525</xdr:rowOff>
                  </from>
                  <to>
                    <xdr:col>3</xdr:col>
                    <xdr:colOff>95250</xdr:colOff>
                    <xdr:row>597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600" name="Check Box 598">
              <controlPr defaultSize="0" autoFill="0" autoLine="0" autoPict="0">
                <anchor moveWithCells="1">
                  <from>
                    <xdr:col>0</xdr:col>
                    <xdr:colOff>276225</xdr:colOff>
                    <xdr:row>598</xdr:row>
                    <xdr:rowOff>9525</xdr:rowOff>
                  </from>
                  <to>
                    <xdr:col>3</xdr:col>
                    <xdr:colOff>95250</xdr:colOff>
                    <xdr:row>598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601" name="Check Box 599">
              <controlPr defaultSize="0" autoFill="0" autoLine="0" autoPict="0">
                <anchor moveWithCells="1">
                  <from>
                    <xdr:col>0</xdr:col>
                    <xdr:colOff>276225</xdr:colOff>
                    <xdr:row>599</xdr:row>
                    <xdr:rowOff>9525</xdr:rowOff>
                  </from>
                  <to>
                    <xdr:col>3</xdr:col>
                    <xdr:colOff>95250</xdr:colOff>
                    <xdr:row>599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602" name="Check Box 600">
              <controlPr defaultSize="0" autoFill="0" autoLine="0" autoPict="0">
                <anchor moveWithCells="1">
                  <from>
                    <xdr:col>0</xdr:col>
                    <xdr:colOff>276225</xdr:colOff>
                    <xdr:row>600</xdr:row>
                    <xdr:rowOff>9525</xdr:rowOff>
                  </from>
                  <to>
                    <xdr:col>3</xdr:col>
                    <xdr:colOff>95250</xdr:colOff>
                    <xdr:row>600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603" name="Check Box 601">
              <controlPr defaultSize="0" autoFill="0" autoLine="0" autoPict="0">
                <anchor moveWithCells="1">
                  <from>
                    <xdr:col>0</xdr:col>
                    <xdr:colOff>276225</xdr:colOff>
                    <xdr:row>601</xdr:row>
                    <xdr:rowOff>9525</xdr:rowOff>
                  </from>
                  <to>
                    <xdr:col>3</xdr:col>
                    <xdr:colOff>95250</xdr:colOff>
                    <xdr:row>601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604" name="Check Box 602">
              <controlPr defaultSize="0" autoFill="0" autoLine="0" autoPict="0">
                <anchor moveWithCells="1">
                  <from>
                    <xdr:col>0</xdr:col>
                    <xdr:colOff>276225</xdr:colOff>
                    <xdr:row>602</xdr:row>
                    <xdr:rowOff>9525</xdr:rowOff>
                  </from>
                  <to>
                    <xdr:col>3</xdr:col>
                    <xdr:colOff>95250</xdr:colOff>
                    <xdr:row>602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605" name="Check Box 603">
              <controlPr defaultSize="0" autoFill="0" autoLine="0" autoPict="0">
                <anchor moveWithCells="1">
                  <from>
                    <xdr:col>0</xdr:col>
                    <xdr:colOff>276225</xdr:colOff>
                    <xdr:row>603</xdr:row>
                    <xdr:rowOff>9525</xdr:rowOff>
                  </from>
                  <to>
                    <xdr:col>3</xdr:col>
                    <xdr:colOff>95250</xdr:colOff>
                    <xdr:row>603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606" name="Check Box 604">
              <controlPr defaultSize="0" autoFill="0" autoLine="0" autoPict="0">
                <anchor moveWithCells="1">
                  <from>
                    <xdr:col>0</xdr:col>
                    <xdr:colOff>276225</xdr:colOff>
                    <xdr:row>604</xdr:row>
                    <xdr:rowOff>9525</xdr:rowOff>
                  </from>
                  <to>
                    <xdr:col>3</xdr:col>
                    <xdr:colOff>95250</xdr:colOff>
                    <xdr:row>604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607" name="Check Box 605">
              <controlPr defaultSize="0" autoFill="0" autoLine="0" autoPict="0">
                <anchor moveWithCells="1">
                  <from>
                    <xdr:col>0</xdr:col>
                    <xdr:colOff>276225</xdr:colOff>
                    <xdr:row>605</xdr:row>
                    <xdr:rowOff>9525</xdr:rowOff>
                  </from>
                  <to>
                    <xdr:col>3</xdr:col>
                    <xdr:colOff>95250</xdr:colOff>
                    <xdr:row>605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08" name="Check Box 606">
              <controlPr defaultSize="0" autoFill="0" autoLine="0" autoPict="0">
                <anchor moveWithCells="1">
                  <from>
                    <xdr:col>0</xdr:col>
                    <xdr:colOff>276225</xdr:colOff>
                    <xdr:row>606</xdr:row>
                    <xdr:rowOff>9525</xdr:rowOff>
                  </from>
                  <to>
                    <xdr:col>3</xdr:col>
                    <xdr:colOff>95250</xdr:colOff>
                    <xdr:row>606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609" name="Check Box 607">
              <controlPr defaultSize="0" autoFill="0" autoLine="0" autoPict="0">
                <anchor moveWithCells="1">
                  <from>
                    <xdr:col>0</xdr:col>
                    <xdr:colOff>276225</xdr:colOff>
                    <xdr:row>607</xdr:row>
                    <xdr:rowOff>9525</xdr:rowOff>
                  </from>
                  <to>
                    <xdr:col>3</xdr:col>
                    <xdr:colOff>95250</xdr:colOff>
                    <xdr:row>607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610" name="Check Box 608">
              <controlPr defaultSize="0" autoFill="0" autoLine="0" autoPict="0">
                <anchor moveWithCells="1">
                  <from>
                    <xdr:col>0</xdr:col>
                    <xdr:colOff>276225</xdr:colOff>
                    <xdr:row>608</xdr:row>
                    <xdr:rowOff>9525</xdr:rowOff>
                  </from>
                  <to>
                    <xdr:col>3</xdr:col>
                    <xdr:colOff>95250</xdr:colOff>
                    <xdr:row>608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611" name="Check Box 609">
              <controlPr defaultSize="0" autoFill="0" autoLine="0" autoPict="0">
                <anchor moveWithCells="1">
                  <from>
                    <xdr:col>0</xdr:col>
                    <xdr:colOff>276225</xdr:colOff>
                    <xdr:row>609</xdr:row>
                    <xdr:rowOff>9525</xdr:rowOff>
                  </from>
                  <to>
                    <xdr:col>3</xdr:col>
                    <xdr:colOff>95250</xdr:colOff>
                    <xdr:row>609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612" name="Check Box 610">
              <controlPr defaultSize="0" autoFill="0" autoLine="0" autoPict="0">
                <anchor moveWithCells="1">
                  <from>
                    <xdr:col>0</xdr:col>
                    <xdr:colOff>276225</xdr:colOff>
                    <xdr:row>610</xdr:row>
                    <xdr:rowOff>9525</xdr:rowOff>
                  </from>
                  <to>
                    <xdr:col>3</xdr:col>
                    <xdr:colOff>95250</xdr:colOff>
                    <xdr:row>610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613" name="Check Box 611">
              <controlPr defaultSize="0" autoFill="0" autoLine="0" autoPict="0">
                <anchor moveWithCells="1">
                  <from>
                    <xdr:col>0</xdr:col>
                    <xdr:colOff>276225</xdr:colOff>
                    <xdr:row>611</xdr:row>
                    <xdr:rowOff>9525</xdr:rowOff>
                  </from>
                  <to>
                    <xdr:col>3</xdr:col>
                    <xdr:colOff>95250</xdr:colOff>
                    <xdr:row>611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614" name="Check Box 612">
              <controlPr defaultSize="0" autoFill="0" autoLine="0" autoPict="0">
                <anchor moveWithCells="1">
                  <from>
                    <xdr:col>0</xdr:col>
                    <xdr:colOff>276225</xdr:colOff>
                    <xdr:row>612</xdr:row>
                    <xdr:rowOff>9525</xdr:rowOff>
                  </from>
                  <to>
                    <xdr:col>3</xdr:col>
                    <xdr:colOff>95250</xdr:colOff>
                    <xdr:row>612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615" name="Check Box 613">
              <controlPr defaultSize="0" autoFill="0" autoLine="0" autoPict="0">
                <anchor moveWithCells="1">
                  <from>
                    <xdr:col>0</xdr:col>
                    <xdr:colOff>276225</xdr:colOff>
                    <xdr:row>613</xdr:row>
                    <xdr:rowOff>9525</xdr:rowOff>
                  </from>
                  <to>
                    <xdr:col>3</xdr:col>
                    <xdr:colOff>95250</xdr:colOff>
                    <xdr:row>613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16" name="Check Box 614">
              <controlPr defaultSize="0" autoFill="0" autoLine="0" autoPict="0">
                <anchor moveWithCells="1">
                  <from>
                    <xdr:col>0</xdr:col>
                    <xdr:colOff>276225</xdr:colOff>
                    <xdr:row>614</xdr:row>
                    <xdr:rowOff>9525</xdr:rowOff>
                  </from>
                  <to>
                    <xdr:col>3</xdr:col>
                    <xdr:colOff>95250</xdr:colOff>
                    <xdr:row>614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7" name="Check Box 615">
              <controlPr defaultSize="0" autoFill="0" autoLine="0" autoPict="0">
                <anchor moveWithCells="1">
                  <from>
                    <xdr:col>0</xdr:col>
                    <xdr:colOff>276225</xdr:colOff>
                    <xdr:row>615</xdr:row>
                    <xdr:rowOff>9525</xdr:rowOff>
                  </from>
                  <to>
                    <xdr:col>3</xdr:col>
                    <xdr:colOff>95250</xdr:colOff>
                    <xdr:row>615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18" name="Check Box 616">
              <controlPr defaultSize="0" autoFill="0" autoLine="0" autoPict="0">
                <anchor moveWithCells="1">
                  <from>
                    <xdr:col>0</xdr:col>
                    <xdr:colOff>276225</xdr:colOff>
                    <xdr:row>616</xdr:row>
                    <xdr:rowOff>9525</xdr:rowOff>
                  </from>
                  <to>
                    <xdr:col>3</xdr:col>
                    <xdr:colOff>95250</xdr:colOff>
                    <xdr:row>616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19" name="Check Box 617">
              <controlPr defaultSize="0" autoFill="0" autoLine="0" autoPict="0">
                <anchor moveWithCells="1">
                  <from>
                    <xdr:col>0</xdr:col>
                    <xdr:colOff>276225</xdr:colOff>
                    <xdr:row>617</xdr:row>
                    <xdr:rowOff>9525</xdr:rowOff>
                  </from>
                  <to>
                    <xdr:col>3</xdr:col>
                    <xdr:colOff>95250</xdr:colOff>
                    <xdr:row>617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20" name="Check Box 618">
              <controlPr defaultSize="0" autoFill="0" autoLine="0" autoPict="0">
                <anchor moveWithCells="1">
                  <from>
                    <xdr:col>0</xdr:col>
                    <xdr:colOff>276225</xdr:colOff>
                    <xdr:row>618</xdr:row>
                    <xdr:rowOff>9525</xdr:rowOff>
                  </from>
                  <to>
                    <xdr:col>3</xdr:col>
                    <xdr:colOff>95250</xdr:colOff>
                    <xdr:row>618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21" name="Check Box 619">
              <controlPr defaultSize="0" autoFill="0" autoLine="0" autoPict="0">
                <anchor moveWithCells="1">
                  <from>
                    <xdr:col>0</xdr:col>
                    <xdr:colOff>276225</xdr:colOff>
                    <xdr:row>619</xdr:row>
                    <xdr:rowOff>9525</xdr:rowOff>
                  </from>
                  <to>
                    <xdr:col>3</xdr:col>
                    <xdr:colOff>95250</xdr:colOff>
                    <xdr:row>619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22" name="Check Box 620">
              <controlPr defaultSize="0" autoFill="0" autoLine="0" autoPict="0">
                <anchor moveWithCells="1">
                  <from>
                    <xdr:col>0</xdr:col>
                    <xdr:colOff>276225</xdr:colOff>
                    <xdr:row>620</xdr:row>
                    <xdr:rowOff>9525</xdr:rowOff>
                  </from>
                  <to>
                    <xdr:col>3</xdr:col>
                    <xdr:colOff>95250</xdr:colOff>
                    <xdr:row>620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23" name="Check Box 621">
              <controlPr defaultSize="0" autoFill="0" autoLine="0" autoPict="0">
                <anchor moveWithCells="1">
                  <from>
                    <xdr:col>0</xdr:col>
                    <xdr:colOff>276225</xdr:colOff>
                    <xdr:row>621</xdr:row>
                    <xdr:rowOff>9525</xdr:rowOff>
                  </from>
                  <to>
                    <xdr:col>3</xdr:col>
                    <xdr:colOff>95250</xdr:colOff>
                    <xdr:row>621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24" name="Check Box 622">
              <controlPr defaultSize="0" autoFill="0" autoLine="0" autoPict="0">
                <anchor moveWithCells="1">
                  <from>
                    <xdr:col>0</xdr:col>
                    <xdr:colOff>276225</xdr:colOff>
                    <xdr:row>622</xdr:row>
                    <xdr:rowOff>9525</xdr:rowOff>
                  </from>
                  <to>
                    <xdr:col>3</xdr:col>
                    <xdr:colOff>95250</xdr:colOff>
                    <xdr:row>622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25" name="Check Box 623">
              <controlPr defaultSize="0" autoFill="0" autoLine="0" autoPict="0">
                <anchor moveWithCells="1">
                  <from>
                    <xdr:col>0</xdr:col>
                    <xdr:colOff>276225</xdr:colOff>
                    <xdr:row>623</xdr:row>
                    <xdr:rowOff>9525</xdr:rowOff>
                  </from>
                  <to>
                    <xdr:col>3</xdr:col>
                    <xdr:colOff>95250</xdr:colOff>
                    <xdr:row>623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26" name="Check Box 624">
              <controlPr defaultSize="0" autoFill="0" autoLine="0" autoPict="0">
                <anchor moveWithCells="1">
                  <from>
                    <xdr:col>0</xdr:col>
                    <xdr:colOff>276225</xdr:colOff>
                    <xdr:row>624</xdr:row>
                    <xdr:rowOff>9525</xdr:rowOff>
                  </from>
                  <to>
                    <xdr:col>3</xdr:col>
                    <xdr:colOff>95250</xdr:colOff>
                    <xdr:row>624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27" name="Check Box 625">
              <controlPr defaultSize="0" autoFill="0" autoLine="0" autoPict="0">
                <anchor moveWithCells="1">
                  <from>
                    <xdr:col>0</xdr:col>
                    <xdr:colOff>276225</xdr:colOff>
                    <xdr:row>625</xdr:row>
                    <xdr:rowOff>9525</xdr:rowOff>
                  </from>
                  <to>
                    <xdr:col>3</xdr:col>
                    <xdr:colOff>95250</xdr:colOff>
                    <xdr:row>625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28" name="Check Box 626">
              <controlPr defaultSize="0" autoFill="0" autoLine="0" autoPict="0">
                <anchor moveWithCells="1">
                  <from>
                    <xdr:col>0</xdr:col>
                    <xdr:colOff>276225</xdr:colOff>
                    <xdr:row>626</xdr:row>
                    <xdr:rowOff>9525</xdr:rowOff>
                  </from>
                  <to>
                    <xdr:col>3</xdr:col>
                    <xdr:colOff>95250</xdr:colOff>
                    <xdr:row>626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29" name="Check Box 627">
              <controlPr defaultSize="0" autoFill="0" autoLine="0" autoPict="0">
                <anchor moveWithCells="1">
                  <from>
                    <xdr:col>0</xdr:col>
                    <xdr:colOff>276225</xdr:colOff>
                    <xdr:row>627</xdr:row>
                    <xdr:rowOff>9525</xdr:rowOff>
                  </from>
                  <to>
                    <xdr:col>3</xdr:col>
                    <xdr:colOff>95250</xdr:colOff>
                    <xdr:row>627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30" name="Check Box 628">
              <controlPr defaultSize="0" autoFill="0" autoLine="0" autoPict="0">
                <anchor moveWithCells="1">
                  <from>
                    <xdr:col>0</xdr:col>
                    <xdr:colOff>276225</xdr:colOff>
                    <xdr:row>628</xdr:row>
                    <xdr:rowOff>9525</xdr:rowOff>
                  </from>
                  <to>
                    <xdr:col>3</xdr:col>
                    <xdr:colOff>95250</xdr:colOff>
                    <xdr:row>628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31" name="Check Box 629">
              <controlPr defaultSize="0" autoFill="0" autoLine="0" autoPict="0">
                <anchor moveWithCells="1">
                  <from>
                    <xdr:col>0</xdr:col>
                    <xdr:colOff>276225</xdr:colOff>
                    <xdr:row>629</xdr:row>
                    <xdr:rowOff>9525</xdr:rowOff>
                  </from>
                  <to>
                    <xdr:col>3</xdr:col>
                    <xdr:colOff>95250</xdr:colOff>
                    <xdr:row>629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32" name="Check Box 630">
              <controlPr defaultSize="0" autoFill="0" autoLine="0" autoPict="0">
                <anchor moveWithCells="1">
                  <from>
                    <xdr:col>0</xdr:col>
                    <xdr:colOff>276225</xdr:colOff>
                    <xdr:row>630</xdr:row>
                    <xdr:rowOff>9525</xdr:rowOff>
                  </from>
                  <to>
                    <xdr:col>3</xdr:col>
                    <xdr:colOff>95250</xdr:colOff>
                    <xdr:row>630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33" name="Check Box 631">
              <controlPr defaultSize="0" autoFill="0" autoLine="0" autoPict="0">
                <anchor moveWithCells="1">
                  <from>
                    <xdr:col>0</xdr:col>
                    <xdr:colOff>276225</xdr:colOff>
                    <xdr:row>631</xdr:row>
                    <xdr:rowOff>9525</xdr:rowOff>
                  </from>
                  <to>
                    <xdr:col>3</xdr:col>
                    <xdr:colOff>95250</xdr:colOff>
                    <xdr:row>631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34" name="Check Box 632">
              <controlPr defaultSize="0" autoFill="0" autoLine="0" autoPict="0">
                <anchor moveWithCells="1">
                  <from>
                    <xdr:col>0</xdr:col>
                    <xdr:colOff>276225</xdr:colOff>
                    <xdr:row>632</xdr:row>
                    <xdr:rowOff>9525</xdr:rowOff>
                  </from>
                  <to>
                    <xdr:col>3</xdr:col>
                    <xdr:colOff>95250</xdr:colOff>
                    <xdr:row>632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35" name="Check Box 633">
              <controlPr defaultSize="0" autoFill="0" autoLine="0" autoPict="0">
                <anchor moveWithCells="1">
                  <from>
                    <xdr:col>0</xdr:col>
                    <xdr:colOff>276225</xdr:colOff>
                    <xdr:row>633</xdr:row>
                    <xdr:rowOff>9525</xdr:rowOff>
                  </from>
                  <to>
                    <xdr:col>3</xdr:col>
                    <xdr:colOff>95250</xdr:colOff>
                    <xdr:row>633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36" name="Check Box 634">
              <controlPr defaultSize="0" autoFill="0" autoLine="0" autoPict="0">
                <anchor moveWithCells="1">
                  <from>
                    <xdr:col>0</xdr:col>
                    <xdr:colOff>276225</xdr:colOff>
                    <xdr:row>634</xdr:row>
                    <xdr:rowOff>9525</xdr:rowOff>
                  </from>
                  <to>
                    <xdr:col>3</xdr:col>
                    <xdr:colOff>95250</xdr:colOff>
                    <xdr:row>634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37" name="Check Box 635">
              <controlPr defaultSize="0" autoFill="0" autoLine="0" autoPict="0">
                <anchor moveWithCells="1">
                  <from>
                    <xdr:col>0</xdr:col>
                    <xdr:colOff>276225</xdr:colOff>
                    <xdr:row>635</xdr:row>
                    <xdr:rowOff>9525</xdr:rowOff>
                  </from>
                  <to>
                    <xdr:col>3</xdr:col>
                    <xdr:colOff>95250</xdr:colOff>
                    <xdr:row>635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38" name="Check Box 636">
              <controlPr defaultSize="0" autoFill="0" autoLine="0" autoPict="0">
                <anchor moveWithCells="1">
                  <from>
                    <xdr:col>0</xdr:col>
                    <xdr:colOff>276225</xdr:colOff>
                    <xdr:row>636</xdr:row>
                    <xdr:rowOff>9525</xdr:rowOff>
                  </from>
                  <to>
                    <xdr:col>3</xdr:col>
                    <xdr:colOff>95250</xdr:colOff>
                    <xdr:row>636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39" name="Check Box 637">
              <controlPr defaultSize="0" autoFill="0" autoLine="0" autoPict="0">
                <anchor moveWithCells="1">
                  <from>
                    <xdr:col>0</xdr:col>
                    <xdr:colOff>276225</xdr:colOff>
                    <xdr:row>637</xdr:row>
                    <xdr:rowOff>9525</xdr:rowOff>
                  </from>
                  <to>
                    <xdr:col>3</xdr:col>
                    <xdr:colOff>95250</xdr:colOff>
                    <xdr:row>637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40" name="Check Box 638">
              <controlPr defaultSize="0" autoFill="0" autoLine="0" autoPict="0">
                <anchor moveWithCells="1">
                  <from>
                    <xdr:col>0</xdr:col>
                    <xdr:colOff>276225</xdr:colOff>
                    <xdr:row>638</xdr:row>
                    <xdr:rowOff>9525</xdr:rowOff>
                  </from>
                  <to>
                    <xdr:col>3</xdr:col>
                    <xdr:colOff>95250</xdr:colOff>
                    <xdr:row>638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41" name="Check Box 639">
              <controlPr defaultSize="0" autoFill="0" autoLine="0" autoPict="0">
                <anchor moveWithCells="1">
                  <from>
                    <xdr:col>0</xdr:col>
                    <xdr:colOff>276225</xdr:colOff>
                    <xdr:row>639</xdr:row>
                    <xdr:rowOff>9525</xdr:rowOff>
                  </from>
                  <to>
                    <xdr:col>3</xdr:col>
                    <xdr:colOff>95250</xdr:colOff>
                    <xdr:row>639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42" name="Check Box 640">
              <controlPr defaultSize="0" autoFill="0" autoLine="0" autoPict="0">
                <anchor moveWithCells="1">
                  <from>
                    <xdr:col>0</xdr:col>
                    <xdr:colOff>276225</xdr:colOff>
                    <xdr:row>640</xdr:row>
                    <xdr:rowOff>9525</xdr:rowOff>
                  </from>
                  <to>
                    <xdr:col>3</xdr:col>
                    <xdr:colOff>95250</xdr:colOff>
                    <xdr:row>640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43" name="Check Box 641">
              <controlPr defaultSize="0" autoFill="0" autoLine="0" autoPict="0">
                <anchor moveWithCells="1">
                  <from>
                    <xdr:col>0</xdr:col>
                    <xdr:colOff>276225</xdr:colOff>
                    <xdr:row>641</xdr:row>
                    <xdr:rowOff>9525</xdr:rowOff>
                  </from>
                  <to>
                    <xdr:col>3</xdr:col>
                    <xdr:colOff>95250</xdr:colOff>
                    <xdr:row>641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44" name="Check Box 642">
              <controlPr defaultSize="0" autoFill="0" autoLine="0" autoPict="0">
                <anchor moveWithCells="1">
                  <from>
                    <xdr:col>0</xdr:col>
                    <xdr:colOff>276225</xdr:colOff>
                    <xdr:row>642</xdr:row>
                    <xdr:rowOff>9525</xdr:rowOff>
                  </from>
                  <to>
                    <xdr:col>3</xdr:col>
                    <xdr:colOff>95250</xdr:colOff>
                    <xdr:row>642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45" name="Check Box 643">
              <controlPr defaultSize="0" autoFill="0" autoLine="0" autoPict="0">
                <anchor moveWithCells="1">
                  <from>
                    <xdr:col>0</xdr:col>
                    <xdr:colOff>276225</xdr:colOff>
                    <xdr:row>643</xdr:row>
                    <xdr:rowOff>9525</xdr:rowOff>
                  </from>
                  <to>
                    <xdr:col>3</xdr:col>
                    <xdr:colOff>95250</xdr:colOff>
                    <xdr:row>643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46" name="Check Box 644">
              <controlPr defaultSize="0" autoFill="0" autoLine="0" autoPict="0">
                <anchor moveWithCells="1">
                  <from>
                    <xdr:col>0</xdr:col>
                    <xdr:colOff>276225</xdr:colOff>
                    <xdr:row>644</xdr:row>
                    <xdr:rowOff>9525</xdr:rowOff>
                  </from>
                  <to>
                    <xdr:col>3</xdr:col>
                    <xdr:colOff>95250</xdr:colOff>
                    <xdr:row>644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47" name="Check Box 645">
              <controlPr defaultSize="0" autoFill="0" autoLine="0" autoPict="0">
                <anchor moveWithCells="1">
                  <from>
                    <xdr:col>0</xdr:col>
                    <xdr:colOff>276225</xdr:colOff>
                    <xdr:row>645</xdr:row>
                    <xdr:rowOff>9525</xdr:rowOff>
                  </from>
                  <to>
                    <xdr:col>3</xdr:col>
                    <xdr:colOff>95250</xdr:colOff>
                    <xdr:row>645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48" name="Check Box 646">
              <controlPr defaultSize="0" autoFill="0" autoLine="0" autoPict="0">
                <anchor moveWithCells="1">
                  <from>
                    <xdr:col>0</xdr:col>
                    <xdr:colOff>276225</xdr:colOff>
                    <xdr:row>646</xdr:row>
                    <xdr:rowOff>9525</xdr:rowOff>
                  </from>
                  <to>
                    <xdr:col>3</xdr:col>
                    <xdr:colOff>95250</xdr:colOff>
                    <xdr:row>646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49" name="Check Box 647">
              <controlPr defaultSize="0" autoFill="0" autoLine="0" autoPict="0">
                <anchor moveWithCells="1">
                  <from>
                    <xdr:col>0</xdr:col>
                    <xdr:colOff>276225</xdr:colOff>
                    <xdr:row>647</xdr:row>
                    <xdr:rowOff>9525</xdr:rowOff>
                  </from>
                  <to>
                    <xdr:col>3</xdr:col>
                    <xdr:colOff>95250</xdr:colOff>
                    <xdr:row>647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50" name="Check Box 648">
              <controlPr defaultSize="0" autoFill="0" autoLine="0" autoPict="0">
                <anchor moveWithCells="1">
                  <from>
                    <xdr:col>0</xdr:col>
                    <xdr:colOff>276225</xdr:colOff>
                    <xdr:row>648</xdr:row>
                    <xdr:rowOff>9525</xdr:rowOff>
                  </from>
                  <to>
                    <xdr:col>3</xdr:col>
                    <xdr:colOff>95250</xdr:colOff>
                    <xdr:row>648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51" name="Check Box 649">
              <controlPr defaultSize="0" autoFill="0" autoLine="0" autoPict="0">
                <anchor moveWithCells="1">
                  <from>
                    <xdr:col>0</xdr:col>
                    <xdr:colOff>276225</xdr:colOff>
                    <xdr:row>649</xdr:row>
                    <xdr:rowOff>9525</xdr:rowOff>
                  </from>
                  <to>
                    <xdr:col>3</xdr:col>
                    <xdr:colOff>95250</xdr:colOff>
                    <xdr:row>649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52" name="Check Box 650">
              <controlPr defaultSize="0" autoFill="0" autoLine="0" autoPict="0">
                <anchor moveWithCells="1">
                  <from>
                    <xdr:col>0</xdr:col>
                    <xdr:colOff>276225</xdr:colOff>
                    <xdr:row>650</xdr:row>
                    <xdr:rowOff>9525</xdr:rowOff>
                  </from>
                  <to>
                    <xdr:col>3</xdr:col>
                    <xdr:colOff>95250</xdr:colOff>
                    <xdr:row>650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53" name="Check Box 651">
              <controlPr defaultSize="0" autoFill="0" autoLine="0" autoPict="0">
                <anchor moveWithCells="1">
                  <from>
                    <xdr:col>0</xdr:col>
                    <xdr:colOff>276225</xdr:colOff>
                    <xdr:row>651</xdr:row>
                    <xdr:rowOff>9525</xdr:rowOff>
                  </from>
                  <to>
                    <xdr:col>3</xdr:col>
                    <xdr:colOff>95250</xdr:colOff>
                    <xdr:row>651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54" name="Check Box 652">
              <controlPr defaultSize="0" autoFill="0" autoLine="0" autoPict="0">
                <anchor moveWithCells="1">
                  <from>
                    <xdr:col>0</xdr:col>
                    <xdr:colOff>276225</xdr:colOff>
                    <xdr:row>652</xdr:row>
                    <xdr:rowOff>9525</xdr:rowOff>
                  </from>
                  <to>
                    <xdr:col>3</xdr:col>
                    <xdr:colOff>95250</xdr:colOff>
                    <xdr:row>652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55" name="Check Box 653">
              <controlPr defaultSize="0" autoFill="0" autoLine="0" autoPict="0">
                <anchor moveWithCells="1">
                  <from>
                    <xdr:col>0</xdr:col>
                    <xdr:colOff>276225</xdr:colOff>
                    <xdr:row>653</xdr:row>
                    <xdr:rowOff>9525</xdr:rowOff>
                  </from>
                  <to>
                    <xdr:col>3</xdr:col>
                    <xdr:colOff>95250</xdr:colOff>
                    <xdr:row>653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56" name="Check Box 654">
              <controlPr defaultSize="0" autoFill="0" autoLine="0" autoPict="0">
                <anchor moveWithCells="1">
                  <from>
                    <xdr:col>0</xdr:col>
                    <xdr:colOff>276225</xdr:colOff>
                    <xdr:row>654</xdr:row>
                    <xdr:rowOff>9525</xdr:rowOff>
                  </from>
                  <to>
                    <xdr:col>3</xdr:col>
                    <xdr:colOff>95250</xdr:colOff>
                    <xdr:row>654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57" name="Check Box 655">
              <controlPr defaultSize="0" autoFill="0" autoLine="0" autoPict="0">
                <anchor moveWithCells="1">
                  <from>
                    <xdr:col>0</xdr:col>
                    <xdr:colOff>276225</xdr:colOff>
                    <xdr:row>655</xdr:row>
                    <xdr:rowOff>9525</xdr:rowOff>
                  </from>
                  <to>
                    <xdr:col>3</xdr:col>
                    <xdr:colOff>95250</xdr:colOff>
                    <xdr:row>655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58" name="Check Box 656">
              <controlPr defaultSize="0" autoFill="0" autoLine="0" autoPict="0">
                <anchor moveWithCells="1">
                  <from>
                    <xdr:col>0</xdr:col>
                    <xdr:colOff>276225</xdr:colOff>
                    <xdr:row>656</xdr:row>
                    <xdr:rowOff>9525</xdr:rowOff>
                  </from>
                  <to>
                    <xdr:col>3</xdr:col>
                    <xdr:colOff>95250</xdr:colOff>
                    <xdr:row>656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59" name="Check Box 657">
              <controlPr defaultSize="0" autoFill="0" autoLine="0" autoPict="0">
                <anchor moveWithCells="1">
                  <from>
                    <xdr:col>0</xdr:col>
                    <xdr:colOff>276225</xdr:colOff>
                    <xdr:row>657</xdr:row>
                    <xdr:rowOff>9525</xdr:rowOff>
                  </from>
                  <to>
                    <xdr:col>3</xdr:col>
                    <xdr:colOff>95250</xdr:colOff>
                    <xdr:row>657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60" name="Check Box 658">
              <controlPr defaultSize="0" autoFill="0" autoLine="0" autoPict="0">
                <anchor moveWithCells="1">
                  <from>
                    <xdr:col>0</xdr:col>
                    <xdr:colOff>276225</xdr:colOff>
                    <xdr:row>658</xdr:row>
                    <xdr:rowOff>9525</xdr:rowOff>
                  </from>
                  <to>
                    <xdr:col>3</xdr:col>
                    <xdr:colOff>95250</xdr:colOff>
                    <xdr:row>658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61" name="Check Box 659">
              <controlPr defaultSize="0" autoFill="0" autoLine="0" autoPict="0">
                <anchor moveWithCells="1">
                  <from>
                    <xdr:col>0</xdr:col>
                    <xdr:colOff>276225</xdr:colOff>
                    <xdr:row>659</xdr:row>
                    <xdr:rowOff>9525</xdr:rowOff>
                  </from>
                  <to>
                    <xdr:col>3</xdr:col>
                    <xdr:colOff>95250</xdr:colOff>
                    <xdr:row>659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62" name="Check Box 660">
              <controlPr defaultSize="0" autoFill="0" autoLine="0" autoPict="0">
                <anchor moveWithCells="1">
                  <from>
                    <xdr:col>0</xdr:col>
                    <xdr:colOff>276225</xdr:colOff>
                    <xdr:row>660</xdr:row>
                    <xdr:rowOff>9525</xdr:rowOff>
                  </from>
                  <to>
                    <xdr:col>3</xdr:col>
                    <xdr:colOff>95250</xdr:colOff>
                    <xdr:row>660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63" name="Check Box 661">
              <controlPr defaultSize="0" autoFill="0" autoLine="0" autoPict="0">
                <anchor moveWithCells="1">
                  <from>
                    <xdr:col>0</xdr:col>
                    <xdr:colOff>276225</xdr:colOff>
                    <xdr:row>661</xdr:row>
                    <xdr:rowOff>9525</xdr:rowOff>
                  </from>
                  <to>
                    <xdr:col>3</xdr:col>
                    <xdr:colOff>95250</xdr:colOff>
                    <xdr:row>661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64" name="Check Box 662">
              <controlPr defaultSize="0" autoFill="0" autoLine="0" autoPict="0">
                <anchor moveWithCells="1">
                  <from>
                    <xdr:col>0</xdr:col>
                    <xdr:colOff>276225</xdr:colOff>
                    <xdr:row>662</xdr:row>
                    <xdr:rowOff>9525</xdr:rowOff>
                  </from>
                  <to>
                    <xdr:col>3</xdr:col>
                    <xdr:colOff>95250</xdr:colOff>
                    <xdr:row>662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65" name="Check Box 663">
              <controlPr defaultSize="0" autoFill="0" autoLine="0" autoPict="0">
                <anchor moveWithCells="1">
                  <from>
                    <xdr:col>0</xdr:col>
                    <xdr:colOff>276225</xdr:colOff>
                    <xdr:row>663</xdr:row>
                    <xdr:rowOff>9525</xdr:rowOff>
                  </from>
                  <to>
                    <xdr:col>3</xdr:col>
                    <xdr:colOff>95250</xdr:colOff>
                    <xdr:row>663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66" name="Check Box 664">
              <controlPr defaultSize="0" autoFill="0" autoLine="0" autoPict="0">
                <anchor moveWithCells="1">
                  <from>
                    <xdr:col>0</xdr:col>
                    <xdr:colOff>276225</xdr:colOff>
                    <xdr:row>664</xdr:row>
                    <xdr:rowOff>9525</xdr:rowOff>
                  </from>
                  <to>
                    <xdr:col>3</xdr:col>
                    <xdr:colOff>95250</xdr:colOff>
                    <xdr:row>664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67" name="Check Box 665">
              <controlPr defaultSize="0" autoFill="0" autoLine="0" autoPict="0">
                <anchor moveWithCells="1">
                  <from>
                    <xdr:col>0</xdr:col>
                    <xdr:colOff>276225</xdr:colOff>
                    <xdr:row>665</xdr:row>
                    <xdr:rowOff>9525</xdr:rowOff>
                  </from>
                  <to>
                    <xdr:col>3</xdr:col>
                    <xdr:colOff>95250</xdr:colOff>
                    <xdr:row>665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68" name="Check Box 666">
              <controlPr defaultSize="0" autoFill="0" autoLine="0" autoPict="0">
                <anchor moveWithCells="1">
                  <from>
                    <xdr:col>0</xdr:col>
                    <xdr:colOff>276225</xdr:colOff>
                    <xdr:row>666</xdr:row>
                    <xdr:rowOff>9525</xdr:rowOff>
                  </from>
                  <to>
                    <xdr:col>3</xdr:col>
                    <xdr:colOff>95250</xdr:colOff>
                    <xdr:row>666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69" name="Check Box 667">
              <controlPr defaultSize="0" autoFill="0" autoLine="0" autoPict="0">
                <anchor moveWithCells="1">
                  <from>
                    <xdr:col>0</xdr:col>
                    <xdr:colOff>276225</xdr:colOff>
                    <xdr:row>667</xdr:row>
                    <xdr:rowOff>9525</xdr:rowOff>
                  </from>
                  <to>
                    <xdr:col>3</xdr:col>
                    <xdr:colOff>95250</xdr:colOff>
                    <xdr:row>667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70" name="Check Box 668">
              <controlPr defaultSize="0" autoFill="0" autoLine="0" autoPict="0">
                <anchor moveWithCells="1">
                  <from>
                    <xdr:col>0</xdr:col>
                    <xdr:colOff>276225</xdr:colOff>
                    <xdr:row>668</xdr:row>
                    <xdr:rowOff>9525</xdr:rowOff>
                  </from>
                  <to>
                    <xdr:col>3</xdr:col>
                    <xdr:colOff>95250</xdr:colOff>
                    <xdr:row>668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71" name="Check Box 669">
              <controlPr defaultSize="0" autoFill="0" autoLine="0" autoPict="0">
                <anchor moveWithCells="1">
                  <from>
                    <xdr:col>0</xdr:col>
                    <xdr:colOff>276225</xdr:colOff>
                    <xdr:row>669</xdr:row>
                    <xdr:rowOff>9525</xdr:rowOff>
                  </from>
                  <to>
                    <xdr:col>3</xdr:col>
                    <xdr:colOff>95250</xdr:colOff>
                    <xdr:row>669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72" name="Check Box 670">
              <controlPr defaultSize="0" autoFill="0" autoLine="0" autoPict="0">
                <anchor moveWithCells="1">
                  <from>
                    <xdr:col>0</xdr:col>
                    <xdr:colOff>276225</xdr:colOff>
                    <xdr:row>670</xdr:row>
                    <xdr:rowOff>9525</xdr:rowOff>
                  </from>
                  <to>
                    <xdr:col>3</xdr:col>
                    <xdr:colOff>95250</xdr:colOff>
                    <xdr:row>670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73" name="Check Box 671">
              <controlPr defaultSize="0" autoFill="0" autoLine="0" autoPict="0">
                <anchor moveWithCells="1">
                  <from>
                    <xdr:col>0</xdr:col>
                    <xdr:colOff>276225</xdr:colOff>
                    <xdr:row>671</xdr:row>
                    <xdr:rowOff>9525</xdr:rowOff>
                  </from>
                  <to>
                    <xdr:col>3</xdr:col>
                    <xdr:colOff>95250</xdr:colOff>
                    <xdr:row>671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74" name="Check Box 672">
              <controlPr defaultSize="0" autoFill="0" autoLine="0" autoPict="0">
                <anchor moveWithCells="1">
                  <from>
                    <xdr:col>0</xdr:col>
                    <xdr:colOff>276225</xdr:colOff>
                    <xdr:row>672</xdr:row>
                    <xdr:rowOff>9525</xdr:rowOff>
                  </from>
                  <to>
                    <xdr:col>3</xdr:col>
                    <xdr:colOff>95250</xdr:colOff>
                    <xdr:row>672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75" name="Check Box 673">
              <controlPr defaultSize="0" autoFill="0" autoLine="0" autoPict="0">
                <anchor moveWithCells="1">
                  <from>
                    <xdr:col>0</xdr:col>
                    <xdr:colOff>276225</xdr:colOff>
                    <xdr:row>673</xdr:row>
                    <xdr:rowOff>9525</xdr:rowOff>
                  </from>
                  <to>
                    <xdr:col>3</xdr:col>
                    <xdr:colOff>95250</xdr:colOff>
                    <xdr:row>673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76" name="Check Box 674">
              <controlPr defaultSize="0" autoFill="0" autoLine="0" autoPict="0">
                <anchor moveWithCells="1">
                  <from>
                    <xdr:col>0</xdr:col>
                    <xdr:colOff>276225</xdr:colOff>
                    <xdr:row>674</xdr:row>
                    <xdr:rowOff>9525</xdr:rowOff>
                  </from>
                  <to>
                    <xdr:col>3</xdr:col>
                    <xdr:colOff>95250</xdr:colOff>
                    <xdr:row>674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012FC556-66B1-4AFD-9DFA-81D9EBF38FA1}"/>
</file>

<file path=customXml/itemProps2.xml><?xml version="1.0" encoding="utf-8"?>
<ds:datastoreItem xmlns:ds="http://schemas.openxmlformats.org/officeDocument/2006/customXml" ds:itemID="{217FFA4C-7B92-4F60-A09C-8D8B9E0DF7E4}"/>
</file>

<file path=customXml/itemProps3.xml><?xml version="1.0" encoding="utf-8"?>
<ds:datastoreItem xmlns:ds="http://schemas.openxmlformats.org/officeDocument/2006/customXml" ds:itemID="{16635729-C17B-4878-A30B-3B294C924D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Kiscaden, Elizabeth</cp:lastModifiedBy>
  <cp:revision/>
  <dcterms:created xsi:type="dcterms:W3CDTF">2022-03-02T05:33:34Z</dcterms:created>
  <dcterms:modified xsi:type="dcterms:W3CDTF">2022-03-03T17:21:06Z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290500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