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docProps/core.xml" ContentType="application/vnd.openxmlformats-package.core-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56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299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EB356B78-37F5-4F34-8D87-9C7F2E40DA62}" xr6:coauthVersionLast="47" xr6:coauthVersionMax="47" xr10:uidLastSave="{00000000-0000-0000-0000-000000000000}"/>
  <bookViews>
    <workbookView xWindow="28680" yWindow="-120" windowWidth="29040" windowHeight="15840" xr2:uid="{B1FF24B4-F9A1-46B8-8E22-2CBB83FD305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38" i="1" l="1"/>
  <c r="AU338" i="1"/>
  <c r="AV337" i="1"/>
  <c r="AU337" i="1"/>
  <c r="AV336" i="1"/>
  <c r="AU336" i="1"/>
  <c r="AT336" i="1"/>
  <c r="AV335" i="1"/>
  <c r="AU335" i="1"/>
  <c r="AV334" i="1"/>
  <c r="AU334" i="1"/>
  <c r="AT334" i="1"/>
  <c r="AV333" i="1"/>
  <c r="AU333" i="1"/>
  <c r="AT333" i="1"/>
  <c r="AV332" i="1"/>
  <c r="AU332" i="1"/>
  <c r="AV331" i="1"/>
  <c r="AU331" i="1"/>
  <c r="AV330" i="1"/>
  <c r="AU330" i="1"/>
  <c r="AT330" i="1"/>
  <c r="AV329" i="1"/>
  <c r="AU329" i="1"/>
  <c r="AT329" i="1"/>
  <c r="AV328" i="1"/>
  <c r="AU328" i="1"/>
  <c r="AT328" i="1"/>
  <c r="AV327" i="1"/>
  <c r="AU327" i="1"/>
  <c r="AV326" i="1"/>
  <c r="AU326" i="1"/>
  <c r="AT326" i="1"/>
  <c r="AV325" i="1"/>
  <c r="AU325" i="1"/>
  <c r="AT325" i="1"/>
  <c r="AV324" i="1"/>
  <c r="AU324" i="1"/>
  <c r="AT324" i="1"/>
  <c r="AV323" i="1"/>
  <c r="AU323" i="1"/>
  <c r="AT323" i="1"/>
  <c r="AV322" i="1"/>
  <c r="AU322" i="1"/>
  <c r="AV321" i="1"/>
  <c r="AU321" i="1"/>
  <c r="AV320" i="1"/>
  <c r="AU320" i="1"/>
  <c r="AT320" i="1"/>
  <c r="AV319" i="1"/>
  <c r="AU319" i="1"/>
  <c r="AT319" i="1"/>
  <c r="AV318" i="1"/>
  <c r="AU318" i="1"/>
  <c r="AT318" i="1"/>
  <c r="AV317" i="1"/>
  <c r="AU317" i="1"/>
  <c r="AT317" i="1"/>
  <c r="AV316" i="1"/>
  <c r="AU316" i="1"/>
  <c r="AT316" i="1"/>
  <c r="AV315" i="1"/>
  <c r="AU315" i="1"/>
  <c r="AT315" i="1"/>
  <c r="AV314" i="1"/>
  <c r="AU314" i="1"/>
  <c r="AT314" i="1"/>
  <c r="AV313" i="1"/>
  <c r="AU313" i="1"/>
  <c r="AT313" i="1"/>
  <c r="AV312" i="1"/>
  <c r="AU312" i="1"/>
  <c r="AT312" i="1"/>
  <c r="AV311" i="1"/>
  <c r="AU311" i="1"/>
  <c r="AT311" i="1"/>
  <c r="AV310" i="1"/>
  <c r="AU310" i="1"/>
  <c r="AT310" i="1"/>
  <c r="AV309" i="1"/>
  <c r="AU309" i="1"/>
  <c r="AT309" i="1"/>
  <c r="AV308" i="1"/>
  <c r="AU308" i="1"/>
  <c r="AT308" i="1"/>
  <c r="AV307" i="1"/>
  <c r="AU307" i="1"/>
  <c r="AT307" i="1"/>
  <c r="AV306" i="1"/>
  <c r="AU306" i="1"/>
  <c r="AT306" i="1"/>
  <c r="AV305" i="1"/>
  <c r="AU305" i="1"/>
  <c r="AT305" i="1"/>
  <c r="AV304" i="1"/>
  <c r="AU304" i="1"/>
  <c r="AT304" i="1"/>
  <c r="AV303" i="1"/>
  <c r="AU303" i="1"/>
  <c r="AT303" i="1"/>
  <c r="AV302" i="1"/>
  <c r="AU302" i="1"/>
  <c r="AV301" i="1"/>
  <c r="AU301" i="1"/>
  <c r="AV300" i="1"/>
  <c r="AU300" i="1"/>
  <c r="AV299" i="1"/>
  <c r="AU299" i="1"/>
  <c r="AT299" i="1"/>
  <c r="AV298" i="1"/>
  <c r="AU298" i="1"/>
  <c r="AV297" i="1"/>
  <c r="AU297" i="1"/>
  <c r="AT297" i="1"/>
  <c r="AV296" i="1"/>
  <c r="AU296" i="1"/>
  <c r="AT296" i="1"/>
  <c r="AV295" i="1"/>
  <c r="AU295" i="1"/>
  <c r="AV294" i="1"/>
  <c r="AU294" i="1"/>
  <c r="AV293" i="1"/>
  <c r="AU293" i="1"/>
  <c r="AT293" i="1"/>
  <c r="AV292" i="1"/>
  <c r="AU292" i="1"/>
  <c r="AT292" i="1"/>
  <c r="AV291" i="1"/>
  <c r="AU291" i="1"/>
  <c r="AV290" i="1"/>
  <c r="AU290" i="1"/>
  <c r="AT290" i="1"/>
  <c r="AV289" i="1"/>
  <c r="AU289" i="1"/>
  <c r="AT289" i="1"/>
  <c r="AV288" i="1"/>
  <c r="AU288" i="1"/>
  <c r="AT288" i="1"/>
  <c r="AV287" i="1"/>
  <c r="AU287" i="1"/>
  <c r="AT287" i="1"/>
  <c r="AV286" i="1"/>
  <c r="AU286" i="1"/>
  <c r="AV285" i="1"/>
  <c r="AU285" i="1"/>
  <c r="AT285" i="1"/>
  <c r="AV284" i="1"/>
  <c r="AU284" i="1"/>
  <c r="AV283" i="1"/>
  <c r="AU283" i="1"/>
  <c r="AT283" i="1"/>
  <c r="AV282" i="1"/>
  <c r="AU282" i="1"/>
  <c r="AT282" i="1"/>
  <c r="AV281" i="1"/>
  <c r="AU281" i="1"/>
  <c r="AT281" i="1"/>
  <c r="AV280" i="1"/>
  <c r="AU280" i="1"/>
  <c r="AT280" i="1"/>
  <c r="AV279" i="1"/>
  <c r="AU279" i="1"/>
  <c r="AT279" i="1"/>
  <c r="AV278" i="1"/>
  <c r="AU278" i="1"/>
  <c r="AT278" i="1"/>
  <c r="AV277" i="1"/>
  <c r="AU277" i="1"/>
  <c r="AV276" i="1"/>
  <c r="AU276" i="1"/>
  <c r="AT276" i="1"/>
  <c r="AV275" i="1"/>
  <c r="AU275" i="1"/>
  <c r="AV274" i="1"/>
  <c r="AU274" i="1"/>
  <c r="AV273" i="1"/>
  <c r="AU273" i="1"/>
  <c r="AV272" i="1"/>
  <c r="AU272" i="1"/>
  <c r="AV271" i="1"/>
  <c r="AU271" i="1"/>
  <c r="AT271" i="1"/>
  <c r="AV270" i="1"/>
  <c r="AU270" i="1"/>
  <c r="AT270" i="1"/>
  <c r="AV269" i="1"/>
  <c r="AU269" i="1"/>
  <c r="AT269" i="1"/>
  <c r="AV268" i="1"/>
  <c r="AU268" i="1"/>
  <c r="AT268" i="1"/>
  <c r="AV267" i="1"/>
  <c r="AU267" i="1"/>
  <c r="AV266" i="1"/>
  <c r="AU266" i="1"/>
  <c r="AT266" i="1"/>
  <c r="AV265" i="1"/>
  <c r="AU265" i="1"/>
  <c r="AV264" i="1"/>
  <c r="AU264" i="1"/>
  <c r="AV263" i="1"/>
  <c r="AU263" i="1"/>
  <c r="AV262" i="1"/>
  <c r="AU262" i="1"/>
  <c r="AV261" i="1"/>
  <c r="AU261" i="1"/>
  <c r="AT261" i="1"/>
  <c r="AV260" i="1"/>
  <c r="AU260" i="1"/>
  <c r="AT260" i="1"/>
  <c r="AV259" i="1"/>
  <c r="AU259" i="1"/>
  <c r="AV258" i="1"/>
  <c r="AU258" i="1"/>
  <c r="AV257" i="1"/>
  <c r="AU257" i="1"/>
  <c r="AT257" i="1"/>
  <c r="AV256" i="1"/>
  <c r="AU256" i="1"/>
  <c r="AV255" i="1"/>
  <c r="AU255" i="1"/>
  <c r="AT255" i="1"/>
  <c r="AV254" i="1"/>
  <c r="AU254" i="1"/>
  <c r="AT254" i="1"/>
  <c r="AV253" i="1"/>
  <c r="AU253" i="1"/>
  <c r="AT253" i="1"/>
  <c r="AV252" i="1"/>
  <c r="AU252" i="1"/>
  <c r="AT252" i="1"/>
  <c r="AV251" i="1"/>
  <c r="AU251" i="1"/>
  <c r="AV250" i="1"/>
  <c r="AU250" i="1"/>
  <c r="AT250" i="1"/>
  <c r="AV249" i="1"/>
  <c r="AU249" i="1"/>
  <c r="AT249" i="1"/>
  <c r="AV248" i="1"/>
  <c r="AU248" i="1"/>
  <c r="AT248" i="1"/>
  <c r="AV247" i="1"/>
  <c r="AU247" i="1"/>
  <c r="AV246" i="1"/>
  <c r="AU246" i="1"/>
  <c r="AT246" i="1"/>
  <c r="AV245" i="1"/>
  <c r="AU245" i="1"/>
  <c r="AT245" i="1"/>
  <c r="AV244" i="1"/>
  <c r="AU244" i="1"/>
  <c r="AV243" i="1"/>
  <c r="AU243" i="1"/>
  <c r="AV242" i="1"/>
  <c r="AU242" i="1"/>
  <c r="AT242" i="1"/>
  <c r="AV241" i="1"/>
  <c r="AU241" i="1"/>
  <c r="AT241" i="1"/>
  <c r="AV240" i="1"/>
  <c r="AU240" i="1"/>
  <c r="AV239" i="1"/>
  <c r="AU239" i="1"/>
  <c r="AT239" i="1"/>
  <c r="AV238" i="1"/>
  <c r="AU238" i="1"/>
  <c r="AT238" i="1"/>
  <c r="AV237" i="1"/>
  <c r="AU237" i="1"/>
  <c r="AV236" i="1"/>
  <c r="AU236" i="1"/>
  <c r="AT236" i="1"/>
  <c r="AV235" i="1"/>
  <c r="AU235" i="1"/>
  <c r="AV234" i="1"/>
  <c r="AU234" i="1"/>
  <c r="AV233" i="1"/>
  <c r="AU233" i="1"/>
  <c r="AT233" i="1"/>
  <c r="AV232" i="1"/>
  <c r="AU232" i="1"/>
  <c r="AT232" i="1"/>
  <c r="AV231" i="1"/>
  <c r="AU231" i="1"/>
  <c r="AT231" i="1"/>
  <c r="AV230" i="1"/>
  <c r="AU230" i="1"/>
  <c r="AV229" i="1"/>
  <c r="AU229" i="1"/>
  <c r="AT229" i="1"/>
  <c r="AV228" i="1"/>
  <c r="AU228" i="1"/>
  <c r="AT228" i="1"/>
  <c r="AV227" i="1"/>
  <c r="AU227" i="1"/>
  <c r="AV226" i="1"/>
  <c r="AU226" i="1"/>
  <c r="AV225" i="1"/>
  <c r="AU225" i="1"/>
  <c r="AT225" i="1"/>
  <c r="AV224" i="1"/>
  <c r="AU224" i="1"/>
  <c r="AV223" i="1"/>
  <c r="AU223" i="1"/>
  <c r="AT223" i="1"/>
  <c r="AV222" i="1"/>
  <c r="AU222" i="1"/>
  <c r="AT222" i="1"/>
  <c r="AV221" i="1"/>
  <c r="AU221" i="1"/>
  <c r="AT221" i="1"/>
  <c r="AV220" i="1"/>
  <c r="AU220" i="1"/>
  <c r="AT220" i="1"/>
  <c r="AV219" i="1"/>
  <c r="AU219" i="1"/>
  <c r="AV218" i="1"/>
  <c r="AU218" i="1"/>
  <c r="AV217" i="1"/>
  <c r="AU217" i="1"/>
  <c r="AT217" i="1"/>
  <c r="AV216" i="1"/>
  <c r="AU216" i="1"/>
  <c r="AT216" i="1"/>
  <c r="AV215" i="1"/>
  <c r="AU215" i="1"/>
  <c r="AV214" i="1"/>
  <c r="AU214" i="1"/>
  <c r="AT214" i="1"/>
  <c r="AV213" i="1"/>
  <c r="AU213" i="1"/>
  <c r="AT213" i="1"/>
  <c r="AV212" i="1"/>
  <c r="AU212" i="1"/>
  <c r="AT212" i="1"/>
  <c r="AV211" i="1"/>
  <c r="AU211" i="1"/>
  <c r="AT211" i="1"/>
  <c r="AV210" i="1"/>
  <c r="AU210" i="1"/>
  <c r="AT210" i="1"/>
  <c r="AV209" i="1"/>
  <c r="AU209" i="1"/>
  <c r="AT209" i="1"/>
  <c r="AV208" i="1"/>
  <c r="AU208" i="1"/>
  <c r="AT208" i="1"/>
  <c r="AV207" i="1"/>
  <c r="AU207" i="1"/>
  <c r="AT207" i="1"/>
  <c r="AV206" i="1"/>
  <c r="AU206" i="1"/>
  <c r="AT206" i="1"/>
  <c r="AV205" i="1"/>
  <c r="AU205" i="1"/>
  <c r="AT205" i="1"/>
  <c r="AV204" i="1"/>
  <c r="AU204" i="1"/>
  <c r="AT204" i="1"/>
  <c r="AV203" i="1"/>
  <c r="AU203" i="1"/>
  <c r="AT203" i="1"/>
  <c r="AV202" i="1"/>
  <c r="AU202" i="1"/>
  <c r="AT202" i="1"/>
  <c r="AV201" i="1"/>
  <c r="AU201" i="1"/>
  <c r="AT201" i="1"/>
  <c r="AV200" i="1"/>
  <c r="AU200" i="1"/>
  <c r="AV199" i="1"/>
  <c r="AU199" i="1"/>
  <c r="AT199" i="1"/>
  <c r="AV198" i="1"/>
  <c r="AU198" i="1"/>
  <c r="AT198" i="1"/>
  <c r="AV197" i="1"/>
  <c r="AU197" i="1"/>
  <c r="AT197" i="1"/>
  <c r="AV196" i="1"/>
  <c r="AU196" i="1"/>
  <c r="AT196" i="1"/>
  <c r="AV195" i="1"/>
  <c r="AU195" i="1"/>
  <c r="AT195" i="1"/>
  <c r="AV194" i="1"/>
  <c r="AU194" i="1"/>
  <c r="AT194" i="1"/>
  <c r="AV193" i="1"/>
  <c r="AU193" i="1"/>
  <c r="AT193" i="1"/>
  <c r="AV192" i="1"/>
  <c r="AU192" i="1"/>
  <c r="AV191" i="1"/>
  <c r="AU191" i="1"/>
  <c r="AV190" i="1"/>
  <c r="AU190" i="1"/>
  <c r="AT190" i="1"/>
  <c r="AV189" i="1"/>
  <c r="AU189" i="1"/>
  <c r="AV188" i="1"/>
  <c r="AU188" i="1"/>
  <c r="AT188" i="1"/>
  <c r="AV187" i="1"/>
  <c r="AU187" i="1"/>
  <c r="AT187" i="1"/>
  <c r="AV186" i="1"/>
  <c r="AU186" i="1"/>
  <c r="AT186" i="1"/>
  <c r="AV185" i="1"/>
  <c r="AU185" i="1"/>
  <c r="AT185" i="1"/>
  <c r="AV184" i="1"/>
  <c r="AU184" i="1"/>
  <c r="AV183" i="1"/>
  <c r="AU183" i="1"/>
  <c r="AT183" i="1"/>
  <c r="AV182" i="1"/>
  <c r="AU182" i="1"/>
  <c r="AT182" i="1"/>
  <c r="AV181" i="1"/>
  <c r="AU181" i="1"/>
  <c r="AT181" i="1"/>
  <c r="AV180" i="1"/>
  <c r="AU180" i="1"/>
  <c r="AT180" i="1"/>
  <c r="AV179" i="1"/>
  <c r="AU179" i="1"/>
  <c r="AT179" i="1"/>
  <c r="AV178" i="1"/>
  <c r="AU178" i="1"/>
  <c r="AT178" i="1"/>
  <c r="AV177" i="1"/>
  <c r="AU177" i="1"/>
  <c r="AV176" i="1"/>
  <c r="AU176" i="1"/>
  <c r="AT176" i="1"/>
  <c r="AV175" i="1"/>
  <c r="AU175" i="1"/>
  <c r="AV174" i="1"/>
  <c r="AU174" i="1"/>
  <c r="AT174" i="1"/>
  <c r="AV173" i="1"/>
  <c r="AU173" i="1"/>
  <c r="AT173" i="1"/>
  <c r="AV172" i="1"/>
  <c r="AU172" i="1"/>
  <c r="AV171" i="1"/>
  <c r="AU171" i="1"/>
  <c r="AV170" i="1"/>
  <c r="AU170" i="1"/>
  <c r="AV169" i="1"/>
  <c r="AU169" i="1"/>
  <c r="AV168" i="1"/>
  <c r="AU168" i="1"/>
  <c r="AT168" i="1"/>
  <c r="AV167" i="1"/>
  <c r="AU167" i="1"/>
  <c r="AV166" i="1"/>
  <c r="AU166" i="1"/>
  <c r="AV165" i="1"/>
  <c r="AU165" i="1"/>
  <c r="AT165" i="1"/>
  <c r="AV164" i="1"/>
  <c r="AU164" i="1"/>
  <c r="AT164" i="1"/>
  <c r="AV163" i="1"/>
  <c r="AU163" i="1"/>
  <c r="AT163" i="1"/>
  <c r="AV162" i="1"/>
  <c r="AU162" i="1"/>
  <c r="AV161" i="1"/>
  <c r="AU161" i="1"/>
  <c r="AT161" i="1"/>
  <c r="AV160" i="1"/>
  <c r="AU160" i="1"/>
  <c r="AV159" i="1"/>
  <c r="AU159" i="1"/>
  <c r="AT159" i="1"/>
  <c r="AV158" i="1"/>
  <c r="AU158" i="1"/>
  <c r="AT158" i="1"/>
  <c r="AV157" i="1"/>
  <c r="AU157" i="1"/>
  <c r="AT157" i="1"/>
  <c r="AV156" i="1"/>
  <c r="AU156" i="1"/>
  <c r="AV155" i="1"/>
  <c r="AU155" i="1"/>
  <c r="AT155" i="1"/>
  <c r="AV154" i="1"/>
  <c r="AU154" i="1"/>
  <c r="AV153" i="1"/>
  <c r="AU153" i="1"/>
  <c r="AV152" i="1"/>
  <c r="AU152" i="1"/>
  <c r="AV151" i="1"/>
  <c r="AU151" i="1"/>
  <c r="AV150" i="1"/>
  <c r="AU150" i="1"/>
  <c r="AT150" i="1"/>
  <c r="AV149" i="1"/>
  <c r="AU149" i="1"/>
  <c r="AV148" i="1"/>
  <c r="AU148" i="1"/>
  <c r="AV147" i="1"/>
  <c r="AU147" i="1"/>
  <c r="AT147" i="1"/>
  <c r="AV146" i="1"/>
  <c r="AU146" i="1"/>
  <c r="AV145" i="1"/>
  <c r="AU145" i="1"/>
  <c r="AT145" i="1"/>
  <c r="AV144" i="1"/>
  <c r="AU144" i="1"/>
  <c r="AV143" i="1"/>
  <c r="AU143" i="1"/>
  <c r="AT143" i="1"/>
  <c r="AV142" i="1"/>
  <c r="AU142" i="1"/>
  <c r="AV141" i="1"/>
  <c r="AU141" i="1"/>
  <c r="AV140" i="1"/>
  <c r="AU140" i="1"/>
  <c r="AV139" i="1"/>
  <c r="AU139" i="1"/>
  <c r="AT139" i="1"/>
  <c r="AV138" i="1"/>
  <c r="AU138" i="1"/>
  <c r="AT138" i="1"/>
  <c r="AV137" i="1"/>
  <c r="AU137" i="1"/>
  <c r="AV136" i="1"/>
  <c r="AU136" i="1"/>
  <c r="AV135" i="1"/>
  <c r="AU135" i="1"/>
  <c r="AT135" i="1"/>
  <c r="AV134" i="1"/>
  <c r="AU134" i="1"/>
  <c r="AT134" i="1"/>
  <c r="AV133" i="1"/>
  <c r="AU133" i="1"/>
  <c r="AT133" i="1"/>
  <c r="AV132" i="1"/>
  <c r="AU132" i="1"/>
  <c r="AT132" i="1"/>
  <c r="AV131" i="1"/>
  <c r="AU131" i="1"/>
  <c r="AT131" i="1"/>
  <c r="AV130" i="1"/>
  <c r="AU130" i="1"/>
  <c r="AT130" i="1"/>
  <c r="AV129" i="1"/>
  <c r="AU129" i="1"/>
  <c r="AV128" i="1"/>
  <c r="AU128" i="1"/>
  <c r="AV127" i="1"/>
  <c r="AU127" i="1"/>
  <c r="AV126" i="1"/>
  <c r="AU126" i="1"/>
  <c r="AT126" i="1"/>
  <c r="AV125" i="1"/>
  <c r="AU125" i="1"/>
  <c r="AT125" i="1"/>
  <c r="AV124" i="1"/>
  <c r="AU124" i="1"/>
  <c r="AT124" i="1"/>
  <c r="AV123" i="1"/>
  <c r="AU123" i="1"/>
  <c r="AT123" i="1"/>
  <c r="AV122" i="1"/>
  <c r="AU122" i="1"/>
  <c r="AT122" i="1"/>
  <c r="AV121" i="1"/>
  <c r="AU121" i="1"/>
  <c r="AT121" i="1"/>
  <c r="AV120" i="1"/>
  <c r="AU120" i="1"/>
  <c r="AT120" i="1"/>
  <c r="AV119" i="1"/>
  <c r="AU119" i="1"/>
  <c r="AV118" i="1"/>
  <c r="AU118" i="1"/>
  <c r="AT118" i="1"/>
  <c r="AV117" i="1"/>
  <c r="AU117" i="1"/>
  <c r="AV116" i="1"/>
  <c r="AU116" i="1"/>
  <c r="AT116" i="1"/>
  <c r="AV115" i="1"/>
  <c r="AU115" i="1"/>
  <c r="AT115" i="1"/>
  <c r="AV114" i="1"/>
  <c r="AU114" i="1"/>
  <c r="AT114" i="1"/>
  <c r="AV113" i="1"/>
  <c r="AU113" i="1"/>
  <c r="AT113" i="1"/>
  <c r="AV112" i="1"/>
  <c r="AU112" i="1"/>
  <c r="AT112" i="1"/>
  <c r="AV111" i="1"/>
  <c r="AU111" i="1"/>
  <c r="AT111" i="1"/>
  <c r="AV110" i="1"/>
  <c r="AU110" i="1"/>
  <c r="AV109" i="1"/>
  <c r="AU109" i="1"/>
  <c r="AV108" i="1"/>
  <c r="AU108" i="1"/>
  <c r="AT108" i="1"/>
  <c r="AV107" i="1"/>
  <c r="AU107" i="1"/>
  <c r="AT107" i="1"/>
  <c r="AV106" i="1"/>
  <c r="AU106" i="1"/>
  <c r="AT106" i="1"/>
  <c r="AV105" i="1"/>
  <c r="AU105" i="1"/>
  <c r="AV104" i="1"/>
  <c r="AU104" i="1"/>
  <c r="AT104" i="1"/>
  <c r="AV103" i="1"/>
  <c r="AU103" i="1"/>
  <c r="AT103" i="1"/>
  <c r="AV102" i="1"/>
  <c r="AU102" i="1"/>
  <c r="AT102" i="1"/>
  <c r="AV101" i="1"/>
  <c r="AU101" i="1"/>
  <c r="AT101" i="1"/>
  <c r="AV100" i="1"/>
  <c r="AU100" i="1"/>
  <c r="AT100" i="1"/>
  <c r="AV99" i="1"/>
  <c r="AU99" i="1"/>
  <c r="AT99" i="1"/>
  <c r="AV98" i="1"/>
  <c r="AU98" i="1"/>
  <c r="AT98" i="1"/>
  <c r="AV97" i="1"/>
  <c r="AU97" i="1"/>
  <c r="AT97" i="1"/>
  <c r="AV96" i="1"/>
  <c r="AU96" i="1"/>
  <c r="AV95" i="1"/>
  <c r="AU95" i="1"/>
  <c r="AT95" i="1"/>
  <c r="AV94" i="1"/>
  <c r="AU94" i="1"/>
  <c r="AT94" i="1"/>
  <c r="AV93" i="1"/>
  <c r="AU93" i="1"/>
  <c r="AV92" i="1"/>
  <c r="AU92" i="1"/>
  <c r="AT92" i="1"/>
  <c r="AV91" i="1"/>
  <c r="AU91" i="1"/>
  <c r="AT91" i="1"/>
  <c r="AV90" i="1"/>
  <c r="AU90" i="1"/>
  <c r="AV89" i="1"/>
  <c r="AU89" i="1"/>
  <c r="AT89" i="1"/>
  <c r="AV88" i="1"/>
  <c r="AU88" i="1"/>
  <c r="AT88" i="1"/>
  <c r="AV87" i="1"/>
  <c r="AU87" i="1"/>
  <c r="AT87" i="1"/>
  <c r="AV86" i="1"/>
  <c r="AU86" i="1"/>
  <c r="AT86" i="1"/>
  <c r="AV85" i="1"/>
  <c r="AU85" i="1"/>
  <c r="AT85" i="1"/>
  <c r="AV84" i="1"/>
  <c r="AU84" i="1"/>
  <c r="AT84" i="1"/>
  <c r="AV83" i="1"/>
  <c r="AU83" i="1"/>
  <c r="AT83" i="1"/>
  <c r="AV82" i="1"/>
  <c r="AU82" i="1"/>
  <c r="AT82" i="1"/>
  <c r="AV81" i="1"/>
  <c r="AU81" i="1"/>
  <c r="AT81" i="1"/>
  <c r="AV80" i="1"/>
  <c r="AU80" i="1"/>
  <c r="AT80" i="1"/>
  <c r="AV79" i="1"/>
  <c r="AU79" i="1"/>
  <c r="AT79" i="1"/>
  <c r="AV78" i="1"/>
  <c r="AU78" i="1"/>
  <c r="AT78" i="1"/>
  <c r="AV77" i="1"/>
  <c r="AU77" i="1"/>
  <c r="AT77" i="1"/>
  <c r="AV76" i="1"/>
  <c r="AU76" i="1"/>
  <c r="AT76" i="1"/>
  <c r="AV75" i="1"/>
  <c r="AU75" i="1"/>
  <c r="AV74" i="1"/>
  <c r="AU74" i="1"/>
  <c r="AV73" i="1"/>
  <c r="AU73" i="1"/>
  <c r="AV72" i="1"/>
  <c r="AU72" i="1"/>
  <c r="AV71" i="1"/>
  <c r="AU71" i="1"/>
  <c r="AV70" i="1"/>
  <c r="AU70" i="1"/>
  <c r="AV69" i="1"/>
  <c r="AU69" i="1"/>
  <c r="AV68" i="1"/>
  <c r="AU68" i="1"/>
  <c r="AT68" i="1"/>
  <c r="AV67" i="1"/>
  <c r="AU67" i="1"/>
  <c r="AV66" i="1"/>
  <c r="AU66" i="1"/>
  <c r="AT66" i="1"/>
  <c r="AV65" i="1"/>
  <c r="AU65" i="1"/>
  <c r="AV64" i="1"/>
  <c r="AU64" i="1"/>
  <c r="AV63" i="1"/>
  <c r="AU63" i="1"/>
  <c r="AV62" i="1"/>
  <c r="AU62" i="1"/>
  <c r="AV61" i="1"/>
  <c r="AU61" i="1"/>
  <c r="AV60" i="1"/>
  <c r="AU60" i="1"/>
  <c r="AT60" i="1"/>
  <c r="AV59" i="1"/>
  <c r="AU59" i="1"/>
  <c r="AV58" i="1"/>
  <c r="AU58" i="1"/>
  <c r="AT58" i="1"/>
  <c r="AV57" i="1"/>
  <c r="AU57" i="1"/>
  <c r="AT57" i="1"/>
  <c r="AV56" i="1"/>
  <c r="AU56" i="1"/>
  <c r="AT56" i="1"/>
  <c r="AV55" i="1"/>
  <c r="AU55" i="1"/>
  <c r="AT55" i="1"/>
  <c r="AV54" i="1"/>
  <c r="AU54" i="1"/>
  <c r="AT54" i="1"/>
  <c r="AV53" i="1"/>
  <c r="AU53" i="1"/>
  <c r="AT53" i="1"/>
  <c r="AV52" i="1"/>
  <c r="AU52" i="1"/>
  <c r="AT52" i="1"/>
  <c r="AV51" i="1"/>
  <c r="AU51" i="1"/>
  <c r="AT51" i="1"/>
  <c r="AV50" i="1"/>
  <c r="AU50" i="1"/>
  <c r="AV49" i="1"/>
  <c r="AU49" i="1"/>
  <c r="AT49" i="1"/>
  <c r="AV48" i="1"/>
  <c r="AU48" i="1"/>
  <c r="AV47" i="1"/>
  <c r="AU47" i="1"/>
  <c r="AV46" i="1"/>
  <c r="AU46" i="1"/>
  <c r="AV45" i="1"/>
  <c r="AU45" i="1"/>
  <c r="AV44" i="1"/>
  <c r="AU44" i="1"/>
  <c r="AV43" i="1"/>
  <c r="AU43" i="1"/>
  <c r="AT43" i="1"/>
  <c r="AV42" i="1"/>
  <c r="AU42" i="1"/>
  <c r="AT42" i="1"/>
  <c r="AV41" i="1"/>
  <c r="AU41" i="1"/>
  <c r="AT41" i="1"/>
  <c r="AV40" i="1"/>
  <c r="AU40" i="1"/>
  <c r="AT40" i="1"/>
  <c r="AV39" i="1"/>
  <c r="AU39" i="1"/>
  <c r="AT39" i="1"/>
  <c r="AV38" i="1"/>
  <c r="AU38" i="1"/>
  <c r="AT38" i="1"/>
  <c r="AV37" i="1"/>
  <c r="AU37" i="1"/>
  <c r="AT37" i="1"/>
  <c r="AV36" i="1"/>
  <c r="AU36" i="1"/>
  <c r="AT36" i="1"/>
  <c r="AV35" i="1"/>
  <c r="AU35" i="1"/>
  <c r="AT35" i="1"/>
  <c r="AV34" i="1"/>
  <c r="AU34" i="1"/>
  <c r="AT34" i="1"/>
  <c r="AV33" i="1"/>
  <c r="AU33" i="1"/>
  <c r="AT33" i="1"/>
  <c r="AV32" i="1"/>
  <c r="AU32" i="1"/>
  <c r="AV31" i="1"/>
  <c r="AU31" i="1"/>
  <c r="AV30" i="1"/>
  <c r="AU30" i="1"/>
  <c r="AT30" i="1"/>
  <c r="AV29" i="1"/>
  <c r="AU29" i="1"/>
  <c r="AT29" i="1"/>
  <c r="AV28" i="1"/>
  <c r="AU28" i="1"/>
  <c r="AV27" i="1"/>
  <c r="AU27" i="1"/>
  <c r="AV26" i="1"/>
  <c r="AU26" i="1"/>
  <c r="AV25" i="1"/>
  <c r="AU25" i="1"/>
  <c r="AT25" i="1"/>
  <c r="AV24" i="1"/>
  <c r="AU24" i="1"/>
  <c r="AT24" i="1"/>
  <c r="AV23" i="1"/>
  <c r="AU23" i="1"/>
  <c r="AT23" i="1"/>
  <c r="AV22" i="1"/>
  <c r="AU22" i="1"/>
  <c r="AV21" i="1"/>
  <c r="AU21" i="1"/>
  <c r="AT21" i="1"/>
  <c r="AV20" i="1"/>
  <c r="AU20" i="1"/>
  <c r="AV19" i="1"/>
  <c r="AU19" i="1"/>
  <c r="AV18" i="1"/>
  <c r="AU18" i="1"/>
  <c r="AT18" i="1"/>
  <c r="AV17" i="1"/>
  <c r="AU17" i="1"/>
  <c r="AT17" i="1"/>
  <c r="AV16" i="1"/>
  <c r="AU16" i="1"/>
  <c r="AV15" i="1"/>
  <c r="AU15" i="1"/>
  <c r="AT15" i="1"/>
  <c r="AV14" i="1"/>
  <c r="AU14" i="1"/>
  <c r="AT14" i="1"/>
  <c r="AV13" i="1"/>
  <c r="AU13" i="1"/>
  <c r="AT13" i="1"/>
  <c r="AV12" i="1"/>
  <c r="AU12" i="1"/>
  <c r="AT12" i="1"/>
  <c r="AV11" i="1"/>
  <c r="AU11" i="1"/>
  <c r="AT11" i="1"/>
  <c r="AV10" i="1"/>
  <c r="AU10" i="1"/>
  <c r="AT10" i="1"/>
  <c r="AV9" i="1"/>
  <c r="AU9" i="1"/>
  <c r="AT9" i="1"/>
  <c r="AV8" i="1"/>
  <c r="AU8" i="1"/>
  <c r="AT8" i="1"/>
  <c r="AV7" i="1"/>
  <c r="AU7" i="1"/>
  <c r="AT7" i="1"/>
  <c r="AV6" i="1"/>
  <c r="AU6" i="1"/>
  <c r="AV5" i="1"/>
  <c r="AU5" i="1"/>
  <c r="AV4" i="1"/>
  <c r="AU4" i="1"/>
  <c r="AT4" i="1"/>
  <c r="AV3" i="1"/>
  <c r="AU3" i="1"/>
  <c r="AT3" i="1"/>
  <c r="AV2" i="1"/>
  <c r="AU2" i="1"/>
  <c r="AT2" i="1"/>
</calcChain>
</file>

<file path=xl/sharedStrings.xml><?xml version="1.0" encoding="utf-8"?>
<sst xmlns="http://schemas.openxmlformats.org/spreadsheetml/2006/main" count="10502" uniqueCount="4000">
  <si>
    <t>Keep in Collection?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</si>
  <si>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</si>
  <si>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</si>
  <si>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</si>
  <si>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</si>
  <si>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</si>
  <si>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</si>
  <si>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</si>
  <si>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</si>
  <si>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</si>
  <si>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</si>
  <si>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</si>
  <si>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</si>
  <si>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</si>
  <si>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</si>
  <si>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</si>
  <si>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</si>
  <si>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</si>
  <si>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</si>
  <si>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</si>
  <si>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</si>
  <si>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</si>
  <si>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</si>
  <si>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</si>
  <si>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</si>
  <si>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</si>
  <si>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</si>
  <si>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</si>
  <si>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 - Any Edition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</si>
  <si>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</si>
  <si>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</si>
  <si>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</si>
  <si>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</si>
  <si>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</si>
  <si>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</si>
  <si>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</si>
  <si>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</si>
  <si>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</si>
  <si>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</si>
  <si>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</si>
  <si>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</si>
  <si>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</si>
  <si>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</si>
  <si>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</si>
  <si>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</si>
  <si>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</si>
  <si>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</si>
  <si>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</si>
  <si>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</si>
  <si>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</si>
  <si>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</si>
  <si>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</si>
  <si>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</si>
  <si>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</si>
  <si>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</si>
  <si>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</si>
  <si>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</si>
  <si>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</si>
  <si>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CUHSL</t>
  </si>
  <si>
    <t>SHELVES</t>
  </si>
  <si>
    <t>QW 4 A346f 1994</t>
  </si>
  <si>
    <t>0                      QW 0004000A  346f        1994</t>
  </si>
  <si>
    <t>Fundamentals of microbiology / I. Edward Alcamo.</t>
  </si>
  <si>
    <t>No</t>
  </si>
  <si>
    <t>1</t>
  </si>
  <si>
    <t>0</t>
  </si>
  <si>
    <t>Alcamo, I. Edward.</t>
  </si>
  <si>
    <t>Redwood City, Calif. : Benjamin/Cummings Pub. Co., c1994.</t>
  </si>
  <si>
    <t>1994</t>
  </si>
  <si>
    <t>4th ed.</t>
  </si>
  <si>
    <t>eng</t>
  </si>
  <si>
    <t>cau</t>
  </si>
  <si>
    <t>Benjamin/Cummings series in the life sciences</t>
  </si>
  <si>
    <t xml:space="preserve">QW </t>
  </si>
  <si>
    <t>2006-07-17</t>
  </si>
  <si>
    <t>1995-01-31</t>
  </si>
  <si>
    <t>Yes</t>
  </si>
  <si>
    <t>6281384:eng</t>
  </si>
  <si>
    <t>29517617</t>
  </si>
  <si>
    <t>991001395409702656</t>
  </si>
  <si>
    <t>2271674350002656</t>
  </si>
  <si>
    <t>BOOK</t>
  </si>
  <si>
    <t>9780805303254</t>
  </si>
  <si>
    <t>30001003145887</t>
  </si>
  <si>
    <t>893284749</t>
  </si>
  <si>
    <t>QW 4 B789b 1991</t>
  </si>
  <si>
    <t>0                      QW 0004000B  789b        1991</t>
  </si>
  <si>
    <t>Basic medical microbiology / Robert F. Boyd, Bryan G. Hoerl.</t>
  </si>
  <si>
    <t>Boyd, Robert F.</t>
  </si>
  <si>
    <t>Boston : Little, Brown, c1991.</t>
  </si>
  <si>
    <t>1991</t>
  </si>
  <si>
    <t>4rd ed.</t>
  </si>
  <si>
    <t>mau</t>
  </si>
  <si>
    <t>2003-03-26</t>
  </si>
  <si>
    <t>1991-04-11</t>
  </si>
  <si>
    <t>5700136:eng</t>
  </si>
  <si>
    <t>24106523</t>
  </si>
  <si>
    <t>991000827079702656</t>
  </si>
  <si>
    <t>2263529170002656</t>
  </si>
  <si>
    <t>9780316104425</t>
  </si>
  <si>
    <t>30001002089250</t>
  </si>
  <si>
    <t>893267554</t>
  </si>
  <si>
    <t>QW 4 B789g 1984</t>
  </si>
  <si>
    <t>0                      QW 0004000B  789g        1984</t>
  </si>
  <si>
    <t>General microbiology / Robert F. Boyd.</t>
  </si>
  <si>
    <t>St. Louis : Times Mirror/Mosby College Pub., 1984.</t>
  </si>
  <si>
    <t>1984</t>
  </si>
  <si>
    <t>xxu</t>
  </si>
  <si>
    <t>1999-07-21</t>
  </si>
  <si>
    <t>1988-02-04</t>
  </si>
  <si>
    <t>3943448533:eng</t>
  </si>
  <si>
    <t>9945894</t>
  </si>
  <si>
    <t>991000994189702656</t>
  </si>
  <si>
    <t>2259635460002656</t>
  </si>
  <si>
    <t>9780801609008</t>
  </si>
  <si>
    <t>30001000227332</t>
  </si>
  <si>
    <t>893369011</t>
  </si>
  <si>
    <t>QW 4 B789m 1980</t>
  </si>
  <si>
    <t>0                      QW 0004000B  789m        1980</t>
  </si>
  <si>
    <t>Medical microbiology / Robert F. Boyd, J. Joseph Marr ; with 8 contributing authors.</t>
  </si>
  <si>
    <t>Boston : Little, Brown, c1980.</t>
  </si>
  <si>
    <t>1980</t>
  </si>
  <si>
    <t>1st ed.</t>
  </si>
  <si>
    <t>2008-04-20</t>
  </si>
  <si>
    <t>3901901719:eng</t>
  </si>
  <si>
    <t>6834553</t>
  </si>
  <si>
    <t>991000994239702656</t>
  </si>
  <si>
    <t>2267362630002656</t>
  </si>
  <si>
    <t>9780316104326</t>
  </si>
  <si>
    <t>30001000227324</t>
  </si>
  <si>
    <t>893369012</t>
  </si>
  <si>
    <t>QW 4 B824m 1981</t>
  </si>
  <si>
    <t>0                      QW 0004000B  824m        1981</t>
  </si>
  <si>
    <t>Medical microbiology and infectious diseases / Abraham I. Braude.</t>
  </si>
  <si>
    <t>Braude, Abraham I.</t>
  </si>
  <si>
    <t>Philadelphia : Saunders, c1981.</t>
  </si>
  <si>
    <t>1981</t>
  </si>
  <si>
    <t>International textbook of medicine ; v. 2</t>
  </si>
  <si>
    <t>2003-08-11</t>
  </si>
  <si>
    <t>3857481367:eng</t>
  </si>
  <si>
    <t>6357248</t>
  </si>
  <si>
    <t>991000994129702656</t>
  </si>
  <si>
    <t>2256532680002656</t>
  </si>
  <si>
    <t>9780721619194</t>
  </si>
  <si>
    <t>30001000227316</t>
  </si>
  <si>
    <t>893161605</t>
  </si>
  <si>
    <t>QW 4 B832m</t>
  </si>
  <si>
    <t>0                      QW 0004000B  832m</t>
  </si>
  <si>
    <t>Bergey's manual of determinative bacteriology / by Robert S. Breed [and others]</t>
  </si>
  <si>
    <t>Breed, Robert S. (Robert Stanley), 1877-1956.</t>
  </si>
  <si>
    <t>Baltimore : Williams &amp; Wilkins, 1957.</t>
  </si>
  <si>
    <t>1957</t>
  </si>
  <si>
    <t>7th ed.</t>
  </si>
  <si>
    <t xml:space="preserve">xx </t>
  </si>
  <si>
    <t>1996-03-19</t>
  </si>
  <si>
    <t>1989-01-26</t>
  </si>
  <si>
    <t>1081787565:eng</t>
  </si>
  <si>
    <t>168720</t>
  </si>
  <si>
    <t>991000994029702656</t>
  </si>
  <si>
    <t>2258526970002656</t>
  </si>
  <si>
    <t>30001000227282</t>
  </si>
  <si>
    <t>893648824</t>
  </si>
  <si>
    <t>QW 4 B832m 1984-86</t>
  </si>
  <si>
    <t>0                      QW 0004000B  832m        1984                                        -86</t>
  </si>
  <si>
    <t>Bergey's manual of systematic bacteriology / Noel R. Krieg, editor, volume 1 ; John G. Holt, editor-in-chief.</t>
  </si>
  <si>
    <t>V. 2</t>
  </si>
  <si>
    <t>2</t>
  </si>
  <si>
    <t>Baltimore : Williams &amp; Wilkins, c1984-1986.</t>
  </si>
  <si>
    <t>mdu</t>
  </si>
  <si>
    <t>1988-06-27</t>
  </si>
  <si>
    <t>1988-06-09</t>
  </si>
  <si>
    <t>4535627929:eng</t>
  </si>
  <si>
    <t>9042846</t>
  </si>
  <si>
    <t>991001415209702656</t>
  </si>
  <si>
    <t>2265198520002656</t>
  </si>
  <si>
    <t>9780683041088</t>
  </si>
  <si>
    <t>30001001180282</t>
  </si>
  <si>
    <t>893168185</t>
  </si>
  <si>
    <t>V. 1</t>
  </si>
  <si>
    <t>30001001180274</t>
  </si>
  <si>
    <t>893168186</t>
  </si>
  <si>
    <t>QW 4 B832m 1989 v.3-4</t>
  </si>
  <si>
    <t>0                      QW 0004000B  832m        1989                                        v.3-4</t>
  </si>
  <si>
    <t>Bergey's Manual of systematic bacteriology : Volume 3, Volume 4 / John G. Holt, editor-in-chief.</t>
  </si>
  <si>
    <t>V. 3</t>
  </si>
  <si>
    <t>Baltimore : Williams &amp; Wilkins, c1989.</t>
  </si>
  <si>
    <t>1989</t>
  </si>
  <si>
    <t>[1st ed.].</t>
  </si>
  <si>
    <t>1989-06-14</t>
  </si>
  <si>
    <t>991001415269702656</t>
  </si>
  <si>
    <t>2272132650002656</t>
  </si>
  <si>
    <t>30001001180290</t>
  </si>
  <si>
    <t>893821193</t>
  </si>
  <si>
    <t>V. 4</t>
  </si>
  <si>
    <t>30001001180308</t>
  </si>
  <si>
    <t>893832166</t>
  </si>
  <si>
    <t>QW 4 B927t 1941</t>
  </si>
  <si>
    <t>0                      QW 0004000B  927t        1941</t>
  </si>
  <si>
    <t>Textbook of bacteriology / Edwin O. Jordan, William Burrows.</t>
  </si>
  <si>
    <t>Burrows, William, 1908-1978.</t>
  </si>
  <si>
    <t>Philadelphia : London ; Saunders, c1941.</t>
  </si>
  <si>
    <t>1941</t>
  </si>
  <si>
    <t>13th ed., rev.</t>
  </si>
  <si>
    <t>2005-12-30</t>
  </si>
  <si>
    <t>1988-12-30</t>
  </si>
  <si>
    <t>1909010191:eng</t>
  </si>
  <si>
    <t>2394378</t>
  </si>
  <si>
    <t>991000993989702656</t>
  </si>
  <si>
    <t>2271825900002656</t>
  </si>
  <si>
    <t>30001000227266</t>
  </si>
  <si>
    <t>893651826</t>
  </si>
  <si>
    <t>QW 4 B972t 1985</t>
  </si>
  <si>
    <t>0                      QW 0004000B  972t        1985</t>
  </si>
  <si>
    <t>Burrows Textbook of microbiology.</t>
  </si>
  <si>
    <t>Philadelphia : Saunders, c1985.</t>
  </si>
  <si>
    <t>1985</t>
  </si>
  <si>
    <t>22nd ed. / Bob A. Freeman.</t>
  </si>
  <si>
    <t>1989-07-16</t>
  </si>
  <si>
    <t>142820515:eng</t>
  </si>
  <si>
    <t>9945317</t>
  </si>
  <si>
    <t>991000993949702656</t>
  </si>
  <si>
    <t>2256654760002656</t>
  </si>
  <si>
    <t>9780721638683</t>
  </si>
  <si>
    <t>30001000227241</t>
  </si>
  <si>
    <t>893816022</t>
  </si>
  <si>
    <t>QW 4 B974m 1983</t>
  </si>
  <si>
    <t>0                      QW 0004000B  974m        1983</t>
  </si>
  <si>
    <t>Microbiology for the health sciences / Gwendolyn R.W. Burton.</t>
  </si>
  <si>
    <t>Burton, Gwendolyn R. W. (Gwendolyn R. Wilson)</t>
  </si>
  <si>
    <t>Philadelphia : Lippincott, c1983.</t>
  </si>
  <si>
    <t>1983</t>
  </si>
  <si>
    <t>2nd ed.</t>
  </si>
  <si>
    <t>1995-03-28</t>
  </si>
  <si>
    <t>766657:eng</t>
  </si>
  <si>
    <t>9084351</t>
  </si>
  <si>
    <t>991000995129702656</t>
  </si>
  <si>
    <t>2256635150002656</t>
  </si>
  <si>
    <t>9780397543977</t>
  </si>
  <si>
    <t>30001000228017</t>
  </si>
  <si>
    <t>893450748</t>
  </si>
  <si>
    <t>QW 4 D331m 1984</t>
  </si>
  <si>
    <t>0                      QW 0004000D  331m        1984</t>
  </si>
  <si>
    <t>Microbiology for the allied health professions / Adrian N.C. Delaat.</t>
  </si>
  <si>
    <t>Delaat, Adrian N. C.</t>
  </si>
  <si>
    <t>Philadelphia : Lea &amp; Febiger, c1984.</t>
  </si>
  <si>
    <t>3rd ed.</t>
  </si>
  <si>
    <t>pau</t>
  </si>
  <si>
    <t>2008-11-23</t>
  </si>
  <si>
    <t>1772873:eng</t>
  </si>
  <si>
    <t>10163328</t>
  </si>
  <si>
    <t>991000993799702656</t>
  </si>
  <si>
    <t>2268636520002656</t>
  </si>
  <si>
    <t>9780812109108</t>
  </si>
  <si>
    <t>30001000227217</t>
  </si>
  <si>
    <t>893460198</t>
  </si>
  <si>
    <t>QW 4 E35i 1980</t>
  </si>
  <si>
    <t>0                      QW 0004000E  35i         1980</t>
  </si>
  <si>
    <t>Immunology : an introducation to molecular and cellular principles of the immune responses / Herman N. Eisen.</t>
  </si>
  <si>
    <t>Eisen, Herman N., 1918-2014.</t>
  </si>
  <si>
    <t>Hagerstown : Harper &amp; Row, 1981.</t>
  </si>
  <si>
    <t>2d ed.</t>
  </si>
  <si>
    <t>1991-09-20</t>
  </si>
  <si>
    <t>10032689505:eng</t>
  </si>
  <si>
    <t>6707028</t>
  </si>
  <si>
    <t>991000993759702656</t>
  </si>
  <si>
    <t>2258091100002656</t>
  </si>
  <si>
    <t>9780061407819</t>
  </si>
  <si>
    <t>30001000227183</t>
  </si>
  <si>
    <t>893284260</t>
  </si>
  <si>
    <t>QW 4 F164t 1937</t>
  </si>
  <si>
    <t>0                      QW 0004000F  164t        1937</t>
  </si>
  <si>
    <t>A text-book of medical bacteriology / ed. by R.W. Fairbrother.</t>
  </si>
  <si>
    <t>Fairbrother, R. W. (Ronald Wilson)</t>
  </si>
  <si>
    <t>St. Louis : Mosby, c1937.</t>
  </si>
  <si>
    <t>1937</t>
  </si>
  <si>
    <t>1996-08-15</t>
  </si>
  <si>
    <t>3855326302:eng</t>
  </si>
  <si>
    <t>10864766</t>
  </si>
  <si>
    <t>991000993719702656</t>
  </si>
  <si>
    <t>2267563380002656</t>
  </si>
  <si>
    <t>30001000227175</t>
  </si>
  <si>
    <t>893643121</t>
  </si>
  <si>
    <t>QW 4 F954f 1983</t>
  </si>
  <si>
    <t>0                      QW 0004000F  954f        1983</t>
  </si>
  <si>
    <t>Frobisher &amp; Fuerst's Microbiology in health &amp; disease / Robert Fuerst.</t>
  </si>
  <si>
    <t>Frobisher, Martin, 1896-1984.</t>
  </si>
  <si>
    <t>Philadelphia : Saunders, c1983.</t>
  </si>
  <si>
    <t>15th ed. / Robert Fuerst.</t>
  </si>
  <si>
    <t>1995-02-02</t>
  </si>
  <si>
    <t>3863819719:eng</t>
  </si>
  <si>
    <t>8865384</t>
  </si>
  <si>
    <t>991000993549702656</t>
  </si>
  <si>
    <t>2263273210002656</t>
  </si>
  <si>
    <t>9780721639444</t>
  </si>
  <si>
    <t>30001000227134</t>
  </si>
  <si>
    <t>893546290</t>
  </si>
  <si>
    <t>QW 4 I43 1985</t>
  </si>
  <si>
    <t>0                      QW 0004000I  43          1985</t>
  </si>
  <si>
    <t>Infectious diseases and medical microbiology.</t>
  </si>
  <si>
    <t>2nd ed. / edited by Abraham I. Braude, Charles E. Davis, Joshua Fierer.</t>
  </si>
  <si>
    <t>2000-01-20</t>
  </si>
  <si>
    <t>1987-09-30</t>
  </si>
  <si>
    <t>355687473:eng</t>
  </si>
  <si>
    <t>11318053</t>
  </si>
  <si>
    <t>991000749199702656</t>
  </si>
  <si>
    <t>2262170840002656</t>
  </si>
  <si>
    <t>9780721612065</t>
  </si>
  <si>
    <t>30001000046997</t>
  </si>
  <si>
    <t>893133676</t>
  </si>
  <si>
    <t>QW 4 J39 1998</t>
  </si>
  <si>
    <t>0                      QW 0004000J  39          1998</t>
  </si>
  <si>
    <t>Jawetz, Melnick &amp; Adelberg's medical microbiology / Geo. F. Brooks ... [et al.]</t>
  </si>
  <si>
    <t>3</t>
  </si>
  <si>
    <t>Stamford, CT : Appleton &amp; Lange, c1998.</t>
  </si>
  <si>
    <t>1998</t>
  </si>
  <si>
    <t>21st ed.</t>
  </si>
  <si>
    <t>ctu</t>
  </si>
  <si>
    <t>Lange medical book</t>
  </si>
  <si>
    <t>2003-01-26</t>
  </si>
  <si>
    <t>1998-04-14</t>
  </si>
  <si>
    <t>4494926270:eng</t>
  </si>
  <si>
    <t>38928982</t>
  </si>
  <si>
    <t>991000740799702656</t>
  </si>
  <si>
    <t>2271258970002656</t>
  </si>
  <si>
    <t>9780838562291</t>
  </si>
  <si>
    <t>30001004051308</t>
  </si>
  <si>
    <t>893740070</t>
  </si>
  <si>
    <t>QW 4 K83m 1930</t>
  </si>
  <si>
    <t>0                      QW 0004000K  83m         1930</t>
  </si>
  <si>
    <t>Man vs. microbes / by Nicholas Kopeloff.</t>
  </si>
  <si>
    <t>Kopeloff, Nicholas, 1890-</t>
  </si>
  <si>
    <t>New York : A.A. Knopf, c1930.</t>
  </si>
  <si>
    <t>1930</t>
  </si>
  <si>
    <t>|||</t>
  </si>
  <si>
    <t>2010-03-08</t>
  </si>
  <si>
    <t>1494092:eng</t>
  </si>
  <si>
    <t>476481</t>
  </si>
  <si>
    <t>991000993469702656</t>
  </si>
  <si>
    <t>2262230990002656</t>
  </si>
  <si>
    <t>30001000226987</t>
  </si>
  <si>
    <t>893267952</t>
  </si>
  <si>
    <t>QW 4 L334c 1984</t>
  </si>
  <si>
    <t>0                      QW 0004000L  334c        1984</t>
  </si>
  <si>
    <t>Clinical microbiology and infection control / Elaine Larson.</t>
  </si>
  <si>
    <t>Larson, Elaine.</t>
  </si>
  <si>
    <t>Boston : Blackwell Scientific Publications ; St. Louis, Mo. : Distributors, USA, Blackwell Mosby, c1984.</t>
  </si>
  <si>
    <t>2001-07-02</t>
  </si>
  <si>
    <t>43453400:eng</t>
  </si>
  <si>
    <t>9893819</t>
  </si>
  <si>
    <t>991000993439702656</t>
  </si>
  <si>
    <t>2255263860002656</t>
  </si>
  <si>
    <t>9780865420113</t>
  </si>
  <si>
    <t>30001000226979</t>
  </si>
  <si>
    <t>893284258</t>
  </si>
  <si>
    <t>QW 4 M294 1999</t>
  </si>
  <si>
    <t>0                      QW 0004000M  294         1999</t>
  </si>
  <si>
    <t>Manual of clinical microbiology / editor in chief, Patrick R. Murray ; editors, Ellen Jo Baron ... [et al.].</t>
  </si>
  <si>
    <t>4</t>
  </si>
  <si>
    <t>Washington, D.C. : ASM Press, c1999.</t>
  </si>
  <si>
    <t>1999</t>
  </si>
  <si>
    <t>dcu</t>
  </si>
  <si>
    <t>2003-04-22</t>
  </si>
  <si>
    <t>2000-01-21</t>
  </si>
  <si>
    <t>3943618949:eng</t>
  </si>
  <si>
    <t>39914150</t>
  </si>
  <si>
    <t>991001406009702656</t>
  </si>
  <si>
    <t>2262802550002656</t>
  </si>
  <si>
    <t>9781555811266</t>
  </si>
  <si>
    <t>30001003820133</t>
  </si>
  <si>
    <t>893736546</t>
  </si>
  <si>
    <t>QW4 M294 2003 V.1</t>
  </si>
  <si>
    <t>0                      QW 0004000M  294         2003                                        V.1</t>
  </si>
  <si>
    <t>V.1</t>
  </si>
  <si>
    <t>Washington, D.C. : ASM Press, c2003.</t>
  </si>
  <si>
    <t>2003</t>
  </si>
  <si>
    <t>8th ed.</t>
  </si>
  <si>
    <t>2003-06-30</t>
  </si>
  <si>
    <t>10568098777:eng</t>
  </si>
  <si>
    <t>50035668</t>
  </si>
  <si>
    <t>991000352339702656</t>
  </si>
  <si>
    <t>2262326390002656</t>
  </si>
  <si>
    <t>9781555812553</t>
  </si>
  <si>
    <t>30001004505030</t>
  </si>
  <si>
    <t>893537105</t>
  </si>
  <si>
    <t>V.2</t>
  </si>
  <si>
    <t>2003-07-09</t>
  </si>
  <si>
    <t>30001004505022</t>
  </si>
  <si>
    <t>893558784</t>
  </si>
  <si>
    <t>QW 4 M294 2007</t>
  </si>
  <si>
    <t>0                      QW 0004000M  294         2007</t>
  </si>
  <si>
    <t>Washington, D.C. : ASM Press, c2007.</t>
  </si>
  <si>
    <t>2007</t>
  </si>
  <si>
    <t>9th ed.</t>
  </si>
  <si>
    <t>2010-08-10</t>
  </si>
  <si>
    <t>2007-09-17</t>
  </si>
  <si>
    <t>5616074190:eng</t>
  </si>
  <si>
    <t>63195972</t>
  </si>
  <si>
    <t>991000648889702656</t>
  </si>
  <si>
    <t>2266801150002656</t>
  </si>
  <si>
    <t>9781555813710</t>
  </si>
  <si>
    <t>30001005230372</t>
  </si>
  <si>
    <t>893277855</t>
  </si>
  <si>
    <t>30001005230430</t>
  </si>
  <si>
    <t>893283286</t>
  </si>
  <si>
    <t>QW 4 M4857 1999</t>
  </si>
  <si>
    <t>0                      QW 0004000M  4857        1999</t>
  </si>
  <si>
    <t>Medical importance of the normal microflora / edited by Gerald W. Tannock.</t>
  </si>
  <si>
    <t>Dordrecht ; Boston : Kluwer, c1999.</t>
  </si>
  <si>
    <t xml:space="preserve">ne </t>
  </si>
  <si>
    <t>2008-04-19</t>
  </si>
  <si>
    <t>2000-07-20</t>
  </si>
  <si>
    <t>14450406:eng</t>
  </si>
  <si>
    <t>41278395</t>
  </si>
  <si>
    <t>991000277369702656</t>
  </si>
  <si>
    <t>2267731800002656</t>
  </si>
  <si>
    <t>9780412793905</t>
  </si>
  <si>
    <t>30001003941947</t>
  </si>
  <si>
    <t>893816897</t>
  </si>
  <si>
    <t>QW 4 M486 1991</t>
  </si>
  <si>
    <t>0                      QW 0004000M  486         1991</t>
  </si>
  <si>
    <t>Medical microbiology / edited by Samuel Baron ; associate editor, Paula M. Jennings.</t>
  </si>
  <si>
    <t>New York : Churchill Livingstone, c1991.</t>
  </si>
  <si>
    <t>nyu</t>
  </si>
  <si>
    <t>1991-04-23</t>
  </si>
  <si>
    <t>3855276302:eng</t>
  </si>
  <si>
    <t>23216617</t>
  </si>
  <si>
    <t>991000827899702656</t>
  </si>
  <si>
    <t>2261306770002656</t>
  </si>
  <si>
    <t>9780443086717</t>
  </si>
  <si>
    <t>30001002089797</t>
  </si>
  <si>
    <t>893642705</t>
  </si>
  <si>
    <t>QW 4 M626 1990</t>
  </si>
  <si>
    <t>0                      QW 0004000M  626         1990</t>
  </si>
  <si>
    <t>Microbiology / Bernard D. Davis ... [et al.].</t>
  </si>
  <si>
    <t>Philadelphia : Lippincott, c1990.</t>
  </si>
  <si>
    <t>1990</t>
  </si>
  <si>
    <t>1998-02-22</t>
  </si>
  <si>
    <t>1990-01-23</t>
  </si>
  <si>
    <t>3901014369:eng</t>
  </si>
  <si>
    <t>19324734</t>
  </si>
  <si>
    <t>991001386789702656</t>
  </si>
  <si>
    <t>2268065860002656</t>
  </si>
  <si>
    <t>9780397506897</t>
  </si>
  <si>
    <t>30001001799933</t>
  </si>
  <si>
    <t>893727527</t>
  </si>
  <si>
    <t>QW 4 M6265 1986</t>
  </si>
  <si>
    <t>0                      QW 0004000M  6265        1986</t>
  </si>
  <si>
    <t>Microbiology - 1986 / edited by Loretta Leive, et. al.</t>
  </si>
  <si>
    <t>Washington : American Society for Microbiology, c1986</t>
  </si>
  <si>
    <t>1986</t>
  </si>
  <si>
    <t>1993-09-09</t>
  </si>
  <si>
    <t>3943351778:eng</t>
  </si>
  <si>
    <t>13842171</t>
  </si>
  <si>
    <t>991000993399702656</t>
  </si>
  <si>
    <t>2261391680002656</t>
  </si>
  <si>
    <t>30001000226953</t>
  </si>
  <si>
    <t>893148795</t>
  </si>
  <si>
    <t>QW 4 M695c 1980</t>
  </si>
  <si>
    <t>0                      QW 0004000M  695c        1980</t>
  </si>
  <si>
    <t>Clinical microbiology / Hugh L. Moffet.</t>
  </si>
  <si>
    <t>Moffet, Hugh L., 1932-</t>
  </si>
  <si>
    <t>Philadelphia : Lippincott, c1980.</t>
  </si>
  <si>
    <t>1990-06-18</t>
  </si>
  <si>
    <t>1985274:eng</t>
  </si>
  <si>
    <t>5497327</t>
  </si>
  <si>
    <t>991000993259702656</t>
  </si>
  <si>
    <t>2271874070002656</t>
  </si>
  <si>
    <t>9780397504503</t>
  </si>
  <si>
    <t>30001000226847</t>
  </si>
  <si>
    <t>893552038</t>
  </si>
  <si>
    <t>QW4 M7178 2002 V.1</t>
  </si>
  <si>
    <t>0                      QW 0004000M  7178        2002                                        V.1</t>
  </si>
  <si>
    <t>Molecular medical microbiology / edited by Max Sussman.</t>
  </si>
  <si>
    <t>V.3</t>
  </si>
  <si>
    <t>San Diego : Academic Press, c2002.</t>
  </si>
  <si>
    <t>2002</t>
  </si>
  <si>
    <t>2002-06-20</t>
  </si>
  <si>
    <t>943533366:eng</t>
  </si>
  <si>
    <t>47675852</t>
  </si>
  <si>
    <t>991000316829702656</t>
  </si>
  <si>
    <t>2255333360002656</t>
  </si>
  <si>
    <t>9780126775303</t>
  </si>
  <si>
    <t>30001004239275</t>
  </si>
  <si>
    <t>893264112</t>
  </si>
  <si>
    <t>2002-07-31</t>
  </si>
  <si>
    <t>30001004239291</t>
  </si>
  <si>
    <t>893264114</t>
  </si>
  <si>
    <t>2002-10-17</t>
  </si>
  <si>
    <t>30001004239283</t>
  </si>
  <si>
    <t>893264113</t>
  </si>
  <si>
    <t>QW4 M755 2004</t>
  </si>
  <si>
    <t>0                      QW 0004000M  755         2004</t>
  </si>
  <si>
    <t>Molecular microbiology : diagnostic principles and practice / editor-in-chief, David H. Persing ; editors, Fred C. Tenover ... [et al.].</t>
  </si>
  <si>
    <t>Washington, D.C. : ASM Press, c2004.</t>
  </si>
  <si>
    <t>2004</t>
  </si>
  <si>
    <t>2005-07-12</t>
  </si>
  <si>
    <t>2004-02-27</t>
  </si>
  <si>
    <t>4915409078:eng</t>
  </si>
  <si>
    <t>52631424</t>
  </si>
  <si>
    <t>991000366889702656</t>
  </si>
  <si>
    <t>2255428200002656</t>
  </si>
  <si>
    <t>9781555812218</t>
  </si>
  <si>
    <t>30001004509545</t>
  </si>
  <si>
    <t>893558788</t>
  </si>
  <si>
    <t>QW 4 N842 1973</t>
  </si>
  <si>
    <t>0                      QW 0004000N  842         1973</t>
  </si>
  <si>
    <t>The Normal microbial flora of man : [a symposium held during the summer conference of the Society for Applied Bacteriology at the University College of Wales, Aberystwyth, in July 1973] / edited by F. A. Skinner, and J. G. Carr.</t>
  </si>
  <si>
    <t>London ; New York : Academic Press, 1974.</t>
  </si>
  <si>
    <t>1974</t>
  </si>
  <si>
    <t>enk</t>
  </si>
  <si>
    <t>Symposium series (Society for Applied Bacteriology) ; no. 3</t>
  </si>
  <si>
    <t>1990-10-18</t>
  </si>
  <si>
    <t>1988-03-17</t>
  </si>
  <si>
    <t>438366021:eng</t>
  </si>
  <si>
    <t>1202926</t>
  </si>
  <si>
    <t>991000993199702656</t>
  </si>
  <si>
    <t>2271202370002656</t>
  </si>
  <si>
    <t>9780126480405</t>
  </si>
  <si>
    <t>30001000226789</t>
  </si>
  <si>
    <t>893161604</t>
  </si>
  <si>
    <t>QW 4 P236b 1899</t>
  </si>
  <si>
    <t>0                      QW 0004000P  236b        1899</t>
  </si>
  <si>
    <t>Bacteriology in medicine and surgery : a practical manual for physicians, health officers, and students / by Wm. Hallock Park.</t>
  </si>
  <si>
    <t>Park, William Hallock, 1863-1939.</t>
  </si>
  <si>
    <t>New York : Lea Brothers &amp; Co., 1899.</t>
  </si>
  <si>
    <t>1899</t>
  </si>
  <si>
    <t>1993-02-23</t>
  </si>
  <si>
    <t>8199072:eng</t>
  </si>
  <si>
    <t>3169884</t>
  </si>
  <si>
    <t>991000993159702656</t>
  </si>
  <si>
    <t>2263526990002656</t>
  </si>
  <si>
    <t>30001000226771</t>
  </si>
  <si>
    <t>893467769</t>
  </si>
  <si>
    <t>QW 4 P236p 1933</t>
  </si>
  <si>
    <t>0                      QW 0004000P  236p        1933</t>
  </si>
  <si>
    <t>Pathogenic microörganisms : a practical manual for students, physicians and health officers / by William Hallock Park &amp; Anna Wessels Williams.</t>
  </si>
  <si>
    <t>Philadelphia : Lea &amp; Febiger, c1933.</t>
  </si>
  <si>
    <t>1933</t>
  </si>
  <si>
    <t>10th ed.</t>
  </si>
  <si>
    <t>1922009:eng</t>
  </si>
  <si>
    <t>2881789</t>
  </si>
  <si>
    <t>991000993049702656</t>
  </si>
  <si>
    <t>2271706790002656</t>
  </si>
  <si>
    <t>30001000226755</t>
  </si>
  <si>
    <t>893358111</t>
  </si>
  <si>
    <t>QW 4 P751m 1971</t>
  </si>
  <si>
    <t>0                      QW 0004000P  751m        1971</t>
  </si>
  <si>
    <t>Microbiology : an introduction to protists, J. S. Poindexter.</t>
  </si>
  <si>
    <t>Poindexter, Jeanne S. (Jeanne Stove)</t>
  </si>
  <si>
    <t>New York : Macmillan, [1971]</t>
  </si>
  <si>
    <t>1971</t>
  </si>
  <si>
    <t>1997-02-24</t>
  </si>
  <si>
    <t>1228239:eng</t>
  </si>
  <si>
    <t>113120</t>
  </si>
  <si>
    <t>991000993009702656</t>
  </si>
  <si>
    <t>2267666190002656</t>
  </si>
  <si>
    <t>30001000226748</t>
  </si>
  <si>
    <t>893727158</t>
  </si>
  <si>
    <t>QW 4 S186m 2001</t>
  </si>
  <si>
    <t>0                      QW 0004000S  186m        2001</t>
  </si>
  <si>
    <t>Microbiology : diversity, disease, and the environment / Abigail A. Salyers/Dixie D. Whitt.</t>
  </si>
  <si>
    <t>Salyers, Abigail A.</t>
  </si>
  <si>
    <t>Bethesda, Md. : Fitzgerald Science Press, c2001.</t>
  </si>
  <si>
    <t>2000</t>
  </si>
  <si>
    <t>2004-02-26</t>
  </si>
  <si>
    <t>2001-11-14</t>
  </si>
  <si>
    <t>33944495:eng</t>
  </si>
  <si>
    <t>45661776</t>
  </si>
  <si>
    <t>991000293309702656</t>
  </si>
  <si>
    <t>2267842510002656</t>
  </si>
  <si>
    <t>9781891786013</t>
  </si>
  <si>
    <t>30001004235711</t>
  </si>
  <si>
    <t>893832749</t>
  </si>
  <si>
    <t>QW 4 S642m 1980</t>
  </si>
  <si>
    <t>0                      QW 0004000S  642m        1980</t>
  </si>
  <si>
    <t>Microbiology and pathology / Alice Lorraine Smith.</t>
  </si>
  <si>
    <t>Smith, Alice Lorraine, 1920-2014.</t>
  </si>
  <si>
    <t>St. Louis : Mosby, 1980.</t>
  </si>
  <si>
    <t>12th ed.</t>
  </si>
  <si>
    <t>1992-04-17</t>
  </si>
  <si>
    <t>1860431:eng</t>
  </si>
  <si>
    <t>5893606</t>
  </si>
  <si>
    <t>991000992939702656</t>
  </si>
  <si>
    <t>2270312130002656</t>
  </si>
  <si>
    <t>9780801646737</t>
  </si>
  <si>
    <t>30001000226672</t>
  </si>
  <si>
    <t>893831834</t>
  </si>
  <si>
    <t>QW 4 S642p 1973</t>
  </si>
  <si>
    <t>0                      QW 0004000S  642p        1973</t>
  </si>
  <si>
    <t>Principles of microbiology / Alice Lorraine Smith.</t>
  </si>
  <si>
    <t>Saint Louis : Mosby, 1973.</t>
  </si>
  <si>
    <t>1973</t>
  </si>
  <si>
    <t>-- 7th ed. --</t>
  </si>
  <si>
    <t>mou</t>
  </si>
  <si>
    <t>1995-10-11</t>
  </si>
  <si>
    <t>1137621:eng</t>
  </si>
  <si>
    <t>548228</t>
  </si>
  <si>
    <t>991000992859702656</t>
  </si>
  <si>
    <t>2262681470002656</t>
  </si>
  <si>
    <t>9780801646805</t>
  </si>
  <si>
    <t>30001000226664</t>
  </si>
  <si>
    <t>893358110</t>
  </si>
  <si>
    <t>QW 4 T675202 1998</t>
  </si>
  <si>
    <t>0                      QW 0004000T  675202      1998</t>
  </si>
  <si>
    <t>Topley &amp; Wilson's microbiology and microbial infections.</t>
  </si>
  <si>
    <t>Topley, W. W. C. (William Whiteman Carlton), 1886-1944.</t>
  </si>
  <si>
    <t>London : Arnold ; New York : Oxford University Press, 1998.</t>
  </si>
  <si>
    <t>9th ed. / [edited by] Leslie Collier, Albert Balows, Max Sussman.</t>
  </si>
  <si>
    <t>2000-03-21</t>
  </si>
  <si>
    <t>1998-10-13</t>
  </si>
  <si>
    <t>4917692105:eng</t>
  </si>
  <si>
    <t>38290809</t>
  </si>
  <si>
    <t>991000824749702656</t>
  </si>
  <si>
    <t>2261119130002656</t>
  </si>
  <si>
    <t>9780340614709</t>
  </si>
  <si>
    <t>30001004092393</t>
  </si>
  <si>
    <t>893551783</t>
  </si>
  <si>
    <t>V. 6</t>
  </si>
  <si>
    <t>30001004092419</t>
  </si>
  <si>
    <t>893551782</t>
  </si>
  <si>
    <t>30001004092427</t>
  </si>
  <si>
    <t>893551781</t>
  </si>
  <si>
    <t>V. 5</t>
  </si>
  <si>
    <t>2000-02-19</t>
  </si>
  <si>
    <t>30001004092385</t>
  </si>
  <si>
    <t>893551780</t>
  </si>
  <si>
    <t>30001004092435</t>
  </si>
  <si>
    <t>893551784</t>
  </si>
  <si>
    <t>QW 4 Z7831 1992</t>
  </si>
  <si>
    <t>0                      QW 0004000Z  7831        1992</t>
  </si>
  <si>
    <t>Zinsser microbiology / edited by Wolfgang K. Joklik ... [et al.].</t>
  </si>
  <si>
    <t>Norwalk, CT : Appleton &amp; Lange, c1992.</t>
  </si>
  <si>
    <t>1992</t>
  </si>
  <si>
    <t>20th ed.</t>
  </si>
  <si>
    <t>2002-08-24</t>
  </si>
  <si>
    <t>1992-04-23</t>
  </si>
  <si>
    <t>2452437790:eng</t>
  </si>
  <si>
    <t>24796112</t>
  </si>
  <si>
    <t>991001302679702656</t>
  </si>
  <si>
    <t>2260916180002656</t>
  </si>
  <si>
    <t>9780838599839</t>
  </si>
  <si>
    <t>30001002412460</t>
  </si>
  <si>
    <t>893638220</t>
  </si>
  <si>
    <t>QW 11.1 L174p 2003</t>
  </si>
  <si>
    <t>0                      QW 0011100L  174p        2003</t>
  </si>
  <si>
    <t>Pioneers of microbiology and the Nobel prize / Ulf Lagerkvist.</t>
  </si>
  <si>
    <t>Lagerkvist, Ulf.</t>
  </si>
  <si>
    <t>River Edge, NJ : World Scientific Pub., c2003.</t>
  </si>
  <si>
    <t>nju</t>
  </si>
  <si>
    <t>2004-09-09</t>
  </si>
  <si>
    <t>842032:eng</t>
  </si>
  <si>
    <t>50761072</t>
  </si>
  <si>
    <t>991000385359702656</t>
  </si>
  <si>
    <t>2264712770002656</t>
  </si>
  <si>
    <t>9789812382337</t>
  </si>
  <si>
    <t>30001004840791</t>
  </si>
  <si>
    <t>893461446</t>
  </si>
  <si>
    <t>QW 13 E56 1992</t>
  </si>
  <si>
    <t>0                      QW 0013000E  56          1992</t>
  </si>
  <si>
    <t>Encyclopedia of microbiology / editor, Joshua Lederberg.</t>
  </si>
  <si>
    <t>San Diego : Academic Press, c1992.</t>
  </si>
  <si>
    <t>2006-06-24</t>
  </si>
  <si>
    <t>55555850:eng</t>
  </si>
  <si>
    <t>25316345</t>
  </si>
  <si>
    <t>991000686289702656</t>
  </si>
  <si>
    <t>2268064260002656</t>
  </si>
  <si>
    <t>9780122268915</t>
  </si>
  <si>
    <t>30001002699108</t>
  </si>
  <si>
    <t>893362790</t>
  </si>
  <si>
    <t>30001002699082</t>
  </si>
  <si>
    <t>893357353</t>
  </si>
  <si>
    <t>2000-10-31</t>
  </si>
  <si>
    <t>30001002699090</t>
  </si>
  <si>
    <t>893357352</t>
  </si>
  <si>
    <t>30001002699116</t>
  </si>
  <si>
    <t>893357354</t>
  </si>
  <si>
    <t>QW 13 E56 1994</t>
  </si>
  <si>
    <t>0                      QW 0013000E  56          1994</t>
  </si>
  <si>
    <t>Encyclopedia of virology / edited by Robert G. Webster and Allan Granoff.</t>
  </si>
  <si>
    <t>London ; San Diego : Academic Press, c1994.</t>
  </si>
  <si>
    <t>1994-06-15</t>
  </si>
  <si>
    <t>10567255198:eng</t>
  </si>
  <si>
    <t>30052976</t>
  </si>
  <si>
    <t>991000670479702656</t>
  </si>
  <si>
    <t>2259744700002656</t>
  </si>
  <si>
    <t>9780122269608</t>
  </si>
  <si>
    <t>30001002695916</t>
  </si>
  <si>
    <t>893825366</t>
  </si>
  <si>
    <t>30001002695908</t>
  </si>
  <si>
    <t>893819958</t>
  </si>
  <si>
    <t>30001002695924</t>
  </si>
  <si>
    <t>893831000</t>
  </si>
  <si>
    <t>QW 13 I12d 1995</t>
  </si>
  <si>
    <t>0                      QW 0013000I  12d         1995</t>
  </si>
  <si>
    <t>Dictionary of cytokines / Horst Ibelgaufts.</t>
  </si>
  <si>
    <t>Ibelgaufts, Horst.</t>
  </si>
  <si>
    <t>Weinheim ; New York : VCH, c1995.</t>
  </si>
  <si>
    <t>1995</t>
  </si>
  <si>
    <t xml:space="preserve">gw </t>
  </si>
  <si>
    <t>1995-08-23</t>
  </si>
  <si>
    <t>1995-08-22</t>
  </si>
  <si>
    <t>33958666:eng</t>
  </si>
  <si>
    <t>32016315</t>
  </si>
  <si>
    <t>991001404689702656</t>
  </si>
  <si>
    <t>2262318440002656</t>
  </si>
  <si>
    <t>9783527300426</t>
  </si>
  <si>
    <t>30001003149673</t>
  </si>
  <si>
    <t>893743769</t>
  </si>
  <si>
    <t>QW 17 D631e 1987</t>
  </si>
  <si>
    <t>0                      QW 0017000D  631e        1987</t>
  </si>
  <si>
    <t>Electron microscopy in diagnostic virology : a practical guide and atlas / Frances W. Doane, Nan Anderson.</t>
  </si>
  <si>
    <t>Doane, Frances W., 1928-</t>
  </si>
  <si>
    <t>Cambridge ; New York : Cambridge University Press, c1987.</t>
  </si>
  <si>
    <t>1987</t>
  </si>
  <si>
    <t>1990-05-25</t>
  </si>
  <si>
    <t>1990-04-04</t>
  </si>
  <si>
    <t>836668952:eng</t>
  </si>
  <si>
    <t>14164922</t>
  </si>
  <si>
    <t>991001447909702656</t>
  </si>
  <si>
    <t>2271453760002656</t>
  </si>
  <si>
    <t>9780521243117</t>
  </si>
  <si>
    <t>30001001881293</t>
  </si>
  <si>
    <t>893638326</t>
  </si>
  <si>
    <t>QW 17 F893c 1979</t>
  </si>
  <si>
    <t>0                      QW 0017000F  893c        1979</t>
  </si>
  <si>
    <t>A color atlas of pathogenic fungi / Dorothea Frey, Ronald Jowett Oldfield, Ronald C. Bridger.</t>
  </si>
  <si>
    <t>Frey, Dorothea.</t>
  </si>
  <si>
    <t>Chicago : Wolfe Medical Publications, c1979.</t>
  </si>
  <si>
    <t>1979</t>
  </si>
  <si>
    <t>ilu</t>
  </si>
  <si>
    <t>2001-04-22</t>
  </si>
  <si>
    <t>20338863:eng</t>
  </si>
  <si>
    <t>4857487</t>
  </si>
  <si>
    <t>991000995319702656</t>
  </si>
  <si>
    <t>2266581810002656</t>
  </si>
  <si>
    <t>9780815132776</t>
  </si>
  <si>
    <t>30001000228140</t>
  </si>
  <si>
    <t>893148796</t>
  </si>
  <si>
    <t>QW 17 L912</t>
  </si>
  <si>
    <t>0                      QW 0017000L  912</t>
  </si>
  <si>
    <t>Atlas of bacteriology / by R. Cranston Low and T.C. Dodds.</t>
  </si>
  <si>
    <t>Low, R. Cranston (Robert Cranston), 1879-1949.</t>
  </si>
  <si>
    <t>Edinburgh : E. &amp; S. Livingstone, 1952.</t>
  </si>
  <si>
    <t>1952</t>
  </si>
  <si>
    <t>stk</t>
  </si>
  <si>
    <t>2006-03-23</t>
  </si>
  <si>
    <t>146700082:eng</t>
  </si>
  <si>
    <t>9692908</t>
  </si>
  <si>
    <t>991000749049702656</t>
  </si>
  <si>
    <t>2266534890002656</t>
  </si>
  <si>
    <t>30001000046898</t>
  </si>
  <si>
    <t>893272972</t>
  </si>
  <si>
    <t>QW 17 S359a 1982</t>
  </si>
  <si>
    <t>0                      QW 0017000S  359a        1982</t>
  </si>
  <si>
    <t>Schneierson's Atlas of diagnostic microbiology / edited by Edward J. Bottone, Roland Girolami, and John M. Stamm.</t>
  </si>
  <si>
    <t>Schneierson, S. Stanley (Sol Stanley), 1906-1976.</t>
  </si>
  <si>
    <t>North Chicago, Ill. : Abbott Laboratories, c1982.</t>
  </si>
  <si>
    <t>1982</t>
  </si>
  <si>
    <t>2001-04-27</t>
  </si>
  <si>
    <t>3855424364:eng</t>
  </si>
  <si>
    <t>9098935</t>
  </si>
  <si>
    <t>991000995249702656</t>
  </si>
  <si>
    <t>2264181730002656</t>
  </si>
  <si>
    <t>30001000228132</t>
  </si>
  <si>
    <t>893450749</t>
  </si>
  <si>
    <t>QW 18 B825r 1983</t>
  </si>
  <si>
    <t>0                      QW 0018000B  825r        1983</t>
  </si>
  <si>
    <t>Review of medical microbiology / Abraham I. Braude, J. Allen McCutchan.</t>
  </si>
  <si>
    <t>2001-01-15</t>
  </si>
  <si>
    <t>24233040:eng</t>
  </si>
  <si>
    <t>9464735</t>
  </si>
  <si>
    <t>991000995279702656</t>
  </si>
  <si>
    <t>2264811440002656</t>
  </si>
  <si>
    <t>9780721611839</t>
  </si>
  <si>
    <t>30001000228124</t>
  </si>
  <si>
    <t>893369013</t>
  </si>
  <si>
    <t>QW 18 H995m 1987</t>
  </si>
  <si>
    <t>0                      QW 0018000H  995m        1987</t>
  </si>
  <si>
    <t>Microbiology &amp; immunology / Richard M. Hyde.</t>
  </si>
  <si>
    <t>Hyde, Richard M.</t>
  </si>
  <si>
    <t>New York : Springer-Verlag, c1987.</t>
  </si>
  <si>
    <t>Oklahoma notes</t>
  </si>
  <si>
    <t>1989-02-23</t>
  </si>
  <si>
    <t>8811980:eng</t>
  </si>
  <si>
    <t>14378896</t>
  </si>
  <si>
    <t>991001238369702656</t>
  </si>
  <si>
    <t>2264780470002656</t>
  </si>
  <si>
    <t>9780387963365</t>
  </si>
  <si>
    <t>30001001675083</t>
  </si>
  <si>
    <t>893149001</t>
  </si>
  <si>
    <t>QW 18 K49m 1973</t>
  </si>
  <si>
    <t>0                      QW 0018000K  49m         1973</t>
  </si>
  <si>
    <t>Microbiology review : 1800 multiple choice questions and answers, completely referenced / by Charles W. Kim.</t>
  </si>
  <si>
    <t>Kim, Charles W., editor.</t>
  </si>
  <si>
    <t>Flushing, N.Y. : Medical Examination Pub. co., [1973]</t>
  </si>
  <si>
    <t>5th ed.</t>
  </si>
  <si>
    <t>Basic science review series</t>
  </si>
  <si>
    <t>2000-04-15</t>
  </si>
  <si>
    <t>1988-03-25</t>
  </si>
  <si>
    <t>424116471:eng</t>
  </si>
  <si>
    <t>1207578</t>
  </si>
  <si>
    <t>991000995209702656</t>
  </si>
  <si>
    <t>2269667950002656</t>
  </si>
  <si>
    <t>30001000228116</t>
  </si>
  <si>
    <t>893455365</t>
  </si>
  <si>
    <t>QW 18 K49m 1984</t>
  </si>
  <si>
    <t>0                      QW 0018000K  49m         1984</t>
  </si>
  <si>
    <t>Microbiology : 750 multiple choice questions with referenced explanatory answers / Charles W. Kim.</t>
  </si>
  <si>
    <t>Kim, Charles W.</t>
  </si>
  <si>
    <t>New Hyde Park, N.Y. : Medical Examination Pub. Co., c1984.</t>
  </si>
  <si>
    <t>Medical examination review</t>
  </si>
  <si>
    <t>2000-04-29</t>
  </si>
  <si>
    <t>2864207800:eng</t>
  </si>
  <si>
    <t>11185592</t>
  </si>
  <si>
    <t>991000749019702656</t>
  </si>
  <si>
    <t>2265917470002656</t>
  </si>
  <si>
    <t>9780874882032</t>
  </si>
  <si>
    <t>30001000046880</t>
  </si>
  <si>
    <t>893148215</t>
  </si>
  <si>
    <t>QW 18 K49m 1987</t>
  </si>
  <si>
    <t>0                      QW 0018000K  49m         1987</t>
  </si>
  <si>
    <t>Microbiology : 1000 multiple choice questions with referenced explanatory answers / by Charles W. Kim.</t>
  </si>
  <si>
    <t>Garden City, N.Y. : Medical Examination Pub. Co., c1987.</t>
  </si>
  <si>
    <t>1998-11-02</t>
  </si>
  <si>
    <t>1987-10-20</t>
  </si>
  <si>
    <t>16439224</t>
  </si>
  <si>
    <t>991001528929702656</t>
  </si>
  <si>
    <t>2255692230002656</t>
  </si>
  <si>
    <t>9780444011671</t>
  </si>
  <si>
    <t>30001000620908</t>
  </si>
  <si>
    <t>893832288</t>
  </si>
  <si>
    <t>QW 18 L665m 1992</t>
  </si>
  <si>
    <t>0                      QW 0018000L  665m        1992</t>
  </si>
  <si>
    <t>Medical microbiology &amp; immunology : examination and board review / Warren E. Levinson, Ernest Jawetz.</t>
  </si>
  <si>
    <t>Levinson, Warren.</t>
  </si>
  <si>
    <t>Norwalk, Conn. : Appleton &amp; Lange, c1992.</t>
  </si>
  <si>
    <t>A Lange medical book</t>
  </si>
  <si>
    <t>2007-05-20</t>
  </si>
  <si>
    <t>1991-11-22</t>
  </si>
  <si>
    <t>4918197842:eng</t>
  </si>
  <si>
    <t>24704681</t>
  </si>
  <si>
    <t>991001023199702656</t>
  </si>
  <si>
    <t>2271694740002656</t>
  </si>
  <si>
    <t>9780838562628</t>
  </si>
  <si>
    <t>30001002242222</t>
  </si>
  <si>
    <t>893121121</t>
  </si>
  <si>
    <t>QW 18 M623 1985</t>
  </si>
  <si>
    <t>0                      QW 0018000M  623         1985</t>
  </si>
  <si>
    <t>Microbiology / editors, David T. Kingsbury, Gary P. Segal, Gerald E. Wagner.</t>
  </si>
  <si>
    <t>New York : Wiley ; Media, Pa. : Harwal Pub. Co., c1985.</t>
  </si>
  <si>
    <t>The National medical series for independent study</t>
  </si>
  <si>
    <t>2001-02-17</t>
  </si>
  <si>
    <t>4145923:eng</t>
  </si>
  <si>
    <t>11291107</t>
  </si>
  <si>
    <t>991000748979702656</t>
  </si>
  <si>
    <t>2265606370002656</t>
  </si>
  <si>
    <t>9780471096252</t>
  </si>
  <si>
    <t>30001000046872</t>
  </si>
  <si>
    <t>893357488</t>
  </si>
  <si>
    <t>QW 18 M626 1988</t>
  </si>
  <si>
    <t>0                      QW 0018000M  626         1988</t>
  </si>
  <si>
    <t>Microbiology : PreTest self-assessment and review / edited by Richard C. Tilton.</t>
  </si>
  <si>
    <t>Colorado Springs : McGraw-Hill, Health Professions Division, PreTest Series, c1988.</t>
  </si>
  <si>
    <t>1988</t>
  </si>
  <si>
    <t>Basic sciences series</t>
  </si>
  <si>
    <t>2003-08-07</t>
  </si>
  <si>
    <t>1989-01-14</t>
  </si>
  <si>
    <t>864043108:eng</t>
  </si>
  <si>
    <t>16806294</t>
  </si>
  <si>
    <t>991001107819702656</t>
  </si>
  <si>
    <t>2264073520002656</t>
  </si>
  <si>
    <t>9780070519640</t>
  </si>
  <si>
    <t>30001001611484</t>
  </si>
  <si>
    <t>893450881</t>
  </si>
  <si>
    <t>QW 18 N468m 1998</t>
  </si>
  <si>
    <t>0                      QW 0018000N  468m        1998</t>
  </si>
  <si>
    <t>Microbiology : a human perspective.</t>
  </si>
  <si>
    <t>Boston, Mass. : WCB McGraw-Hill, c1998.</t>
  </si>
  <si>
    <t>1997</t>
  </si>
  <si>
    <t>2nd ed. / Eugene W. Nester ... [et al.].</t>
  </si>
  <si>
    <t>2005-07-07</t>
  </si>
  <si>
    <t>1999-01-19</t>
  </si>
  <si>
    <t>4915391198:eng</t>
  </si>
  <si>
    <t>36783811</t>
  </si>
  <si>
    <t>991001532169702656</t>
  </si>
  <si>
    <t>2256645700002656</t>
  </si>
  <si>
    <t>9780697286024</t>
  </si>
  <si>
    <t>30001003961804</t>
  </si>
  <si>
    <t>893162132</t>
  </si>
  <si>
    <t>QW 18 R718i 1978</t>
  </si>
  <si>
    <t>0                      QW 0018000R  718i        1978</t>
  </si>
  <si>
    <t>Immunology : a self-instructional approach / Catherine E. Roesel.</t>
  </si>
  <si>
    <t>Roesel, Catherine E.</t>
  </si>
  <si>
    <t>-- New York : McGraw-Hill, c1978.</t>
  </si>
  <si>
    <t>1978</t>
  </si>
  <si>
    <t>1994-06-03</t>
  </si>
  <si>
    <t>282803837:eng</t>
  </si>
  <si>
    <t>3913163</t>
  </si>
  <si>
    <t>991000995169702656</t>
  </si>
  <si>
    <t>2258281950002656</t>
  </si>
  <si>
    <t>9780070534117</t>
  </si>
  <si>
    <t>30001000228074</t>
  </si>
  <si>
    <t>893560816</t>
  </si>
  <si>
    <t>QW 18 Y66a 1993</t>
  </si>
  <si>
    <t>0                      QW 0018000Y  66a         1993</t>
  </si>
  <si>
    <t>Appleton &amp; Lange's review of microbiology and immunology : for the USMLE, step 1 / William W. Yotis, Harold J. Blumenthal, Tadayo Hashimoto.</t>
  </si>
  <si>
    <t>Yotis, William W.</t>
  </si>
  <si>
    <t>Norwalk, Conn. : Appleton &amp; Lange, c1993.</t>
  </si>
  <si>
    <t>1993</t>
  </si>
  <si>
    <t>Appleton &amp; Lange review series</t>
  </si>
  <si>
    <t>2007-02-16</t>
  </si>
  <si>
    <t>1995-04-04</t>
  </si>
  <si>
    <t>1950990:eng</t>
  </si>
  <si>
    <t>27379719</t>
  </si>
  <si>
    <t>991001398759702656</t>
  </si>
  <si>
    <t>2255156980002656</t>
  </si>
  <si>
    <t>9780838500590</t>
  </si>
  <si>
    <t>30001003147099</t>
  </si>
  <si>
    <t>893455745</t>
  </si>
  <si>
    <t>QW 18.2 L665m 2002</t>
  </si>
  <si>
    <t>0                      QW 0018200L  665m        2002</t>
  </si>
  <si>
    <t>Medical microbiology &amp; immunology : examination &amp; board review / Warren Levinson and Ernest Jawetz.</t>
  </si>
  <si>
    <t>New York : Lange Medical Books/McGraw-Hill, c2002.</t>
  </si>
  <si>
    <t>2003-01-10</t>
  </si>
  <si>
    <t>50334431</t>
  </si>
  <si>
    <t>991000336069702656</t>
  </si>
  <si>
    <t>2258404370002656</t>
  </si>
  <si>
    <t>9780071382175</t>
  </si>
  <si>
    <t>30001004501021</t>
  </si>
  <si>
    <t>893285512</t>
  </si>
  <si>
    <t>QW 22.1 L759L 1994-95</t>
  </si>
  <si>
    <t>0                      QW 0022100L  759L        1994                                        -95</t>
  </si>
  <si>
    <t>Linscott's directory of immunological and biological reagents.</t>
  </si>
  <si>
    <t>Linscott, William D.</t>
  </si>
  <si>
    <t>Santa Rosa, CA : Linscott's Directory, c1994.</t>
  </si>
  <si>
    <t>8th ed. (1994-1995).</t>
  </si>
  <si>
    <t>1994-03-11</t>
  </si>
  <si>
    <t>1994-02-10</t>
  </si>
  <si>
    <t>2070290895:eng</t>
  </si>
  <si>
    <t>29908353</t>
  </si>
  <si>
    <t>991000644669702656</t>
  </si>
  <si>
    <t>2261466840002656</t>
  </si>
  <si>
    <t>9780960492077</t>
  </si>
  <si>
    <t>30001002690198</t>
  </si>
  <si>
    <t>893540113</t>
  </si>
  <si>
    <t>QW 25 B187b 1997</t>
  </si>
  <si>
    <t>0                      QW 0025000B  187b        1997</t>
  </si>
  <si>
    <t>Bacterial cell culture : essential data / A.S. Ball.</t>
  </si>
  <si>
    <t>Ball, A. S.</t>
  </si>
  <si>
    <t>Chichester ; New York : Wiley, c1997.</t>
  </si>
  <si>
    <t>Essential data series</t>
  </si>
  <si>
    <t>2006-09-30</t>
  </si>
  <si>
    <t>1998-07-29</t>
  </si>
  <si>
    <t>807809631:eng</t>
  </si>
  <si>
    <t>36225971</t>
  </si>
  <si>
    <t>991000818099702656</t>
  </si>
  <si>
    <t>2272435760002656</t>
  </si>
  <si>
    <t>9780471969730</t>
  </si>
  <si>
    <t>30001004090926</t>
  </si>
  <si>
    <t>893283834</t>
  </si>
  <si>
    <t>QW 25 C525m 1901</t>
  </si>
  <si>
    <t>0                      QW 0025000C  525m        1901</t>
  </si>
  <si>
    <t>A manual of determinative bacteriology / by Frederick D. Chester.</t>
  </si>
  <si>
    <t>Chester, Frederick Dixon.</t>
  </si>
  <si>
    <t>New York : Macmillan, 1914, c1901.</t>
  </si>
  <si>
    <t>1914</t>
  </si>
  <si>
    <t>3943317825:eng</t>
  </si>
  <si>
    <t>3182025</t>
  </si>
  <si>
    <t>991000994809702656</t>
  </si>
  <si>
    <t>2264129150002656</t>
  </si>
  <si>
    <t>30001000227738</t>
  </si>
  <si>
    <t>893161606</t>
  </si>
  <si>
    <t>QW 25 C7122 1989</t>
  </si>
  <si>
    <t>0                      QW 0025000C  7122        1989</t>
  </si>
  <si>
    <t>Collins and Lyne's microbiological methods / edited by C.H. Collins, Patricia M. Lyne, J.M. Grange.</t>
  </si>
  <si>
    <t>London ; Boston : Butterworths, c1989.</t>
  </si>
  <si>
    <t>6th ed.</t>
  </si>
  <si>
    <t>2004-10-22</t>
  </si>
  <si>
    <t>1989-12-05</t>
  </si>
  <si>
    <t>4916989914:eng</t>
  </si>
  <si>
    <t>18836943</t>
  </si>
  <si>
    <t>991001371439702656</t>
  </si>
  <si>
    <t>2267881390002656</t>
  </si>
  <si>
    <t>9780407008854</t>
  </si>
  <si>
    <t>30001001797903</t>
  </si>
  <si>
    <t>893546635</t>
  </si>
  <si>
    <t>QW 25 M143m 1985 v.1</t>
  </si>
  <si>
    <t>0                      QW 0025000M  143m        1985                                        v.1</t>
  </si>
  <si>
    <t>Media for isolation-cultivation-identification-maintenance of medical bacteria / Jean F. MacFaddin.</t>
  </si>
  <si>
    <t>Mac Faddin, Jean F.</t>
  </si>
  <si>
    <t>Baltimore : Williams &amp; Wilkins, c1985.</t>
  </si>
  <si>
    <t>2005-08-08</t>
  </si>
  <si>
    <t>10567101459:eng</t>
  </si>
  <si>
    <t>10876826</t>
  </si>
  <si>
    <t>991000995569702656</t>
  </si>
  <si>
    <t>2256433870002656</t>
  </si>
  <si>
    <t>9780683053166</t>
  </si>
  <si>
    <t>30001000228355</t>
  </si>
  <si>
    <t>893552039</t>
  </si>
  <si>
    <t>QW 25 N856m</t>
  </si>
  <si>
    <t>0                      QW 0025000N  856m</t>
  </si>
  <si>
    <t>Methods in microbiology / edited by J. R. Norris [and] D. W. Ribbons.</t>
  </si>
  <si>
    <t>V. 3A</t>
  </si>
  <si>
    <t>Norris, J. R. (John Robert)</t>
  </si>
  <si>
    <t>London, New York : Academic, 1969-1971.</t>
  </si>
  <si>
    <t>1969</t>
  </si>
  <si>
    <t>1988-03-21</t>
  </si>
  <si>
    <t>8960626420:eng</t>
  </si>
  <si>
    <t>21981</t>
  </si>
  <si>
    <t>991000995529702656</t>
  </si>
  <si>
    <t>2261374390002656</t>
  </si>
  <si>
    <t>9780125215015</t>
  </si>
  <si>
    <t>30001000228314</t>
  </si>
  <si>
    <t>893643125</t>
  </si>
  <si>
    <t>30001000228330</t>
  </si>
  <si>
    <t>893643126</t>
  </si>
  <si>
    <t>30001000228298</t>
  </si>
  <si>
    <t>893643124</t>
  </si>
  <si>
    <t>30001000228322</t>
  </si>
  <si>
    <t>893637928</t>
  </si>
  <si>
    <t>V. 3B</t>
  </si>
  <si>
    <t>30001000228306</t>
  </si>
  <si>
    <t>893637927</t>
  </si>
  <si>
    <t>V. 5B</t>
  </si>
  <si>
    <t>30001000228272</t>
  </si>
  <si>
    <t>893648826</t>
  </si>
  <si>
    <t>V. 5A</t>
  </si>
  <si>
    <t>2002-11-12</t>
  </si>
  <si>
    <t>30001000228280</t>
  </si>
  <si>
    <t>893648827</t>
  </si>
  <si>
    <t>QW 25 P532 1996</t>
  </si>
  <si>
    <t>0                      QW 0025000P  532         1996</t>
  </si>
  <si>
    <t>Phage display of peptides and proteins : a laboratory manual / edited by Brian K. Kay, Jill Winter, John McCafferty.</t>
  </si>
  <si>
    <t>San Diego : Academic Press, c1996.</t>
  </si>
  <si>
    <t>1996</t>
  </si>
  <si>
    <t>2003-10-02</t>
  </si>
  <si>
    <t>1998-01-22</t>
  </si>
  <si>
    <t>1010727746:eng</t>
  </si>
  <si>
    <t>34409484</t>
  </si>
  <si>
    <t>991001294899702656</t>
  </si>
  <si>
    <t>2255650010002656</t>
  </si>
  <si>
    <t>9780124023802</t>
  </si>
  <si>
    <t>30001003741461</t>
  </si>
  <si>
    <t>893557803</t>
  </si>
  <si>
    <t>QW 25 S782 1981</t>
  </si>
  <si>
    <t>0                      QW 0025000S  782         1981</t>
  </si>
  <si>
    <t>Staining procedures used by the Biological Stain Commission / edited by George Clark.</t>
  </si>
  <si>
    <t>Baltimore : Published for the Biological Stain Commission by Williams &amp; Wilkins, c1981.</t>
  </si>
  <si>
    <t>1997-04-17</t>
  </si>
  <si>
    <t>2393725:eng</t>
  </si>
  <si>
    <t>5889312</t>
  </si>
  <si>
    <t>991000995429702656</t>
  </si>
  <si>
    <t>2271398360002656</t>
  </si>
  <si>
    <t>9780683017076</t>
  </si>
  <si>
    <t>30001000228231</t>
  </si>
  <si>
    <t>893369014</t>
  </si>
  <si>
    <t>QW 25 T355 2000</t>
  </si>
  <si>
    <t>0                      QW 0025000T  355         2000</t>
  </si>
  <si>
    <t>Textbook of diagnostic microbiology / edited by Connie R. Mahon, George Manuselis.</t>
  </si>
  <si>
    <t>Philadelphia : Saunders, c2000.</t>
  </si>
  <si>
    <t>2009-08-17</t>
  </si>
  <si>
    <t>3856839629:eng</t>
  </si>
  <si>
    <t>43207947</t>
  </si>
  <si>
    <t>991000276329702656</t>
  </si>
  <si>
    <t>2267519140002656</t>
  </si>
  <si>
    <t>9780721679174</t>
  </si>
  <si>
    <t>30001003942028</t>
  </si>
  <si>
    <t>893821942</t>
  </si>
  <si>
    <t>QW 25 W548L 1974</t>
  </si>
  <si>
    <t>0                      QW 0025000W  548L        1974</t>
  </si>
  <si>
    <t>Laboratory manual and workbook in microbiology : applications to patient care / Marion E. Wilson, Martin H. Weisburd, Helen Eckel Mizer.</t>
  </si>
  <si>
    <t>Wilson, Marion E.</t>
  </si>
  <si>
    <t>New York : MacMillan, c1974.</t>
  </si>
  <si>
    <t>1989-01-27</t>
  </si>
  <si>
    <t>10567276835:eng</t>
  </si>
  <si>
    <t>3268321</t>
  </si>
  <si>
    <t>991000995389702656</t>
  </si>
  <si>
    <t>2257384510002656</t>
  </si>
  <si>
    <t>30001000228223</t>
  </si>
  <si>
    <t>893648825</t>
  </si>
  <si>
    <t>QW26 M294 2002</t>
  </si>
  <si>
    <t>0                      QW 0026000M  294         2002</t>
  </si>
  <si>
    <t>Manual of commercial methods in clinical microbiology / editor, Allan L. Truant.</t>
  </si>
  <si>
    <t>Washington, D.C. : ASM Press, c2002.</t>
  </si>
  <si>
    <t>2004-11-01</t>
  </si>
  <si>
    <t>34675380:eng</t>
  </si>
  <si>
    <t>45420245</t>
  </si>
  <si>
    <t>991000406239702656</t>
  </si>
  <si>
    <t>2256276250002656</t>
  </si>
  <si>
    <t>9781555811891</t>
  </si>
  <si>
    <t>30001004924470</t>
  </si>
  <si>
    <t>893629193</t>
  </si>
  <si>
    <t>QW 39 G946 1990</t>
  </si>
  <si>
    <t>0                      QW 0039000G  946         1990</t>
  </si>
  <si>
    <t>Guide for adult immunization / ACP Task Force on Adult Immunization and Infectious Diseases Society of America.</t>
  </si>
  <si>
    <t>Philadelphia, Pa. : American College of Physicians, c1990.</t>
  </si>
  <si>
    <t>1998-09-10</t>
  </si>
  <si>
    <t>1992-12-10</t>
  </si>
  <si>
    <t>361835796:eng</t>
  </si>
  <si>
    <t>19455414</t>
  </si>
  <si>
    <t>991001350609702656</t>
  </si>
  <si>
    <t>2270636550002656</t>
  </si>
  <si>
    <t>9780943126128</t>
  </si>
  <si>
    <t>30001002459396</t>
  </si>
  <si>
    <t>893736512</t>
  </si>
  <si>
    <t>QW39 M368v 2004</t>
  </si>
  <si>
    <t>0                      QW 0039000M  368v        2004</t>
  </si>
  <si>
    <t>The vaccine handbook : a practical guide for clinicians / Gary S. Marshall.</t>
  </si>
  <si>
    <t>Marshall, Gary S.</t>
  </si>
  <si>
    <t>Philadelphia : Lippincott Williams &amp; Wilkins, c2004.</t>
  </si>
  <si>
    <t>2006-02-07</t>
  </si>
  <si>
    <t>2006-02-02</t>
  </si>
  <si>
    <t>340169238:eng</t>
  </si>
  <si>
    <t>53326223</t>
  </si>
  <si>
    <t>991000461779702656</t>
  </si>
  <si>
    <t>2269007430002656</t>
  </si>
  <si>
    <t>9780781735698</t>
  </si>
  <si>
    <t>30001004911816</t>
  </si>
  <si>
    <t>893639243</t>
  </si>
  <si>
    <t>QW 39 P8945 1995</t>
  </si>
  <si>
    <t>0                      QW 0039000P  8945        1995</t>
  </si>
  <si>
    <t>A practical guide to clinical bacteriology / [edited by] J.R. Pattison ... [et al.].</t>
  </si>
  <si>
    <t>Chichester ; New York : J. Wiley, c1995.</t>
  </si>
  <si>
    <t>2006-11-24</t>
  </si>
  <si>
    <t>1996-09-10</t>
  </si>
  <si>
    <t>55871666:eng</t>
  </si>
  <si>
    <t>31374873</t>
  </si>
  <si>
    <t>991000835629702656</t>
  </si>
  <si>
    <t>2256489110002656</t>
  </si>
  <si>
    <t>9780471952886</t>
  </si>
  <si>
    <t>30001003441690</t>
  </si>
  <si>
    <t>893167761</t>
  </si>
  <si>
    <t>QW 50 B789b 1995</t>
  </si>
  <si>
    <t>0                      QW 0050000B  789b        1995</t>
  </si>
  <si>
    <t>Basic medical microbiology / Robert F. Boyd.</t>
  </si>
  <si>
    <t>Boston : Little, Brown, c1995.</t>
  </si>
  <si>
    <t>1995-08-14</t>
  </si>
  <si>
    <t>31331691</t>
  </si>
  <si>
    <t>991001403859702656</t>
  </si>
  <si>
    <t>2256399130002656</t>
  </si>
  <si>
    <t>9780316104456</t>
  </si>
  <si>
    <t>30001003149335</t>
  </si>
  <si>
    <t>893287395</t>
  </si>
  <si>
    <t>QW 51 B13055 2006</t>
  </si>
  <si>
    <t>0                      QW 0051000B  13055       2006</t>
  </si>
  <si>
    <t>Bacterial genomes and infectious diseases / edited by Voon L. Chan, Philip M. Sherman, Billy Bourke.</t>
  </si>
  <si>
    <t>Totowa, N.J. : Humana Press, c2006.</t>
  </si>
  <si>
    <t>2006</t>
  </si>
  <si>
    <t>2007-06-28</t>
  </si>
  <si>
    <t>2007-05-25</t>
  </si>
  <si>
    <t>1039156955:eng</t>
  </si>
  <si>
    <t>62393119</t>
  </si>
  <si>
    <t>991000629239702656</t>
  </si>
  <si>
    <t>2266361170002656</t>
  </si>
  <si>
    <t>9781588294968</t>
  </si>
  <si>
    <t>30001005242997</t>
  </si>
  <si>
    <t>893454533</t>
  </si>
  <si>
    <t>QW 51 B617b 1981</t>
  </si>
  <si>
    <t>0                      QW 0051000B  617b        1981</t>
  </si>
  <si>
    <t>Bacterial and bacteriophage genetics : an introduction / Edward A. Birge.</t>
  </si>
  <si>
    <t>Birge, Edward A. (Edward Asahel)</t>
  </si>
  <si>
    <t>New York : Spriger-Verlag, c1981.</t>
  </si>
  <si>
    <t>Springer series in microbiology</t>
  </si>
  <si>
    <t>2002-02-22</t>
  </si>
  <si>
    <t>900112:eng</t>
  </si>
  <si>
    <t>7248504</t>
  </si>
  <si>
    <t>991000996089702656</t>
  </si>
  <si>
    <t>2267785830002656</t>
  </si>
  <si>
    <t>9780387905044</t>
  </si>
  <si>
    <t>30001000228652</t>
  </si>
  <si>
    <t>893455366</t>
  </si>
  <si>
    <t>QW 51 F862m 1987</t>
  </si>
  <si>
    <t>0                      QW 0051000F  862m        1987</t>
  </si>
  <si>
    <t>Microbial genetics / David Freifelder.</t>
  </si>
  <si>
    <t>Freifelder, David, 1935-</t>
  </si>
  <si>
    <t>Boston, MA : Jones and Bartlett, c1987.</t>
  </si>
  <si>
    <t>Jones and Bartlett series in biology.</t>
  </si>
  <si>
    <t>2002-12-05</t>
  </si>
  <si>
    <t>1988-01-12</t>
  </si>
  <si>
    <t>10417040:eng</t>
  </si>
  <si>
    <t>15630709</t>
  </si>
  <si>
    <t>991001537089702656</t>
  </si>
  <si>
    <t>2262364440002656</t>
  </si>
  <si>
    <t>9780867200768</t>
  </si>
  <si>
    <t>30001000623365</t>
  </si>
  <si>
    <t>893358701</t>
  </si>
  <si>
    <t>QW 51 G3275 1993</t>
  </si>
  <si>
    <t>0                      QW 0051000G  3275        1993</t>
  </si>
  <si>
    <t>Genetics and molecular biology of anaerobic bacteria / Madeleine Sebald, editor.</t>
  </si>
  <si>
    <t>New York : Springer-Verlag, c1993.</t>
  </si>
  <si>
    <t>Brock/Springer series in contemporary bioscience</t>
  </si>
  <si>
    <t>2002-02-26</t>
  </si>
  <si>
    <t>1993-03-16</t>
  </si>
  <si>
    <t>55487291:eng</t>
  </si>
  <si>
    <t>24211989</t>
  </si>
  <si>
    <t>991001482349702656</t>
  </si>
  <si>
    <t>2255727220002656</t>
  </si>
  <si>
    <t>9780387976693</t>
  </si>
  <si>
    <t>30001002570226</t>
  </si>
  <si>
    <t>893552546</t>
  </si>
  <si>
    <t>QW 51 H418g 1964</t>
  </si>
  <si>
    <t>0                      QW 0051000H  418g        1964</t>
  </si>
  <si>
    <t>The genetics of bacteria and their viruses : studies in basic genetics and molecular biology.</t>
  </si>
  <si>
    <t>Hayes, William, 1913-1994.</t>
  </si>
  <si>
    <t>New York : Wiley, [1964]</t>
  </si>
  <si>
    <t>1964</t>
  </si>
  <si>
    <t>2002-02-27</t>
  </si>
  <si>
    <t>489911:eng</t>
  </si>
  <si>
    <t>758644618</t>
  </si>
  <si>
    <t>991000996029702656</t>
  </si>
  <si>
    <t>2262071890002656</t>
  </si>
  <si>
    <t>30001000228603</t>
  </si>
  <si>
    <t>893727162</t>
  </si>
  <si>
    <t>QW 52 A6285 1987</t>
  </si>
  <si>
    <t>0                      QW 0052000A  6285        1987</t>
  </si>
  <si>
    <t>Antibiotic inhibition of bacterial cell surface assembly and function / edited by Paul Actor ... [et al.].</t>
  </si>
  <si>
    <t>Washington, D.C. : American Society for Microbiology, c1988.</t>
  </si>
  <si>
    <t>1999-08-23</t>
  </si>
  <si>
    <t>1989-03-10</t>
  </si>
  <si>
    <t>355719642:eng</t>
  </si>
  <si>
    <t>17901409</t>
  </si>
  <si>
    <t>991001241319702656</t>
  </si>
  <si>
    <t>2268783970002656</t>
  </si>
  <si>
    <t>9780914826989</t>
  </si>
  <si>
    <t>30001001675729</t>
  </si>
  <si>
    <t>893374387</t>
  </si>
  <si>
    <t>QW 52 A631 1984</t>
  </si>
  <si>
    <t>0                      QW 0052000A  631         1984</t>
  </si>
  <si>
    <t>Antimicrobial drug resistance / edited by L.E. Bryan.</t>
  </si>
  <si>
    <t>New York : Academic Press, c1984.</t>
  </si>
  <si>
    <t>1998-10-10</t>
  </si>
  <si>
    <t>54609926:eng</t>
  </si>
  <si>
    <t>10122646</t>
  </si>
  <si>
    <t>991000995919702656</t>
  </si>
  <si>
    <t>2266178720002656</t>
  </si>
  <si>
    <t>9780121381202</t>
  </si>
  <si>
    <t>30001000228520</t>
  </si>
  <si>
    <t>893648828</t>
  </si>
  <si>
    <t>QW 52 B13045 1994</t>
  </si>
  <si>
    <t>0                      QW 0052000B  13045       1994</t>
  </si>
  <si>
    <t>Bacterial cell wall / editors, J.-M. Ghuysen, R. Hackenbeck.</t>
  </si>
  <si>
    <t>Amsterdam ; New York : Elsevier, c1994.</t>
  </si>
  <si>
    <t>New comprehensive biochemistry ; v. 27</t>
  </si>
  <si>
    <t>2000-12-03</t>
  </si>
  <si>
    <t>1995-02-16</t>
  </si>
  <si>
    <t>766648614:eng</t>
  </si>
  <si>
    <t>29256334</t>
  </si>
  <si>
    <t>991001396909702656</t>
  </si>
  <si>
    <t>2264531770002656</t>
  </si>
  <si>
    <t>9780444803030</t>
  </si>
  <si>
    <t>30001003146323</t>
  </si>
  <si>
    <t>893465457</t>
  </si>
  <si>
    <t>QW 52 F193i 1975</t>
  </si>
  <si>
    <t>0                      QW 0052000F  193i        1975</t>
  </si>
  <si>
    <t>Infectious multiple drug resistance / Falkow.</t>
  </si>
  <si>
    <t>Falkow, Stanley.</t>
  </si>
  <si>
    <t>London : Pion ; [London] : [Distributed by Academic Press], 1975.</t>
  </si>
  <si>
    <t>1975</t>
  </si>
  <si>
    <t>1988-03-03</t>
  </si>
  <si>
    <t>2522675:eng</t>
  </si>
  <si>
    <t>1800641</t>
  </si>
  <si>
    <t>991000995839702656</t>
  </si>
  <si>
    <t>2270424550002656</t>
  </si>
  <si>
    <t>9780850860498</t>
  </si>
  <si>
    <t>30001000228470</t>
  </si>
  <si>
    <t>893727161</t>
  </si>
  <si>
    <t>QW 52 I612t 1983</t>
  </si>
  <si>
    <t>0                      QW 0052000I  612t        1983</t>
  </si>
  <si>
    <t>The target of penicillin : the murein sacculus of bacterial cell walls : architecture and growth : proceedings / International FEMS Symposium, Berlin (West), Germany, March 13-18, 1983 ; editors, R. Hakenbeck, J.-V. Höltje, H. Labischinski.</t>
  </si>
  <si>
    <t>International FEMS Symposium (1983 : Berlin, Germany)</t>
  </si>
  <si>
    <t>Berlin ; New York : W. de Gruyter, c1983.</t>
  </si>
  <si>
    <t>1999-07-26</t>
  </si>
  <si>
    <t>1989-03-28</t>
  </si>
  <si>
    <t>1103024364:eng</t>
  </si>
  <si>
    <t>9852762</t>
  </si>
  <si>
    <t>991001243099702656</t>
  </si>
  <si>
    <t>2263175550002656</t>
  </si>
  <si>
    <t>9783110097054</t>
  </si>
  <si>
    <t>30001001676222</t>
  </si>
  <si>
    <t>893161792</t>
  </si>
  <si>
    <t>QW 52 I61b 1971</t>
  </si>
  <si>
    <t>0                      QW 0052000I  61b         1971</t>
  </si>
  <si>
    <t>Bacterial plasmids and antibiotic resistance / Editors: V. Krčméry, L. Rosival, T. Watanabe.</t>
  </si>
  <si>
    <t>International Symposium on Infectious Antibiotic Resistance (1st : 1971 : Smolenice, Slovakia)</t>
  </si>
  <si>
    <t>Prague : Avicenum; Berlin, New York : Springer-Verlag, 1972.</t>
  </si>
  <si>
    <t>1972</t>
  </si>
  <si>
    <t xml:space="preserve">cs </t>
  </si>
  <si>
    <t>1811805:eng</t>
  </si>
  <si>
    <t>645931</t>
  </si>
  <si>
    <t>991000995799702656</t>
  </si>
  <si>
    <t>2259838030002656</t>
  </si>
  <si>
    <t>30001000228462</t>
  </si>
  <si>
    <t>893637929</t>
  </si>
  <si>
    <t>QW 52 M684t 1971</t>
  </si>
  <si>
    <t>0                      QW 0052000M  684t        1971</t>
  </si>
  <si>
    <t>Transferable drug resistance factor R.</t>
  </si>
  <si>
    <t>Mitsuhashi, Susumu.</t>
  </si>
  <si>
    <t>Baltimore : University Park Press, [1971]</t>
  </si>
  <si>
    <t>1992-04-24</t>
  </si>
  <si>
    <t>1291114:eng</t>
  </si>
  <si>
    <t>137677</t>
  </si>
  <si>
    <t>991000995759702656</t>
  </si>
  <si>
    <t>2262153410002656</t>
  </si>
  <si>
    <t>9780839110194</t>
  </si>
  <si>
    <t>30001000228447</t>
  </si>
  <si>
    <t>893643127</t>
  </si>
  <si>
    <t>QW 52 P578 1988 v.2</t>
  </si>
  <si>
    <t>0                      QW 0052000P  578         1988                                        v.2</t>
  </si>
  <si>
    <t>Physiological models in microbiology / editors, Michael J. Bazin, James I. Prosser.</t>
  </si>
  <si>
    <t>Boca Raton, Fla. : CRC Press, c1988.</t>
  </si>
  <si>
    <t>flu</t>
  </si>
  <si>
    <t>CRC series in mathematical models in microbiology</t>
  </si>
  <si>
    <t>1988-06-07</t>
  </si>
  <si>
    <t>1988-05-16</t>
  </si>
  <si>
    <t>365532141:eng</t>
  </si>
  <si>
    <t>16228059</t>
  </si>
  <si>
    <t>991001191359702656</t>
  </si>
  <si>
    <t>2262526750002656</t>
  </si>
  <si>
    <t>9780849359552</t>
  </si>
  <si>
    <t>30001000979411</t>
  </si>
  <si>
    <t>893638096</t>
  </si>
  <si>
    <t>QW55 E607 2004</t>
  </si>
  <si>
    <t>0                      QW 0055000E  607         2004</t>
  </si>
  <si>
    <t>Environmental microbiology : methods and protocols / edited by John F.T. Spencer and Alicia L. Ragout de Spencer.</t>
  </si>
  <si>
    <t>Totowa, N.J. : Humana Press, c2004.</t>
  </si>
  <si>
    <t>Methods in biotechnology ; 16</t>
  </si>
  <si>
    <t>2005-01-14</t>
  </si>
  <si>
    <t>2004-11-08</t>
  </si>
  <si>
    <t>1034433650:eng</t>
  </si>
  <si>
    <t>54966711</t>
  </si>
  <si>
    <t>991000407209702656</t>
  </si>
  <si>
    <t>2255663680002656</t>
  </si>
  <si>
    <t>9781588291165</t>
  </si>
  <si>
    <t>30001004924819</t>
  </si>
  <si>
    <t>893723432</t>
  </si>
  <si>
    <t>QW55 P976 2004</t>
  </si>
  <si>
    <t>0                      QW 0055000P  976         2004</t>
  </si>
  <si>
    <t>Public health microbiology : methods and protocols / edited by John F.T. Spencer, Alicia L. Ragout de Spencer.</t>
  </si>
  <si>
    <t>Methods in molecular biology, 1064-3745 ; v. 268</t>
  </si>
  <si>
    <t>2004-11-02</t>
  </si>
  <si>
    <t>861539569:eng</t>
  </si>
  <si>
    <t>53477897</t>
  </si>
  <si>
    <t>991000406309702656</t>
  </si>
  <si>
    <t>2270274230002656</t>
  </si>
  <si>
    <t>9781588291172</t>
  </si>
  <si>
    <t>30001004924496</t>
  </si>
  <si>
    <t>893452089</t>
  </si>
  <si>
    <t>QW 65 M143c 1989</t>
  </si>
  <si>
    <t>0                      QW 0065000M  143c        1989</t>
  </si>
  <si>
    <t>Clinical oral microbiology / T. Wallace MacFarlane, Lakshman P. Samaranayake ; with a foreword by J.G. Collee.</t>
  </si>
  <si>
    <t>MacFarlane, T. Wallace.</t>
  </si>
  <si>
    <t>London ; Boston : Wright, c1989.</t>
  </si>
  <si>
    <t>1998-01-28</t>
  </si>
  <si>
    <t>1989-11-16</t>
  </si>
  <si>
    <t>17744237:eng</t>
  </si>
  <si>
    <t>18990463</t>
  </si>
  <si>
    <t>991001367899702656</t>
  </si>
  <si>
    <t>2267120350002656</t>
  </si>
  <si>
    <t>9780723609346</t>
  </si>
  <si>
    <t>30001001797382</t>
  </si>
  <si>
    <t>893364033</t>
  </si>
  <si>
    <t>QW 65 M478c 1983</t>
  </si>
  <si>
    <t>0                      QW 0065000M  478c        1983</t>
  </si>
  <si>
    <t>Clinical and oral microbiology / Alexander W. McCracken, Roderick A. Cawson.</t>
  </si>
  <si>
    <t>McCracken, Alexander W.</t>
  </si>
  <si>
    <t>Washington : Hemisphere Pub. Corp. ; New York : McGraw-Hill, c1983.</t>
  </si>
  <si>
    <t>1995-10-27</t>
  </si>
  <si>
    <t>404961:eng</t>
  </si>
  <si>
    <t>7553235</t>
  </si>
  <si>
    <t>991000995689702656</t>
  </si>
  <si>
    <t>2262526460002656</t>
  </si>
  <si>
    <t>30001000228397</t>
  </si>
  <si>
    <t>893831835</t>
  </si>
  <si>
    <t>QW 65 O61 1981</t>
  </si>
  <si>
    <t>0                      QW 0065000O  61          1981</t>
  </si>
  <si>
    <t>Oral biology / [edited by] Gerald I. Roth, Robert Calmes.</t>
  </si>
  <si>
    <t>St. Louis : Mosby, c1981.</t>
  </si>
  <si>
    <t>1992-09-03</t>
  </si>
  <si>
    <t>3901903644:eng</t>
  </si>
  <si>
    <t>7614717</t>
  </si>
  <si>
    <t>991000996719702656</t>
  </si>
  <si>
    <t>2267121570002656</t>
  </si>
  <si>
    <t>9780801641824</t>
  </si>
  <si>
    <t>30001000228876</t>
  </si>
  <si>
    <t>893134168</t>
  </si>
  <si>
    <t>QW 65 O618 1988</t>
  </si>
  <si>
    <t>0                      QW 0065000O  618         1988</t>
  </si>
  <si>
    <t>Oral microbiology and immunology / [edited by] Michael G. Newman, Russell Nisengard.</t>
  </si>
  <si>
    <t>Philadelphia : Saunders, c1988.</t>
  </si>
  <si>
    <t>A Saunders core textbook in dentistry.</t>
  </si>
  <si>
    <t>1989-02-15</t>
  </si>
  <si>
    <t>360263192:eng</t>
  </si>
  <si>
    <t>18019866</t>
  </si>
  <si>
    <t>991001121489702656</t>
  </si>
  <si>
    <t>2255964500002656</t>
  </si>
  <si>
    <t>9780721624204</t>
  </si>
  <si>
    <t>30001001614561</t>
  </si>
  <si>
    <t>893820925</t>
  </si>
  <si>
    <t>QW 65 O62 1983</t>
  </si>
  <si>
    <t>0                      QW 0065000O  62          1983</t>
  </si>
  <si>
    <t>Oral microbiology and infectious disease / edited by George S. Schuster.</t>
  </si>
  <si>
    <t>Baltimore ; London : Williams &amp; Wilkins, c1983.</t>
  </si>
  <si>
    <t>2nd student ed.</t>
  </si>
  <si>
    <t>2279938132:eng</t>
  </si>
  <si>
    <t>8170070</t>
  </si>
  <si>
    <t>991000996679702656</t>
  </si>
  <si>
    <t>2268521500002656</t>
  </si>
  <si>
    <t>9780683076110</t>
  </si>
  <si>
    <t>30001000228868</t>
  </si>
  <si>
    <t>893358113</t>
  </si>
  <si>
    <t>QW 65 O63 1982</t>
  </si>
  <si>
    <t>0                      QW 0065000O  63          1982</t>
  </si>
  <si>
    <t>Oral microbiology : with basic microbiology and immunology / edited by William A. Nolte.</t>
  </si>
  <si>
    <t>St. Louis : Mosby, c1982.</t>
  </si>
  <si>
    <t>3900993694:eng</t>
  </si>
  <si>
    <t>7795078</t>
  </si>
  <si>
    <t>991000748849702656</t>
  </si>
  <si>
    <t>2272546880002656</t>
  </si>
  <si>
    <t>9780801636974</t>
  </si>
  <si>
    <t>30001000046849</t>
  </si>
  <si>
    <t>893283634</t>
  </si>
  <si>
    <t>QW 125.5.M9 M9952 1998</t>
  </si>
  <si>
    <t>0                      QW 0125500M  9                  M  9952        1998</t>
  </si>
  <si>
    <t>Mycobacteria protocols / edited by Tanya Parish and Neil G. Stoker.</t>
  </si>
  <si>
    <t>Totowa, N.J. : Humana Press, c1998.</t>
  </si>
  <si>
    <t>Methods in molecular biology ; 101</t>
  </si>
  <si>
    <t>2009-06-23</t>
  </si>
  <si>
    <t>1999-02-05</t>
  </si>
  <si>
    <t>895342004:eng</t>
  </si>
  <si>
    <t>39170391</t>
  </si>
  <si>
    <t>991001533329702656</t>
  </si>
  <si>
    <t>2270204790002656</t>
  </si>
  <si>
    <t>9780896034716</t>
  </si>
  <si>
    <t>30001003962166</t>
  </si>
  <si>
    <t>893364228</t>
  </si>
  <si>
    <t>QW 127.5.C5 C645 1988</t>
  </si>
  <si>
    <t>0                      QW 0127500C  5                  C  645         1988</t>
  </si>
  <si>
    <t>Clostridium difficile : its role in intestinal disease / edited by Rial D. Rolfe, Sydney M. Finegold.</t>
  </si>
  <si>
    <t>San Diego : Academic Press, c1988.</t>
  </si>
  <si>
    <t>1989-11-14</t>
  </si>
  <si>
    <t>1988-08-18</t>
  </si>
  <si>
    <t>899733848:eng</t>
  </si>
  <si>
    <t>16128827</t>
  </si>
  <si>
    <t>991001421379702656</t>
  </si>
  <si>
    <t>2269599810002656</t>
  </si>
  <si>
    <t>9780125934107</t>
  </si>
  <si>
    <t>30001001182387</t>
  </si>
  <si>
    <t>893134563</t>
  </si>
  <si>
    <t>QW 131 P973 1998</t>
  </si>
  <si>
    <t>0                      QW 0131000P  973         1998</t>
  </si>
  <si>
    <t>Pseudomonas / edited by Thomas C. Montie.</t>
  </si>
  <si>
    <t>New York : Plenum Press, c1998.</t>
  </si>
  <si>
    <t>Biotechnology handbooks ; v. 10</t>
  </si>
  <si>
    <t>2008-11-22</t>
  </si>
  <si>
    <t>1999-07-09</t>
  </si>
  <si>
    <t>5218520977:eng</t>
  </si>
  <si>
    <t>39727963</t>
  </si>
  <si>
    <t>991000794989702656</t>
  </si>
  <si>
    <t>2268855840002656</t>
  </si>
  <si>
    <t>9780306458491</t>
  </si>
  <si>
    <t>30001004077923</t>
  </si>
  <si>
    <t>893376878</t>
  </si>
  <si>
    <t>QW 138.5 V821 1983</t>
  </si>
  <si>
    <t>0                      QW 0138500V  821         1983</t>
  </si>
  <si>
    <t>The Virulence of Escherichia coli : reviews and methods / edited by M. Sussman.</t>
  </si>
  <si>
    <t>London ; Orlando : Published for the Society for General Microbiology by Academic Press, c1985.</t>
  </si>
  <si>
    <t>Special publications of the Society for General Microbiology ; 13</t>
  </si>
  <si>
    <t>794716571:eng</t>
  </si>
  <si>
    <t>10849736</t>
  </si>
  <si>
    <t>991000996389702656</t>
  </si>
  <si>
    <t>2260498600002656</t>
  </si>
  <si>
    <t>9780126775204</t>
  </si>
  <si>
    <t>30001000228751</t>
  </si>
  <si>
    <t>893278592</t>
  </si>
  <si>
    <t>QW 140 E38s 1959</t>
  </si>
  <si>
    <t>0                      QW 0140000E  38s         1959</t>
  </si>
  <si>
    <t>Staphylococcus pyogenes and its relation to disease.</t>
  </si>
  <si>
    <t>Elek, Stephen Dyonis, 1914-</t>
  </si>
  <si>
    <t>Edinburgh : Livingstone, 1959.</t>
  </si>
  <si>
    <t>1959</t>
  </si>
  <si>
    <t>2001-09-08</t>
  </si>
  <si>
    <t>430968224:eng</t>
  </si>
  <si>
    <t>2399517</t>
  </si>
  <si>
    <t>991000996309702656</t>
  </si>
  <si>
    <t>2256423140002656</t>
  </si>
  <si>
    <t>30001000228744</t>
  </si>
  <si>
    <t>893455367</t>
  </si>
  <si>
    <t>QW 140 W249s 1972</t>
  </si>
  <si>
    <t>0                      QW 0140000W  249s        1972</t>
  </si>
  <si>
    <t>Streptococci and streptococcal diseases : recognition, understanding, and management / edited by Lewis W. Wannamaker [and] John M. Matsen.</t>
  </si>
  <si>
    <t>Wannamaker, Lewis W., 1923-</t>
  </si>
  <si>
    <t>New York : Academic Press, 1972.</t>
  </si>
  <si>
    <t>2008-04-22</t>
  </si>
  <si>
    <t>909338126:eng</t>
  </si>
  <si>
    <t>570367</t>
  </si>
  <si>
    <t>991000996349702656</t>
  </si>
  <si>
    <t>2269877100002656</t>
  </si>
  <si>
    <t>30001000228736</t>
  </si>
  <si>
    <t>893284271</t>
  </si>
  <si>
    <t>QW 142.5.A8 L714s 1991</t>
  </si>
  <si>
    <t>0                      QW 0142500A  8                  L  714s        1991</t>
  </si>
  <si>
    <t>Studies on the impact of lactobacillus acidophilus on human microflora and some cancer-related intestinal ecological variables / by Ann Lidbeck.</t>
  </si>
  <si>
    <t>Lidbeck, Ann.</t>
  </si>
  <si>
    <t>Stockholm : Kong. Carolinska Medico Chirurgiska Institutet, 1991.</t>
  </si>
  <si>
    <t xml:space="preserve">sw </t>
  </si>
  <si>
    <t>1992-01-21</t>
  </si>
  <si>
    <t>1992-01-16</t>
  </si>
  <si>
    <t>28405617:eng</t>
  </si>
  <si>
    <t>25195802</t>
  </si>
  <si>
    <t>991001029479702656</t>
  </si>
  <si>
    <t>2266279760002656</t>
  </si>
  <si>
    <t>9789162804367</t>
  </si>
  <si>
    <t>30001002243444</t>
  </si>
  <si>
    <t>893273616</t>
  </si>
  <si>
    <t>QW 142.5.C6 A552p 1983</t>
  </si>
  <si>
    <t>0                      QW 0142500C  6                  A  552p        1983</t>
  </si>
  <si>
    <t>Physiological studies of oral streptococci with emphasis on peptide metabolism / Carita Andersson.</t>
  </si>
  <si>
    <t>Andersson, Carita.</t>
  </si>
  <si>
    <t>43415148:eng</t>
  </si>
  <si>
    <t>9668483</t>
  </si>
  <si>
    <t>991000996269702656</t>
  </si>
  <si>
    <t>2267340860002656</t>
  </si>
  <si>
    <t>30001000228728</t>
  </si>
  <si>
    <t>893369015</t>
  </si>
  <si>
    <t>QW 142.5.C6 B821s 1988</t>
  </si>
  <si>
    <t>0                      QW 0142500C  6                  B  821s        1988</t>
  </si>
  <si>
    <t>Studies on S̲t̲r̲e̲p̲t̲o̲c̲o̲c̲c̲u̲s̲ m̲u̲t̲a̲n̲s̲ glucans with special reference to cell adhesion / by Christian Branting.</t>
  </si>
  <si>
    <t>Branting, Christina.</t>
  </si>
  <si>
    <t>Stockholm : Kongl. Carolinska Medico Chirurgiska Institutet, c1988.</t>
  </si>
  <si>
    <t>1989-01-25</t>
  </si>
  <si>
    <t>16697369:eng</t>
  </si>
  <si>
    <t>18171129</t>
  </si>
  <si>
    <t>991001102729702656</t>
  </si>
  <si>
    <t>2268438730002656</t>
  </si>
  <si>
    <t>9789179004422</t>
  </si>
  <si>
    <t>30001001610056</t>
  </si>
  <si>
    <t>893731661</t>
  </si>
  <si>
    <t>QW150 S888c 1971</t>
  </si>
  <si>
    <t>0                      QW 0150000S  888c        1971</t>
  </si>
  <si>
    <t>Chlamydia and chlamydia-induced diseases.</t>
  </si>
  <si>
    <t>Storz, Johannes.</t>
  </si>
  <si>
    <t>Springfield, Ill. : Thomas, [c1971]</t>
  </si>
  <si>
    <t>1307056:eng</t>
  </si>
  <si>
    <t>141614</t>
  </si>
  <si>
    <t>991000996129702656</t>
  </si>
  <si>
    <t>2260127480002656</t>
  </si>
  <si>
    <t>30001000228660</t>
  </si>
  <si>
    <t>893740658</t>
  </si>
  <si>
    <t>QW 152 M626 1988</t>
  </si>
  <si>
    <t>0                      QW 0152000M  626         1988</t>
  </si>
  <si>
    <t>Microbiology of chlamydia / editor, Almen L. Barron.</t>
  </si>
  <si>
    <t>2009-02-23</t>
  </si>
  <si>
    <t>1989-01-04</t>
  </si>
  <si>
    <t>13523529:eng</t>
  </si>
  <si>
    <t>16718642</t>
  </si>
  <si>
    <t>991001107359702656</t>
  </si>
  <si>
    <t>2272758480002656</t>
  </si>
  <si>
    <t>9780849368776</t>
  </si>
  <si>
    <t>30001001611377</t>
  </si>
  <si>
    <t>893465204</t>
  </si>
  <si>
    <t>QW 154 C199 1989</t>
  </si>
  <si>
    <t>0                      QW 0154000C  199         1989</t>
  </si>
  <si>
    <t>Campylobacter pylori and gastroduodenal disease / edited by B.J. Rathbone, R.V. Heatley.</t>
  </si>
  <si>
    <t>Oxford ; London : Blackwell Scientific, c1989.</t>
  </si>
  <si>
    <t>1989-12-13</t>
  </si>
  <si>
    <t>350131388:eng</t>
  </si>
  <si>
    <t>21166182</t>
  </si>
  <si>
    <t>991001383339702656</t>
  </si>
  <si>
    <t>2262334350002656</t>
  </si>
  <si>
    <t>30001001799206</t>
  </si>
  <si>
    <t>893560998</t>
  </si>
  <si>
    <t>QW 154 H4745 1993</t>
  </si>
  <si>
    <t>0                      QW 0154000H  4745        1993</t>
  </si>
  <si>
    <t>Helicobacter pylori : biology and clinical practice / editors, C. Stewart Goodwin, Bryan W. Worsley.</t>
  </si>
  <si>
    <t>Boca Raton, Fla. : CRC Press, c1993.</t>
  </si>
  <si>
    <t>2005-06-20</t>
  </si>
  <si>
    <t>1994-04-05</t>
  </si>
  <si>
    <t>836750723:eng</t>
  </si>
  <si>
    <t>26502681</t>
  </si>
  <si>
    <t>991000669249702656</t>
  </si>
  <si>
    <t>2257063260002656</t>
  </si>
  <si>
    <t>9780849364518</t>
  </si>
  <si>
    <t>30001002695650</t>
  </si>
  <si>
    <t>893464508</t>
  </si>
  <si>
    <t>QW 154 H4758 1997</t>
  </si>
  <si>
    <t>0                      QW 0154000H  4758        1997</t>
  </si>
  <si>
    <t>Helicobacter pylori protocols / edited by Christopher L. Clayton, Harry L.T. Mobley.</t>
  </si>
  <si>
    <t>Totowa, N.J. : Humana Press, c1997.</t>
  </si>
  <si>
    <t>Methods in molecular medicine</t>
  </si>
  <si>
    <t>1997-12-13</t>
  </si>
  <si>
    <t>1997-11-07</t>
  </si>
  <si>
    <t>350092392:eng</t>
  </si>
  <si>
    <t>36458245</t>
  </si>
  <si>
    <t>991001261339702656</t>
  </si>
  <si>
    <t>2267004840002656</t>
  </si>
  <si>
    <t>9780896033818</t>
  </si>
  <si>
    <t>30001003691229</t>
  </si>
  <si>
    <t>893651930</t>
  </si>
  <si>
    <t>QW 160 B624i 1980</t>
  </si>
  <si>
    <t>0                      QW 0160000B  624i        1980</t>
  </si>
  <si>
    <t>Introduction to environmental virology / Gabriel Bitton.</t>
  </si>
  <si>
    <t>Bitton, Gabriel.</t>
  </si>
  <si>
    <t>New York : Wiley, c1980.</t>
  </si>
  <si>
    <t>Wiley-Interscience publication</t>
  </si>
  <si>
    <t>1999-10-09</t>
  </si>
  <si>
    <t>21785684:eng</t>
  </si>
  <si>
    <t>6195861</t>
  </si>
  <si>
    <t>991000996829702656</t>
  </si>
  <si>
    <t>2257044010002656</t>
  </si>
  <si>
    <t>9780471042471</t>
  </si>
  <si>
    <t>30001000228918</t>
  </si>
  <si>
    <t>893273583</t>
  </si>
  <si>
    <t>QW 160 B964v 1959</t>
  </si>
  <si>
    <t>0                      QW 0160000B  964v        1959</t>
  </si>
  <si>
    <t>The viruses : biochemical, biological, and biophysical properties / edited by F. M. Burnet [and] W. M. Stanley.</t>
  </si>
  <si>
    <t>Burnet, F. M. (Frank Macfarlane), Sir, 1899-1985 editor.</t>
  </si>
  <si>
    <t>New York : Academic Press, 1959.</t>
  </si>
  <si>
    <t>1989-04-18</t>
  </si>
  <si>
    <t>804680507:eng</t>
  </si>
  <si>
    <t>326764</t>
  </si>
  <si>
    <t>991000996869702656</t>
  </si>
  <si>
    <t>2272045450002656</t>
  </si>
  <si>
    <t>30001000228942</t>
  </si>
  <si>
    <t>893736128</t>
  </si>
  <si>
    <t>30001000228934</t>
  </si>
  <si>
    <t>893743594</t>
  </si>
  <si>
    <t>30001000228926</t>
  </si>
  <si>
    <t>893740659</t>
  </si>
  <si>
    <t>QW 160 D542b 1926</t>
  </si>
  <si>
    <t>0                      QW 0160000D  542b        1926</t>
  </si>
  <si>
    <t>The bacteriophage and its behavior / by F. d'Herelle.</t>
  </si>
  <si>
    <t>D'Herelle, Félix.</t>
  </si>
  <si>
    <t>Baltimore : Williams &amp; Wilkins, c1926.</t>
  </si>
  <si>
    <t>1926</t>
  </si>
  <si>
    <t>194486352:eng</t>
  </si>
  <si>
    <t>2394374</t>
  </si>
  <si>
    <t>991000997149702656</t>
  </si>
  <si>
    <t>2271827960002656</t>
  </si>
  <si>
    <t>30001000229015</t>
  </si>
  <si>
    <t>893727163</t>
  </si>
  <si>
    <t>QW 160 D879v 1988</t>
  </si>
  <si>
    <t>0                      QW 0160000D  879v        1988</t>
  </si>
  <si>
    <t>Virology / Renato Dulbecco, Harold S. Ginsberg.</t>
  </si>
  <si>
    <t>Dulbecco, Renato, 1914-2012.</t>
  </si>
  <si>
    <t>Philadelphia : Lippincott, c1988.</t>
  </si>
  <si>
    <t>2007-03-22</t>
  </si>
  <si>
    <t>1989-01-07</t>
  </si>
  <si>
    <t>12295771:eng</t>
  </si>
  <si>
    <t>16470919</t>
  </si>
  <si>
    <t>991001107539702656</t>
  </si>
  <si>
    <t>2263521050002656</t>
  </si>
  <si>
    <t>9780397509058</t>
  </si>
  <si>
    <t>30001001611419</t>
  </si>
  <si>
    <t>893268084</t>
  </si>
  <si>
    <t>QW 160 F293b 1967</t>
  </si>
  <si>
    <t>0                      QW 0160000F  293b        1967</t>
  </si>
  <si>
    <t>The biochemistry of virus replication : Symposium organizer: A. P. Nygaard. Edited by S. G. Laland and L. O. Frøholm.</t>
  </si>
  <si>
    <t>Symposium on the Biochemistry of Virus Replication (1967 : Oslo, Norway)</t>
  </si>
  <si>
    <t>Olso : Universitetsforlaget; London, New York, Academic Press, [c1968]</t>
  </si>
  <si>
    <t>1968</t>
  </si>
  <si>
    <t>Proceedings of the meeting of the Federation of European Biochemical Societies ; [v. 10]</t>
  </si>
  <si>
    <t>1999-10-12</t>
  </si>
  <si>
    <t>10278967604:eng</t>
  </si>
  <si>
    <t>14489914</t>
  </si>
  <si>
    <t>991000997179702656</t>
  </si>
  <si>
    <t>2265454860002656</t>
  </si>
  <si>
    <t>30001000229023</t>
  </si>
  <si>
    <t>893816023</t>
  </si>
  <si>
    <t>QW 160 F463 1996</t>
  </si>
  <si>
    <t>0                      QW 0160000F  463         1996</t>
  </si>
  <si>
    <t>Fields virology / editors-in-chief, Bernard N. Fields, David M. Knipe, Peter M. Howley ; associate editors, Robert M. Chanock ... [ et al.].</t>
  </si>
  <si>
    <t>Philadelphia : Lippincott-Raven Publishers, c1996.</t>
  </si>
  <si>
    <t>2003-11-06</t>
  </si>
  <si>
    <t>2004-06-14</t>
  </si>
  <si>
    <t>1998-02-16</t>
  </si>
  <si>
    <t>10567279869:eng</t>
  </si>
  <si>
    <t>32512536</t>
  </si>
  <si>
    <t>991001261359702656</t>
  </si>
  <si>
    <t>2255042240002656</t>
  </si>
  <si>
    <t>9780781702539</t>
  </si>
  <si>
    <t>30001003691302</t>
  </si>
  <si>
    <t>893638155</t>
  </si>
  <si>
    <t>30001003691294</t>
  </si>
  <si>
    <t>893649022</t>
  </si>
  <si>
    <t>QW160 F463 2001 V.1</t>
  </si>
  <si>
    <t>0                      QW 0160000F  463         2001                                        V.1</t>
  </si>
  <si>
    <t>Fields' virology / editors-in-chief, David M. Knipe, Peter M. Howley ; associate editors, Diane E. Griffin ... [et al.].</t>
  </si>
  <si>
    <t>Philadelphia : Lippincott Williams &amp; Wilkins, c2001.</t>
  </si>
  <si>
    <t>2001</t>
  </si>
  <si>
    <t>2006-10-29</t>
  </si>
  <si>
    <t>2002-12-12</t>
  </si>
  <si>
    <t>10278504861:eng</t>
  </si>
  <si>
    <t>45500371</t>
  </si>
  <si>
    <t>991000333339702656</t>
  </si>
  <si>
    <t>2272697530002656</t>
  </si>
  <si>
    <t>9780781718325</t>
  </si>
  <si>
    <t>30001004500734</t>
  </si>
  <si>
    <t>893537074</t>
  </si>
  <si>
    <t>30001004500726</t>
  </si>
  <si>
    <t>893542263</t>
  </si>
  <si>
    <t>QW 160 F799v 1988</t>
  </si>
  <si>
    <t>0                      QW 0160000F  799v        1988</t>
  </si>
  <si>
    <t>Virology / Heinz Fraenkel-Conrat, Paul C. Kimball, Jay A. Levy.</t>
  </si>
  <si>
    <t>Fraenkel-Conrat, Heinz, 1910-1999.</t>
  </si>
  <si>
    <t>Englewood Cliffs, N.J. : Prentice-Hall, c1988.</t>
  </si>
  <si>
    <t>1997-10-11</t>
  </si>
  <si>
    <t>1988-08-04</t>
  </si>
  <si>
    <t>15372982:eng</t>
  </si>
  <si>
    <t>17200063</t>
  </si>
  <si>
    <t>991001420389702656</t>
  </si>
  <si>
    <t>2255406910002656</t>
  </si>
  <si>
    <t>9780139421860</t>
  </si>
  <si>
    <t>30001001182130</t>
  </si>
  <si>
    <t>893451174</t>
  </si>
  <si>
    <t>QW 160 G326 1978</t>
  </si>
  <si>
    <t>0                      QW 0160000G  326         1978</t>
  </si>
  <si>
    <t>General virology / S. E. Luria ... [et al.].</t>
  </si>
  <si>
    <t>New York : Wiley, c1978.</t>
  </si>
  <si>
    <t>3d ed.</t>
  </si>
  <si>
    <t>2008-10-04</t>
  </si>
  <si>
    <t>365446031:eng</t>
  </si>
  <si>
    <t>3071766</t>
  </si>
  <si>
    <t>991000748769702656</t>
  </si>
  <si>
    <t>2267843630002656</t>
  </si>
  <si>
    <t>9780471556404</t>
  </si>
  <si>
    <t>30001000046831</t>
  </si>
  <si>
    <t>893540390</t>
  </si>
  <si>
    <t>QW 160 H813v 1974</t>
  </si>
  <si>
    <t>0                      QW 0160000H  813v        1974</t>
  </si>
  <si>
    <t>Virus structure / Robert W. Horne.</t>
  </si>
  <si>
    <t>Horne, Robert W. (Robert William)</t>
  </si>
  <si>
    <t>New York : Academic Press, [1974]</t>
  </si>
  <si>
    <t>Ultrastructure of cells and organisms</t>
  </si>
  <si>
    <t>2002-11-04</t>
  </si>
  <si>
    <t>1671120:eng</t>
  </si>
  <si>
    <t>815007</t>
  </si>
  <si>
    <t>991000997359702656</t>
  </si>
  <si>
    <t>2272557520002656</t>
  </si>
  <si>
    <t>9780123557506</t>
  </si>
  <si>
    <t>30001000229056</t>
  </si>
  <si>
    <t>893121089</t>
  </si>
  <si>
    <t>QW 160 I605 1970</t>
  </si>
  <si>
    <t>0                      QW 0160000I  605         1970</t>
  </si>
  <si>
    <t>Viruses affecting man and animals / Compiled and edited by Murray Sanders and Morris Schaeffer.</t>
  </si>
  <si>
    <t>International Symposium on Medical and Applied Virology (3rd : 1969 : Fort Lauderdale, Fla.)</t>
  </si>
  <si>
    <t>St. Louis : W. H. Green, [1971]</t>
  </si>
  <si>
    <t>1288877:eng</t>
  </si>
  <si>
    <t>137063</t>
  </si>
  <si>
    <t>991000997439702656</t>
  </si>
  <si>
    <t>2262129160002656</t>
  </si>
  <si>
    <t>30001000229072</t>
  </si>
  <si>
    <t>893121090</t>
  </si>
  <si>
    <t>QW 160 I606 1983m</t>
  </si>
  <si>
    <t>0                      QW 0160000I  606         1983m</t>
  </si>
  <si>
    <t>Medical virology III : proceedings of the 1983 International Symposium on Medical Virology, held on October 19-21, 1983, in Anaheim, California, U.S.A. / editors, Luis M. de la Maza and Ellena M. Peterson.</t>
  </si>
  <si>
    <t>International Symposium on Medical Virology (1983 : Anaheim, Calif.)</t>
  </si>
  <si>
    <t>New York : Elsevier, c1984.</t>
  </si>
  <si>
    <t>1992-03-30</t>
  </si>
  <si>
    <t>2907022:eng</t>
  </si>
  <si>
    <t>10753105</t>
  </si>
  <si>
    <t>991000997549702656</t>
  </si>
  <si>
    <t>2265412980002656</t>
  </si>
  <si>
    <t>9780444008299</t>
  </si>
  <si>
    <t>30001000229098</t>
  </si>
  <si>
    <t>893826354</t>
  </si>
  <si>
    <t>QW 160 I606 1985m</t>
  </si>
  <si>
    <t>0                      QW 0160000I  606         1985m</t>
  </si>
  <si>
    <t>Medical virology V : proceedings of the 1985 International Symposium on Medical Virology, held on October 17-19, 1985, in Anaheim, California, U.S.A. / editors, Luis M. de la Maza and Ellena M. Peterson.</t>
  </si>
  <si>
    <t>International Symposium on Medical Virology (1985 : Anaheim, Calif.)</t>
  </si>
  <si>
    <t>Hillsdale, N.J. : Lawrence Erlbaum Associates, c1986.</t>
  </si>
  <si>
    <t>1989-03-22</t>
  </si>
  <si>
    <t>1987-09-23</t>
  </si>
  <si>
    <t>1018101786:eng</t>
  </si>
  <si>
    <t>15963159</t>
  </si>
  <si>
    <t>991001269699702656</t>
  </si>
  <si>
    <t>2263250300002656</t>
  </si>
  <si>
    <t>9780898598094</t>
  </si>
  <si>
    <t>30001000354516</t>
  </si>
  <si>
    <t>893161822</t>
  </si>
  <si>
    <t>QW 160 I606 1986m</t>
  </si>
  <si>
    <t>0                      QW 0160000I  606         1986m</t>
  </si>
  <si>
    <t>Medical virology VI : proceedings of the 1986 International Symposium on Medical Virology, held on November 12-14, 1986, in Anaheim, California, U.S.A. / editors, Luis M. de la Maza and Ellena M. Peterson.</t>
  </si>
  <si>
    <t>International Symposium on Medical Virology (1986 : Anaheim, Calif.)</t>
  </si>
  <si>
    <t>Amsterdam ; New York : Elsevier ; New York, NY, USA : Sole distributors for the USA and Canada, Elsevier Science Pub. Co., c1987.</t>
  </si>
  <si>
    <t>International congress series</t>
  </si>
  <si>
    <t>1989-04-11</t>
  </si>
  <si>
    <t>1989-02-09</t>
  </si>
  <si>
    <t>11692594:eng</t>
  </si>
  <si>
    <t>16088113</t>
  </si>
  <si>
    <t>991001115829702656</t>
  </si>
  <si>
    <t>2254725270002656</t>
  </si>
  <si>
    <t>9780444809056</t>
  </si>
  <si>
    <t>30001001613241</t>
  </si>
  <si>
    <t>893731672</t>
  </si>
  <si>
    <t>QW 160 I606m 1987</t>
  </si>
  <si>
    <t>0                      QW 0160000I  606m        1987</t>
  </si>
  <si>
    <t>Medical virology VII : proceedings of the 1987 International Symposium on Medical Virology, held on November 12-14, 1987, in Anaheim, California, / editors, Luis M. de la Maza and Ellena M. Peterson.</t>
  </si>
  <si>
    <t>International Symposium on Medical Virology (1987 : Anaheim, Calif.)</t>
  </si>
  <si>
    <t>Amsterdam ; New York : Elsevier ; New York, NY, USA : Sole distributors for the USA and Canada, Elsevier Science Pub. Co., c1988.</t>
  </si>
  <si>
    <t>1997-07-28</t>
  </si>
  <si>
    <t>999098918:eng</t>
  </si>
  <si>
    <t>19391022</t>
  </si>
  <si>
    <t>991001115869702656</t>
  </si>
  <si>
    <t>2256720000002656</t>
  </si>
  <si>
    <t>9780444810083</t>
  </si>
  <si>
    <t>30001001613266</t>
  </si>
  <si>
    <t>893638047</t>
  </si>
  <si>
    <t>QW 160 M249v 1980</t>
  </si>
  <si>
    <t>0                      QW 0160000M  249v        1980</t>
  </si>
  <si>
    <t>Viral cytopathology / authors, Hubert H. Malherbe, Margaret Strickland-Cholmley.</t>
  </si>
  <si>
    <t>Malherbe, Hubert H.</t>
  </si>
  <si>
    <t>Boca Raton, Fla. : CRC Press, c1980.</t>
  </si>
  <si>
    <t>2000-10-06</t>
  </si>
  <si>
    <t>508702:eng</t>
  </si>
  <si>
    <t>6043083</t>
  </si>
  <si>
    <t>991000997599702656</t>
  </si>
  <si>
    <t>2259489540002656</t>
  </si>
  <si>
    <t>9780849355677</t>
  </si>
  <si>
    <t>30001000229114</t>
  </si>
  <si>
    <t>893465106</t>
  </si>
  <si>
    <t>QW 160 M592</t>
  </si>
  <si>
    <t>0                      QW 0160000M  592</t>
  </si>
  <si>
    <t>Methods in virology / edited by Karl Maramorosch and Hilary Koprowski.</t>
  </si>
  <si>
    <t>New York ; London : Academic Press, 1967-1968.</t>
  </si>
  <si>
    <t>1967</t>
  </si>
  <si>
    <t>1989-04-16</t>
  </si>
  <si>
    <t>352985358:eng</t>
  </si>
  <si>
    <t>13545556</t>
  </si>
  <si>
    <t>991000998179702656</t>
  </si>
  <si>
    <t>2269192920002656</t>
  </si>
  <si>
    <t>30001000229296</t>
  </si>
  <si>
    <t>893731591</t>
  </si>
  <si>
    <t>30001000229320</t>
  </si>
  <si>
    <t>893731590</t>
  </si>
  <si>
    <t>30001000229312</t>
  </si>
  <si>
    <t>893736130</t>
  </si>
  <si>
    <t>30001000229304</t>
  </si>
  <si>
    <t>893731589</t>
  </si>
  <si>
    <t>QW 160 S989c 1964</t>
  </si>
  <si>
    <t>0                      QW 0160000S  989c        1964</t>
  </si>
  <si>
    <t>Ciba Foundation Symposium : Cellular Biology of Myxovirus Infections; [proceedings] / Edited by G.E.W. Wolstenholme and Julie Knight.</t>
  </si>
  <si>
    <t>Symposium on Cellular Biology of Myxovirus Infections (1964 : London, England)</t>
  </si>
  <si>
    <t>Boston : Little, Brown, 1964.</t>
  </si>
  <si>
    <t>Cellular biology of myxovirus infections</t>
  </si>
  <si>
    <t>2005-10-01</t>
  </si>
  <si>
    <t>147140433:eng</t>
  </si>
  <si>
    <t>30921371</t>
  </si>
  <si>
    <t>991000998009702656</t>
  </si>
  <si>
    <t>2256598600002656</t>
  </si>
  <si>
    <t>30001000229262</t>
  </si>
  <si>
    <t>893278594</t>
  </si>
  <si>
    <t>QW 160 V819 1986</t>
  </si>
  <si>
    <t>0                      QW 0160000V  819         1986</t>
  </si>
  <si>
    <t>Virology / Dale A. Stringfellow ... [et al.].</t>
  </si>
  <si>
    <t>Kalamazoo, Mich. : Upjohn, c1986.</t>
  </si>
  <si>
    <t>miu</t>
  </si>
  <si>
    <t>SCOPE publication</t>
  </si>
  <si>
    <t>428483391:eng</t>
  </si>
  <si>
    <t>16854452</t>
  </si>
  <si>
    <t>991001103129702656</t>
  </si>
  <si>
    <t>2255223150002656</t>
  </si>
  <si>
    <t>30001001610114</t>
  </si>
  <si>
    <t>893648900</t>
  </si>
  <si>
    <t>QW 160 V819 1990</t>
  </si>
  <si>
    <t>0                      QW 0160000V  819         1990</t>
  </si>
  <si>
    <t>Fields virology / editors-in-chief, Bernard N. Fields, David M. Knipe ; associate editors, Robert M. Chanock ... [et. al.].</t>
  </si>
  <si>
    <t>Virology (Raven Press)</t>
  </si>
  <si>
    <t>New York : Raven Press, c1990.</t>
  </si>
  <si>
    <t>1993-03-03</t>
  </si>
  <si>
    <t>4143988512:eng</t>
  </si>
  <si>
    <t>20318672</t>
  </si>
  <si>
    <t>991001431829702656</t>
  </si>
  <si>
    <t>2258014430002656</t>
  </si>
  <si>
    <t>9780881675528</t>
  </si>
  <si>
    <t>30001002529511</t>
  </si>
  <si>
    <t>893552501</t>
  </si>
  <si>
    <t>2000-05-07</t>
  </si>
  <si>
    <t>30001002529537</t>
  </si>
  <si>
    <t>893546711</t>
  </si>
  <si>
    <t>QW 160 V8195 1985</t>
  </si>
  <si>
    <t>0                      QW 0160000V  8195        1985</t>
  </si>
  <si>
    <t>Virology--a practical approach / edited by B.W.J. Mahy.</t>
  </si>
  <si>
    <t>Oxford ; Washington DC : IRL Press, c1985.</t>
  </si>
  <si>
    <t>Practical approach series</t>
  </si>
  <si>
    <t>1988-04-29</t>
  </si>
  <si>
    <t>4417308381:eng</t>
  </si>
  <si>
    <t>12751642</t>
  </si>
  <si>
    <t>991000997819702656</t>
  </si>
  <si>
    <t>2269195010002656</t>
  </si>
  <si>
    <t>9780904147780</t>
  </si>
  <si>
    <t>30001000229197</t>
  </si>
  <si>
    <t>893557498</t>
  </si>
  <si>
    <t>QW 160 V82138 1993</t>
  </si>
  <si>
    <t>0                      QW 0160000V  82138       1993</t>
  </si>
  <si>
    <t>Viruses and virus-like agents in disease : 2nd Karger symposium, Basel, March 7-9, 1993 / editors, Rolf M. Zinkernagel, Werner Stauffacher.</t>
  </si>
  <si>
    <t>Basel ; New York : Karger, c1993.</t>
  </si>
  <si>
    <t xml:space="preserve">sz </t>
  </si>
  <si>
    <t>1999-11-01</t>
  </si>
  <si>
    <t>1994-09-06</t>
  </si>
  <si>
    <t>364552127:eng</t>
  </si>
  <si>
    <t>28346251</t>
  </si>
  <si>
    <t>991000674039702656</t>
  </si>
  <si>
    <t>2264693650002656</t>
  </si>
  <si>
    <t>9783805557856</t>
  </si>
  <si>
    <t>30001002696476</t>
  </si>
  <si>
    <t>893160876</t>
  </si>
  <si>
    <t>QW 161 B1315 1988</t>
  </si>
  <si>
    <t>0                      QW 0161000B  1315        1988</t>
  </si>
  <si>
    <t>The Bacteriophages / edited by Richard Calendar.</t>
  </si>
  <si>
    <t>New York : Plenum Press, c1988-</t>
  </si>
  <si>
    <t>The Viruses.</t>
  </si>
  <si>
    <t>1051909471:eng</t>
  </si>
  <si>
    <t>17675040</t>
  </si>
  <si>
    <t>991001122719702656</t>
  </si>
  <si>
    <t>2267807120002656</t>
  </si>
  <si>
    <t>9780306427305</t>
  </si>
  <si>
    <t>30001001614777</t>
  </si>
  <si>
    <t>893465212</t>
  </si>
  <si>
    <t>QW 161.5.C6 P975g 1992</t>
  </si>
  <si>
    <t>0                      QW 0161500C  6                  P  975g        1992</t>
  </si>
  <si>
    <t>A genetic switch : phage [lambda] and higher organisms / by Mark Ptashne.</t>
  </si>
  <si>
    <t>Ptashne, Mark.</t>
  </si>
  <si>
    <t>Cambridge, Mass. : Cell Press : Blackwell Scientific Publications, c1992.</t>
  </si>
  <si>
    <t>1997-10-14</t>
  </si>
  <si>
    <t>3769306552:eng</t>
  </si>
  <si>
    <t>25713934</t>
  </si>
  <si>
    <t>991001139679702656</t>
  </si>
  <si>
    <t>2262711700002656</t>
  </si>
  <si>
    <t>9780865422094</t>
  </si>
  <si>
    <t>30001003629179</t>
  </si>
  <si>
    <t>893450898</t>
  </si>
  <si>
    <t>QW 164 M716 1977</t>
  </si>
  <si>
    <t>0                      QW 0164000M  716         1977</t>
  </si>
  <si>
    <t>The Molecular biology of animal viruses / edited by Debi Prosad Nayak.</t>
  </si>
  <si>
    <t>-- New York : M. Dekker, c1977-1978.</t>
  </si>
  <si>
    <t>1977</t>
  </si>
  <si>
    <t>7090896:eng</t>
  </si>
  <si>
    <t>2986117</t>
  </si>
  <si>
    <t>991000997899702656</t>
  </si>
  <si>
    <t>2264049180002656</t>
  </si>
  <si>
    <t>9780824765330</t>
  </si>
  <si>
    <t>30001000229205</t>
  </si>
  <si>
    <t>893540922</t>
  </si>
  <si>
    <t>30001000229221</t>
  </si>
  <si>
    <t>893557499</t>
  </si>
  <si>
    <t>QW 164 O68 1982</t>
  </si>
  <si>
    <t>0                      QW 0164000O  68          1982</t>
  </si>
  <si>
    <t>Organization and replication of viral DNA / editor, Albert S. Kaplan.</t>
  </si>
  <si>
    <t>Boca Raton, Fla. : CRC Press, c1982.</t>
  </si>
  <si>
    <t>1999-10-05</t>
  </si>
  <si>
    <t>508916:eng</t>
  </si>
  <si>
    <t>8132113</t>
  </si>
  <si>
    <t>991000997689702656</t>
  </si>
  <si>
    <t>2265220250002656</t>
  </si>
  <si>
    <t>9780849364051</t>
  </si>
  <si>
    <t>30001000229148</t>
  </si>
  <si>
    <t>893743595</t>
  </si>
  <si>
    <t>QW 164 P957 1980</t>
  </si>
  <si>
    <t>0                      QW 0164000P  957         1980</t>
  </si>
  <si>
    <t>Principles of animal virology / edited by Wolfgang K. Joklik.</t>
  </si>
  <si>
    <t>New York : Appleton-Century-Crofts, c1980.</t>
  </si>
  <si>
    <t>3943628815:eng</t>
  </si>
  <si>
    <t>6423055</t>
  </si>
  <si>
    <t>991000997859702656</t>
  </si>
  <si>
    <t>2256038260002656</t>
  </si>
  <si>
    <t>9780838579206</t>
  </si>
  <si>
    <t>30001000229213</t>
  </si>
  <si>
    <t>893363651</t>
  </si>
  <si>
    <t>QW 165.5.H3 B250d 2005</t>
  </si>
  <si>
    <t>0                      QW 0165500H  3                  B  250d        2005</t>
  </si>
  <si>
    <t>Downregulation of MHC class I molecules by human cytomegalovirus-encoded US2 and US11 / Martine Thérèse Barel.</t>
  </si>
  <si>
    <t>Barel, Martine Thérèse, 1972-</t>
  </si>
  <si>
    <t>[S.l. : s.n.], cop. 2005.</t>
  </si>
  <si>
    <t>2005</t>
  </si>
  <si>
    <t>2007-01-29</t>
  </si>
  <si>
    <t>2007-01-17</t>
  </si>
  <si>
    <t>50064224:eng</t>
  </si>
  <si>
    <t>66441981</t>
  </si>
  <si>
    <t>991000582619702656</t>
  </si>
  <si>
    <t>2271399030002656</t>
  </si>
  <si>
    <t>9789090199580</t>
  </si>
  <si>
    <t>30001005175056</t>
  </si>
  <si>
    <t>893145622</t>
  </si>
  <si>
    <t>QW 165.5.H3 H5637 1985 v.3</t>
  </si>
  <si>
    <t>0                      QW 0165500H  3                  H  5637        1985                  v.3</t>
  </si>
  <si>
    <t>The Herpesviruses : Volume 3 / edited by Bernard Roizman.</t>
  </si>
  <si>
    <t>New York : Plenum Press, c1985.</t>
  </si>
  <si>
    <t>1988-09-19</t>
  </si>
  <si>
    <t>4495075245:eng</t>
  </si>
  <si>
    <t>8689752</t>
  </si>
  <si>
    <t>991000997779702656</t>
  </si>
  <si>
    <t>2270923150002656</t>
  </si>
  <si>
    <t>30001000229171</t>
  </si>
  <si>
    <t>893161608</t>
  </si>
  <si>
    <t>QW 165.5.H3 H5638 1998</t>
  </si>
  <si>
    <t>0                      QW 0165500H  3                  H  5638        1998</t>
  </si>
  <si>
    <t>Herpesviruses and immunity / edited by Peter G. Medveczky and Herman Friedman, and Mauro Bendinelli.</t>
  </si>
  <si>
    <t>Infectious agents and pathogenesis</t>
  </si>
  <si>
    <t>1999-07-13</t>
  </si>
  <si>
    <t>1011902083:eng</t>
  </si>
  <si>
    <t>39764145</t>
  </si>
  <si>
    <t>991000795549702656</t>
  </si>
  <si>
    <t>2266363750002656</t>
  </si>
  <si>
    <t>9780306458903</t>
  </si>
  <si>
    <t>30001004078061</t>
  </si>
  <si>
    <t>893120417</t>
  </si>
  <si>
    <t>QW 165.5.H3 H678c 1982</t>
  </si>
  <si>
    <t>0                      QW 0165500H  3                  H  678c        1982</t>
  </si>
  <si>
    <t>Cytomegalovirus, biology and infection / Monto Ho.</t>
  </si>
  <si>
    <t>Ho, Monto.</t>
  </si>
  <si>
    <t>New York : Plenum Medical Book Co., c1982.</t>
  </si>
  <si>
    <t>Current topics in infectious disease</t>
  </si>
  <si>
    <t>1999-04-06</t>
  </si>
  <si>
    <t>1989-10-10</t>
  </si>
  <si>
    <t>24212110:eng</t>
  </si>
  <si>
    <t>8281941</t>
  </si>
  <si>
    <t>991000997729702656</t>
  </si>
  <si>
    <t>2268048670002656</t>
  </si>
  <si>
    <t>9780306408441</t>
  </si>
  <si>
    <t>30001000229155</t>
  </si>
  <si>
    <t>893267955</t>
  </si>
  <si>
    <t>QW 165.5.P2 H918 1989</t>
  </si>
  <si>
    <t>0                      QW 0165500P  2                  H  918         1989</t>
  </si>
  <si>
    <t>Human papillomavirus infections / editors, Barbara Winkler and Ralph M. Richart.</t>
  </si>
  <si>
    <t>New York : Elsevier, c1989.</t>
  </si>
  <si>
    <t>Clinical practice of gynecology ; v. 1, no. 2</t>
  </si>
  <si>
    <t>1994-07-10</t>
  </si>
  <si>
    <t>1990-09-12</t>
  </si>
  <si>
    <t>23057260:eng</t>
  </si>
  <si>
    <t>21465221</t>
  </si>
  <si>
    <t>991000761239702656</t>
  </si>
  <si>
    <t>2255687200002656</t>
  </si>
  <si>
    <t>9780444015211</t>
  </si>
  <si>
    <t>30001002060194</t>
  </si>
  <si>
    <t>893459798</t>
  </si>
  <si>
    <t>QW165.5.P2 H9183 2001</t>
  </si>
  <si>
    <t>0                      QW 0165500P  2                  H  9183        2001</t>
  </si>
  <si>
    <t>Human papillomaviruses : clinical and scientific advances / edited by Jane C. Sterling and Stephen K. Tyring.</t>
  </si>
  <si>
    <t>London ; New York : Arnold, 2001.</t>
  </si>
  <si>
    <t>2004-03-06</t>
  </si>
  <si>
    <t>2002-07-02</t>
  </si>
  <si>
    <t>836991617:eng</t>
  </si>
  <si>
    <t>43969142</t>
  </si>
  <si>
    <t>991000321329702656</t>
  </si>
  <si>
    <t>2255482100002656</t>
  </si>
  <si>
    <t>9780340742150</t>
  </si>
  <si>
    <t>30001004442937</t>
  </si>
  <si>
    <t>893461343</t>
  </si>
  <si>
    <t>QW 165.5.P2 P216 1985</t>
  </si>
  <si>
    <t>0                      QW 0165500P  2                  P  216         1985</t>
  </si>
  <si>
    <t>Papillomaviruses : molecular and clinical aspects : proceedings of a conference held in Steamboat Springs, Colorado, April 8-14, 1985 / editors, Peter M. Howley, Thomas R. Broker.</t>
  </si>
  <si>
    <t>New York : Liss, c1985.</t>
  </si>
  <si>
    <t>UCLA symposia on molecular and cellular biology ; new ser., v. 32</t>
  </si>
  <si>
    <t>1993-12-23</t>
  </si>
  <si>
    <t>5343179:eng</t>
  </si>
  <si>
    <t>12751152</t>
  </si>
  <si>
    <t>991000997659702656</t>
  </si>
  <si>
    <t>2267606020002656</t>
  </si>
  <si>
    <t>9780845126318</t>
  </si>
  <si>
    <t>30001000229122</t>
  </si>
  <si>
    <t>893167996</t>
  </si>
  <si>
    <t>QW 165.5.P2 P218 1987 v.2</t>
  </si>
  <si>
    <t>0                      QW 0165500P  2                  P  218         1987                  v.2</t>
  </si>
  <si>
    <t>The Papovaviridae / edited by Norman P. Salzman and Peter M. Howley.</t>
  </si>
  <si>
    <t>New York : Plenum Press, c1987.</t>
  </si>
  <si>
    <t>1993-03-12</t>
  </si>
  <si>
    <t>1987-09-24</t>
  </si>
  <si>
    <t>2863456979:eng</t>
  </si>
  <si>
    <t>13792783</t>
  </si>
  <si>
    <t>991001527489702656</t>
  </si>
  <si>
    <t>2270139810002656</t>
  </si>
  <si>
    <t>9780306424526</t>
  </si>
  <si>
    <t>30001000620247</t>
  </si>
  <si>
    <t>893358692</t>
  </si>
  <si>
    <t>QW 165.5.P2 S669s 1996</t>
  </si>
  <si>
    <t>0                      QW 0165500P  2                  S  669s        1996</t>
  </si>
  <si>
    <t>The SV40 replicon model for analysis of anticancer drugs / Robert M. Snapka.</t>
  </si>
  <si>
    <t>Snapka, Robert M., 1947-</t>
  </si>
  <si>
    <t>Austin, TX : R.G. Landes, c1996.</t>
  </si>
  <si>
    <t>txu</t>
  </si>
  <si>
    <t>Molecular biology intelligence unit</t>
  </si>
  <si>
    <t>1997-07-10</t>
  </si>
  <si>
    <t>1997-05-19</t>
  </si>
  <si>
    <t>20663192:eng</t>
  </si>
  <si>
    <t>34121051</t>
  </si>
  <si>
    <t>991001557969702656</t>
  </si>
  <si>
    <t>2269200560002656</t>
  </si>
  <si>
    <t>9780126536300</t>
  </si>
  <si>
    <t>30001003670801</t>
  </si>
  <si>
    <t>893134714</t>
  </si>
  <si>
    <t>QW 166 A288 2007</t>
  </si>
  <si>
    <t>0                      QW 0166000A  288         2007</t>
  </si>
  <si>
    <t>AIDS-associated viral oncogenesis / edited by Meyers, C.</t>
  </si>
  <si>
    <t>New York ; [London] : Springer, c2007.</t>
  </si>
  <si>
    <t>Cancer treatment and research ; v. 133</t>
  </si>
  <si>
    <t>2010-12-09</t>
  </si>
  <si>
    <t>2007-06-07</t>
  </si>
  <si>
    <t>1076819735:eng</t>
  </si>
  <si>
    <t>76935743</t>
  </si>
  <si>
    <t>991000631499702656</t>
  </si>
  <si>
    <t>2262865570002656</t>
  </si>
  <si>
    <t>9780387468044</t>
  </si>
  <si>
    <t>30001005218625</t>
  </si>
  <si>
    <t>893735177</t>
  </si>
  <si>
    <t>QW 166 AD888 1982 v.2</t>
  </si>
  <si>
    <t>0                      QW 0166000AD 888         1982                                        v.2</t>
  </si>
  <si>
    <t>The Transformation-associated cellular p53 protein / editor, George Klein.</t>
  </si>
  <si>
    <t>New York : Raven Press, c1982.</t>
  </si>
  <si>
    <t>Advances in viral oncology ; v. 2</t>
  </si>
  <si>
    <t>1998-10-09</t>
  </si>
  <si>
    <t>1988-01-28</t>
  </si>
  <si>
    <t>32184018:eng</t>
  </si>
  <si>
    <t>8553102</t>
  </si>
  <si>
    <t>991001108309702656</t>
  </si>
  <si>
    <t>2255186350002656</t>
  </si>
  <si>
    <t>9780890048573</t>
  </si>
  <si>
    <t>30001000275604</t>
  </si>
  <si>
    <t>893736212</t>
  </si>
  <si>
    <t>QW 166 C764 1988</t>
  </si>
  <si>
    <t>0                      QW 0166000C  764         1988</t>
  </si>
  <si>
    <t>The Control of human retrovirus gene expression / edited by B. Robert Franza, Jr., Bryan R. Cullen, Flossie Wong-Staal.</t>
  </si>
  <si>
    <t>Cold Spring Harbor, N.Y. : Cold Spring Harbor Laboratory, c1988.</t>
  </si>
  <si>
    <t>1989-09-22</t>
  </si>
  <si>
    <t>1989-04-07</t>
  </si>
  <si>
    <t>365159196:eng</t>
  </si>
  <si>
    <t>17841482</t>
  </si>
  <si>
    <t>991001243679702656</t>
  </si>
  <si>
    <t>2264199800002656</t>
  </si>
  <si>
    <t>9780879693152</t>
  </si>
  <si>
    <t>30001001676388</t>
  </si>
  <si>
    <t>893455623</t>
  </si>
  <si>
    <t>QW 166 M718 1980</t>
  </si>
  <si>
    <t>0                      QW 0166000M  718         1980</t>
  </si>
  <si>
    <t>Molecular biology of RNA tumor viruses / edited by John R. Stephenson.</t>
  </si>
  <si>
    <t>New York : Academic Press, 1980.</t>
  </si>
  <si>
    <t>2003-03-15</t>
  </si>
  <si>
    <t>20262501:eng</t>
  </si>
  <si>
    <t>5889322</t>
  </si>
  <si>
    <t>991001108389702656</t>
  </si>
  <si>
    <t>2267494730002656</t>
  </si>
  <si>
    <t>9780126660500</t>
  </si>
  <si>
    <t>30001000275620</t>
  </si>
  <si>
    <t>893638039</t>
  </si>
  <si>
    <t>QW 166 O39 1977o</t>
  </si>
  <si>
    <t>0                      QW 0166000O  39          1977o</t>
  </si>
  <si>
    <t>Oncogenic viruses and host cell genes : [proceedings] / edited by Yoji Ikawa and Takeshi Odaka.</t>
  </si>
  <si>
    <t>Oji International Seminar on Genetic Aspects of Friend Virus and Friend Cells (5th : 1977 : Yamanakako-mura, Japan)</t>
  </si>
  <si>
    <t>New York : Academic Press, 1979.</t>
  </si>
  <si>
    <t>144282521:eng</t>
  </si>
  <si>
    <t>4549570</t>
  </si>
  <si>
    <t>991001108569702656</t>
  </si>
  <si>
    <t>2272641540002656</t>
  </si>
  <si>
    <t>9780123706508</t>
  </si>
  <si>
    <t>30001000275638</t>
  </si>
  <si>
    <t>893369120</t>
  </si>
  <si>
    <t>QW 166 R627 1985 v.2</t>
  </si>
  <si>
    <t>0                      QW 0166000R  627         1985                                        v.2</t>
  </si>
  <si>
    <t>RNA tumor viruses : molecular biology of tumor viruses : Volume 2/ supplements and appendixes / edited by Robin Weiss ... [et al.] ; contributors, A. Bernstein ... [et al.].</t>
  </si>
  <si>
    <t>Cold Spring Harbor, N.Y. : Cold Spring Harbor Laboratory, c1985.</t>
  </si>
  <si>
    <t>2nd ed. rev.</t>
  </si>
  <si>
    <t>Cold Spring Harbor monograph series ; 10C</t>
  </si>
  <si>
    <t>4535614442:eng</t>
  </si>
  <si>
    <t>10277501</t>
  </si>
  <si>
    <t>991001108609702656</t>
  </si>
  <si>
    <t>2269159140002656</t>
  </si>
  <si>
    <t>9780879691677</t>
  </si>
  <si>
    <t>30001000275646</t>
  </si>
  <si>
    <t>893121170</t>
  </si>
  <si>
    <t>QW 166 V813 1980</t>
  </si>
  <si>
    <t>0                      QW 0166000V  813         1980</t>
  </si>
  <si>
    <t>Viral oncology / editor, George Klein.</t>
  </si>
  <si>
    <t>New York : Raven Press, c1980.</t>
  </si>
  <si>
    <t>1992-02-28</t>
  </si>
  <si>
    <t>546297:eng</t>
  </si>
  <si>
    <t>5750323</t>
  </si>
  <si>
    <t>991001108659702656</t>
  </si>
  <si>
    <t>2269606620002656</t>
  </si>
  <si>
    <t>9780890043905</t>
  </si>
  <si>
    <t>30001000275661</t>
  </si>
  <si>
    <t>893134258</t>
  </si>
  <si>
    <t>QW 168 A6802 1993</t>
  </si>
  <si>
    <t>0                      QW 0168000A  6802        1993</t>
  </si>
  <si>
    <t>The Arenaviridae / edited by Maria S. Salvato.</t>
  </si>
  <si>
    <t>New York : Plenum Press, c1993.</t>
  </si>
  <si>
    <t>The Viruses</t>
  </si>
  <si>
    <t>2005-06-23</t>
  </si>
  <si>
    <t>1994-03-22</t>
  </si>
  <si>
    <t>55655189:eng</t>
  </si>
  <si>
    <t>27151508</t>
  </si>
  <si>
    <t>991000668649702656</t>
  </si>
  <si>
    <t>2269172900002656</t>
  </si>
  <si>
    <t>9780306442728</t>
  </si>
  <si>
    <t>30001002695536</t>
  </si>
  <si>
    <t>893739896</t>
  </si>
  <si>
    <t>QW 168.5.07 I435 1989</t>
  </si>
  <si>
    <t>0                      QW 0168500                                                           .07 I435 1989</t>
  </si>
  <si>
    <t>The Influenza viruses / edited by Robert M. Krug.</t>
  </si>
  <si>
    <t>New York : Plenum Press, c1989.</t>
  </si>
  <si>
    <t>1991-03-02</t>
  </si>
  <si>
    <t>55221280:eng</t>
  </si>
  <si>
    <t>19850363</t>
  </si>
  <si>
    <t>991000823619702656</t>
  </si>
  <si>
    <t>2259229720002656</t>
  </si>
  <si>
    <t>9780306431913</t>
  </si>
  <si>
    <t>30001002088179</t>
  </si>
  <si>
    <t>893557294</t>
  </si>
  <si>
    <t>QW 180 A257 1969</t>
  </si>
  <si>
    <t>0                      QW 0180000A  257         1969</t>
  </si>
  <si>
    <t>Aflatoxin : scientific background, control, and implications / edited by Leo A. Goldblatt.</t>
  </si>
  <si>
    <t>Goldblatt, Leo A. (Leo Arthur), 1902-</t>
  </si>
  <si>
    <t>New York : Academic Press, 1969.</t>
  </si>
  <si>
    <t>Food science and technology ; 7</t>
  </si>
  <si>
    <t>2002-10-27</t>
  </si>
  <si>
    <t>890174708:eng</t>
  </si>
  <si>
    <t>44461</t>
  </si>
  <si>
    <t>991001108809702656</t>
  </si>
  <si>
    <t>2260976130002656</t>
  </si>
  <si>
    <t>30001000275703</t>
  </si>
  <si>
    <t>893648903</t>
  </si>
  <si>
    <t>QW 180 B595m 1963</t>
  </si>
  <si>
    <t>0                      QW 0180000B  595m        1963</t>
  </si>
  <si>
    <t>Antibiotic-producing microscopic fungi / [Translated by Scripta Technica, inc.].</t>
  </si>
  <si>
    <t>Bilaĭ, V. I. (Vera Iosifovna)</t>
  </si>
  <si>
    <t>Amsterdam, New York : Elsevier Pub. Co., 1963.</t>
  </si>
  <si>
    <t>1963</t>
  </si>
  <si>
    <t>1996-02-19</t>
  </si>
  <si>
    <t>8318639:eng</t>
  </si>
  <si>
    <t>709934</t>
  </si>
  <si>
    <t>991001109029702656</t>
  </si>
  <si>
    <t>2267572160002656</t>
  </si>
  <si>
    <t>30001000275711</t>
  </si>
  <si>
    <t>893363777</t>
  </si>
  <si>
    <t>QW 180 H518m 1930</t>
  </si>
  <si>
    <t>0                      QW 0180000H  518m        1930</t>
  </si>
  <si>
    <t>Molds, yeasts, and actinomycetes : a handbook for students of bacteriology / by Arthur T. Henrici ...</t>
  </si>
  <si>
    <t>Henrici, Arthur T. (Arthur Trautwein), 1889-1943.</t>
  </si>
  <si>
    <t>New York : J. Wiley &amp; Sons, inc.; London : Chapman &amp; Hall, limited, 1930.</t>
  </si>
  <si>
    <t>1998-02-23</t>
  </si>
  <si>
    <t>3855517826:eng</t>
  </si>
  <si>
    <t>726997</t>
  </si>
  <si>
    <t>991001109249702656</t>
  </si>
  <si>
    <t>2263925540002656</t>
  </si>
  <si>
    <t>30001000275760</t>
  </si>
  <si>
    <t>893161685</t>
  </si>
  <si>
    <t>QW 180 R216m 1949</t>
  </si>
  <si>
    <t>0                      QW 0180000R  216m        1949</t>
  </si>
  <si>
    <t>A manual of the penicillia / by Kenneth B. Raper and Charles Thom; with the technical assistance and illus. by Dorothy I. Fennel.</t>
  </si>
  <si>
    <t>Raper, Kenneth B. (Kenneth Bryan), 1908-</t>
  </si>
  <si>
    <t>Baltimore : Williams &amp; Wilkins Co., [c1949]</t>
  </si>
  <si>
    <t>1949</t>
  </si>
  <si>
    <t>1330844:eng</t>
  </si>
  <si>
    <t>1522344</t>
  </si>
  <si>
    <t>991001109299702656</t>
  </si>
  <si>
    <t>2268427420002656</t>
  </si>
  <si>
    <t>30001000275778</t>
  </si>
  <si>
    <t>893736215</t>
  </si>
  <si>
    <t>QW 180.5.Y3 P297 1994</t>
  </si>
  <si>
    <t>0                      QW 0180500Y  3                  P  297         1994</t>
  </si>
  <si>
    <t>Pathogenic yeasts and yeast infections / [edited by] Esther Segal, Gerald L. Baum.</t>
  </si>
  <si>
    <t>Boca Raton : CRC Press, c1994.</t>
  </si>
  <si>
    <t>2005-02-18</t>
  </si>
  <si>
    <t>1994-09-12</t>
  </si>
  <si>
    <t>365299952:eng</t>
  </si>
  <si>
    <t>28844174</t>
  </si>
  <si>
    <t>991000677659702656</t>
  </si>
  <si>
    <t>2265044760002656</t>
  </si>
  <si>
    <t>9780849364266</t>
  </si>
  <si>
    <t>30001002696799</t>
  </si>
  <si>
    <t>893119995</t>
  </si>
  <si>
    <t>QW 300 N279a 2003</t>
  </si>
  <si>
    <t>0                      QW 0300000N  279a        2003</t>
  </si>
  <si>
    <t>Applications of genomics and proteomics for analysis of bacterial biological warfare agents / edited by Vito G. DelVecchio and Vladimir Krcmery.</t>
  </si>
  <si>
    <t>NATO Advanced Research Workshop on Applications of Genomics and Proteomics for Analysis of Bacterial Biological Warfare Agents (2002 : Bratislava, Slovakia)</t>
  </si>
  <si>
    <t>Amsterdam ; Washington, DC : IOS Press, c2003.</t>
  </si>
  <si>
    <t>NATO science series. Series I, Life and behavioural sciences, 1566-7693 ; v. 352</t>
  </si>
  <si>
    <t>2004-09-24</t>
  </si>
  <si>
    <t>2004-09-22</t>
  </si>
  <si>
    <t>364529852:eng</t>
  </si>
  <si>
    <t>54865786</t>
  </si>
  <si>
    <t>991000393869702656</t>
  </si>
  <si>
    <t>2258508750002656</t>
  </si>
  <si>
    <t>9781586033439</t>
  </si>
  <si>
    <t>30001004978427</t>
  </si>
  <si>
    <t>893558802</t>
  </si>
  <si>
    <t>QW 300 S438y 1981</t>
  </si>
  <si>
    <t>0                      QW 0300000S  438y        1981</t>
  </si>
  <si>
    <t>Yellow rain : a journey through the terror of chemical warfare / by Sterling Seagrave.</t>
  </si>
  <si>
    <t>Seagrave, Sterling.</t>
  </si>
  <si>
    <t>New York : M. Evans, c1981.</t>
  </si>
  <si>
    <t>2003-03-03</t>
  </si>
  <si>
    <t>517481:eng</t>
  </si>
  <si>
    <t>7836875</t>
  </si>
  <si>
    <t>991001109529702656</t>
  </si>
  <si>
    <t>2255397320002656</t>
  </si>
  <si>
    <t>9780871313492</t>
  </si>
  <si>
    <t>30001000275794</t>
  </si>
  <si>
    <t>893816102</t>
  </si>
  <si>
    <t>QW300 T328 2003</t>
  </si>
  <si>
    <t>0                      QW 0300000T  328         2003</t>
  </si>
  <si>
    <t>Terrorism : biological, chemical, and nuclear / Mark J. Upfal ... [et al.]</t>
  </si>
  <si>
    <t>Philadelphia : Saunders, 2003.</t>
  </si>
  <si>
    <t>Clinics in occupational and environmental medicine ; v. 2, no. 2</t>
  </si>
  <si>
    <t>2004-09-30</t>
  </si>
  <si>
    <t>2004-09-28</t>
  </si>
  <si>
    <t>10147644:eng</t>
  </si>
  <si>
    <t>51999267</t>
  </si>
  <si>
    <t>991000398299702656</t>
  </si>
  <si>
    <t>2268509480002656</t>
  </si>
  <si>
    <t>30001004923241</t>
  </si>
  <si>
    <t>893359527</t>
  </si>
  <si>
    <t>QW 504 A122b 2001</t>
  </si>
  <si>
    <t>0                      QW 0504000A  122b        2001</t>
  </si>
  <si>
    <t>Basic immunology : functions and disorders of the immune system / Abul K. Abbas, Andrew H. Lichtman ; illustrated by David L. Baker and Alexandra Baker.</t>
  </si>
  <si>
    <t>Abbas, Abul K.</t>
  </si>
  <si>
    <t>Philadelphia : W.B. Saunders Co., c2001.</t>
  </si>
  <si>
    <t>2008-08-14</t>
  </si>
  <si>
    <t>2002-04-16</t>
  </si>
  <si>
    <t>509580504:eng</t>
  </si>
  <si>
    <t>46395179</t>
  </si>
  <si>
    <t>991000307749702656</t>
  </si>
  <si>
    <t>2269536750002656</t>
  </si>
  <si>
    <t>9780721693163</t>
  </si>
  <si>
    <t>30001004237238</t>
  </si>
  <si>
    <t>893150907</t>
  </si>
  <si>
    <t>QW504 A122b 2006</t>
  </si>
  <si>
    <t>0                      QW 0504000A  122b        2006</t>
  </si>
  <si>
    <t>Philadelphia, PA : Elsevier Saunders, c2006.</t>
  </si>
  <si>
    <t>2nd ed., updated ed. 2006-2007.</t>
  </si>
  <si>
    <t>2008-04-08</t>
  </si>
  <si>
    <t>2006-09-28</t>
  </si>
  <si>
    <t>61309409</t>
  </si>
  <si>
    <t>991000546729702656</t>
  </si>
  <si>
    <t>2257527570002656</t>
  </si>
  <si>
    <t>9781416029748</t>
  </si>
  <si>
    <t>30001005175940</t>
  </si>
  <si>
    <t>893376283</t>
  </si>
  <si>
    <t>QW 504 B274b 1980</t>
  </si>
  <si>
    <t>0                      QW 0504000B  274b        1980</t>
  </si>
  <si>
    <t>Basic immunology and its medical application / James T. Barrett.</t>
  </si>
  <si>
    <t>Barrett, James T.</t>
  </si>
  <si>
    <t>2005-09-01</t>
  </si>
  <si>
    <t>2724104:eng</t>
  </si>
  <si>
    <t>6223759</t>
  </si>
  <si>
    <t>991001107849702656</t>
  </si>
  <si>
    <t>2266778100002656</t>
  </si>
  <si>
    <t>9780801604959</t>
  </si>
  <si>
    <t>30001000275513</t>
  </si>
  <si>
    <t>893552144</t>
  </si>
  <si>
    <t>QW 504 B274t 1988</t>
  </si>
  <si>
    <t>0                      QW 0504000B  274t        1988</t>
  </si>
  <si>
    <t>Textbook of immunology : an introduction to immunochemistry and immunobiology / James T. Barrett.</t>
  </si>
  <si>
    <t>Barrett, James T., 1927-</t>
  </si>
  <si>
    <t>St. Louis : Mosby, c1988.</t>
  </si>
  <si>
    <t>1997-10-01</t>
  </si>
  <si>
    <t>1988-04-16</t>
  </si>
  <si>
    <t>1184893:eng</t>
  </si>
  <si>
    <t>16404321</t>
  </si>
  <si>
    <t>991001185669702656</t>
  </si>
  <si>
    <t>2263028710002656</t>
  </si>
  <si>
    <t>9780801605307</t>
  </si>
  <si>
    <t>30001000977894</t>
  </si>
  <si>
    <t>893831982</t>
  </si>
  <si>
    <t>QW 504 B311 1994</t>
  </si>
  <si>
    <t>0                      QW 0504000B  311         1994</t>
  </si>
  <si>
    <t>Basic &amp; clinical immunology.</t>
  </si>
  <si>
    <t>Norwalk, Conn. : Appleton &amp; Lange, c1994.</t>
  </si>
  <si>
    <t>8th ed. / edited by Daniel P. Stites, Abba I. Terr, Tristram G. Parslow.</t>
  </si>
  <si>
    <t>2005-09-23</t>
  </si>
  <si>
    <t>1994-06-14</t>
  </si>
  <si>
    <t>1862368752:eng</t>
  </si>
  <si>
    <t>30056267</t>
  </si>
  <si>
    <t>991000669859702656</t>
  </si>
  <si>
    <t>2259081600002656</t>
  </si>
  <si>
    <t>9780838505618</t>
  </si>
  <si>
    <t>30001002695809</t>
  </si>
  <si>
    <t>893277910</t>
  </si>
  <si>
    <t>QW 504 B436i 1971</t>
  </si>
  <si>
    <t>0                      QW 0504000B  436i        1971</t>
  </si>
  <si>
    <t>Immunology / Joseph A. Bellanti.</t>
  </si>
  <si>
    <t>Bellanti, Joseph A., 1934-</t>
  </si>
  <si>
    <t>Philadelphia : Saunders, c1971.</t>
  </si>
  <si>
    <t>1997-10-12</t>
  </si>
  <si>
    <t>1251561:eng</t>
  </si>
  <si>
    <t>200383</t>
  </si>
  <si>
    <t>991001107579702656</t>
  </si>
  <si>
    <t>2257557010002656</t>
  </si>
  <si>
    <t>9780721616841</t>
  </si>
  <si>
    <t>30001000275463</t>
  </si>
  <si>
    <t>893820911</t>
  </si>
  <si>
    <t>QW 504 B456t 1984</t>
  </si>
  <si>
    <t>0                      QW 0504000B  456t        1984</t>
  </si>
  <si>
    <t>Textbook of immunology / Emil R. Unanue, Baruj Benacerraf.</t>
  </si>
  <si>
    <t>Benacerraf, Baruj, 1920-2011.</t>
  </si>
  <si>
    <t>Baltimore : Williams &amp; Wilkins, c1984.</t>
  </si>
  <si>
    <t>1989-08-12</t>
  </si>
  <si>
    <t>1987-08-27</t>
  </si>
  <si>
    <t>3293816:eng</t>
  </si>
  <si>
    <t>10723028</t>
  </si>
  <si>
    <t>991001271319702656</t>
  </si>
  <si>
    <t>2256415950002656</t>
  </si>
  <si>
    <t>9780683085044</t>
  </si>
  <si>
    <t>30001000354847</t>
  </si>
  <si>
    <t>893731803</t>
  </si>
  <si>
    <t>QW 504 B468i 1996</t>
  </si>
  <si>
    <t>0                      QW 0504000B  468i        1996</t>
  </si>
  <si>
    <t>Immunology : a short course / Eli Benjamini, Geoffrey Sunshine, Sidney Leskowitz.</t>
  </si>
  <si>
    <t>Benjamini, Eli.</t>
  </si>
  <si>
    <t>New York : Wiley-Liss, c1996.</t>
  </si>
  <si>
    <t>2009-09-22</t>
  </si>
  <si>
    <t>10570454:eng</t>
  </si>
  <si>
    <t>34080886</t>
  </si>
  <si>
    <t>991000836329702656</t>
  </si>
  <si>
    <t>2265805840002656</t>
  </si>
  <si>
    <t>9780471597919</t>
  </si>
  <si>
    <t>30001003441864</t>
  </si>
  <si>
    <t>893557309</t>
  </si>
  <si>
    <t>QW 504 C596e 1986</t>
  </si>
  <si>
    <t>0                      QW 0504000C  596e        1986</t>
  </si>
  <si>
    <t>The experimental foundations of modern immunology / William R. Clark.</t>
  </si>
  <si>
    <t>Clark, William R., 1938-</t>
  </si>
  <si>
    <t>New York : Wiley, c1986.</t>
  </si>
  <si>
    <t>1995-11-25</t>
  </si>
  <si>
    <t>1988-02-22</t>
  </si>
  <si>
    <t>5501067:eng</t>
  </si>
  <si>
    <t>13063030</t>
  </si>
  <si>
    <t>991001107279702656</t>
  </si>
  <si>
    <t>2257141080002656</t>
  </si>
  <si>
    <t>9780471815082</t>
  </si>
  <si>
    <t>30001000275372</t>
  </si>
  <si>
    <t>893552143</t>
  </si>
  <si>
    <t>QW 504 C639 1984</t>
  </si>
  <si>
    <t>0                      QW 0504000C  639         1984</t>
  </si>
  <si>
    <t>Clinical allergy &amp; immunology / edited by Leonard C. Altman.</t>
  </si>
  <si>
    <t>Boston, Mass. : G.K. Hall Medical Publishers, c1984.</t>
  </si>
  <si>
    <t>2008-05-02</t>
  </si>
  <si>
    <t>43245617:eng</t>
  </si>
  <si>
    <t>9828315</t>
  </si>
  <si>
    <t>991001106349702656</t>
  </si>
  <si>
    <t>2259130050002656</t>
  </si>
  <si>
    <t>9780816122547</t>
  </si>
  <si>
    <t>30001000275141</t>
  </si>
  <si>
    <t>893278716</t>
  </si>
  <si>
    <t>QW 504 C6418 1997</t>
  </si>
  <si>
    <t>0                      QW 0504000C  6418        1997</t>
  </si>
  <si>
    <t>Clinical immunology : principles and laboratory diagnosis / Catherine Sheehan ; with 12 contributors.</t>
  </si>
  <si>
    <t>Philadelphia : Lippincott, c1997.</t>
  </si>
  <si>
    <t>2004-10-11</t>
  </si>
  <si>
    <t>1997-04-29</t>
  </si>
  <si>
    <t>836719158:eng</t>
  </si>
  <si>
    <t>35928653</t>
  </si>
  <si>
    <t>991000840039702656</t>
  </si>
  <si>
    <t>2262199550002656</t>
  </si>
  <si>
    <t>9780397553136</t>
  </si>
  <si>
    <t>30001003443803</t>
  </si>
  <si>
    <t>893368737</t>
  </si>
  <si>
    <t>QW504 C64183 2002 V.1-2</t>
  </si>
  <si>
    <t>0                      QW 0504000C  64183       2002                                        V.1-2</t>
  </si>
  <si>
    <t>Clinical immunology : principles and practice / edited by Robert R. Rich ... [et al.].</t>
  </si>
  <si>
    <t>London New York : Mosby, 2001.</t>
  </si>
  <si>
    <t>2007-04-23</t>
  </si>
  <si>
    <t>2007-12-14</t>
  </si>
  <si>
    <t>2003-06-05</t>
  </si>
  <si>
    <t>836911096:eng</t>
  </si>
  <si>
    <t>46944781</t>
  </si>
  <si>
    <t>991000348909702656</t>
  </si>
  <si>
    <t>2271133470002656</t>
  </si>
  <si>
    <t>9780723431619</t>
  </si>
  <si>
    <t>30001004502797</t>
  </si>
  <si>
    <t>893264156</t>
  </si>
  <si>
    <t>30001004502805</t>
  </si>
  <si>
    <t>893264157</t>
  </si>
  <si>
    <t>QW504 C678t 2000</t>
  </si>
  <si>
    <t>0                      QW 0504000C  678t        2000</t>
  </si>
  <si>
    <t>Tending Adam's garden : evolving the cognitive immune self / Irun R. Cohen.</t>
  </si>
  <si>
    <t>Cohen, Irun R.</t>
  </si>
  <si>
    <t>San Diego, CA : Academic Press, c2000.</t>
  </si>
  <si>
    <t>2004-03-12</t>
  </si>
  <si>
    <t>2003-12-10</t>
  </si>
  <si>
    <t>801474620:eng</t>
  </si>
  <si>
    <t>44040013</t>
  </si>
  <si>
    <t>991000361189702656</t>
  </si>
  <si>
    <t>2256422220002656</t>
  </si>
  <si>
    <t>9780121783556</t>
  </si>
  <si>
    <t>30001004507747</t>
  </si>
  <si>
    <t>893269407</t>
  </si>
  <si>
    <t>QW 504 CO4523 1977 v.3</t>
  </si>
  <si>
    <t>0                      QW 0504000CO 4523        1977                                        v.3</t>
  </si>
  <si>
    <t>Immunopharmacology / edited by John W. Hadden and Ronald G. Coffey, and Federico Spreafico.</t>
  </si>
  <si>
    <t>New York : Plenum Medical Book Co., c1977.</t>
  </si>
  <si>
    <t>Comprehensive immunology ; 3</t>
  </si>
  <si>
    <t>3759254626:eng</t>
  </si>
  <si>
    <t>3167656</t>
  </si>
  <si>
    <t>991001106759702656</t>
  </si>
  <si>
    <t>2262185610002656</t>
  </si>
  <si>
    <t>9780306331039</t>
  </si>
  <si>
    <t>30001000275240</t>
  </si>
  <si>
    <t>893740759</t>
  </si>
  <si>
    <t>QW 504 CO4523 1978 v.4</t>
  </si>
  <si>
    <t>0                      QW 0504000CO 4523        1978                                        v.4</t>
  </si>
  <si>
    <t>The Immunopathology of lymphoreticular neoplasms / edited by J.J. Twomey and Robert A. Good.</t>
  </si>
  <si>
    <t>V.4</t>
  </si>
  <si>
    <t>New York : Plenum Medical Book Co., c1978.</t>
  </si>
  <si>
    <t>Comprehensive immunology ; v. 4</t>
  </si>
  <si>
    <t>1990-01-16</t>
  </si>
  <si>
    <t>358319500:eng</t>
  </si>
  <si>
    <t>3541734</t>
  </si>
  <si>
    <t>991001106799702656</t>
  </si>
  <si>
    <t>2266300960002656</t>
  </si>
  <si>
    <t>9780306331046</t>
  </si>
  <si>
    <t>30001000275257</t>
  </si>
  <si>
    <t>893121167</t>
  </si>
  <si>
    <t>QW 504 CO4523 1979 v.6</t>
  </si>
  <si>
    <t>0                      QW 0504000CO 4523        1979                                        v.6</t>
  </si>
  <si>
    <t>Cellular, molecular, and clinical aspects of allergic disorders / edited by Sudhir Gupta and Robert Good.</t>
  </si>
  <si>
    <t>V.6</t>
  </si>
  <si>
    <t>New York : Plenum Medical Book Co., c1979.</t>
  </si>
  <si>
    <t>Comprehensive immunology ; 6</t>
  </si>
  <si>
    <t>1997-10-07</t>
  </si>
  <si>
    <t>355670432:eng</t>
  </si>
  <si>
    <t>4664619</t>
  </si>
  <si>
    <t>991001106969702656</t>
  </si>
  <si>
    <t>2267598940002656</t>
  </si>
  <si>
    <t>9780306401428</t>
  </si>
  <si>
    <t>30001000275273</t>
  </si>
  <si>
    <t>893450880</t>
  </si>
  <si>
    <t>QW 504 D5645 2004</t>
  </si>
  <si>
    <t>0                      QW 0504000D  5645        2004</t>
  </si>
  <si>
    <t>Diet and human immune function / edited by David A. Hughes, L. Gail Darlington, Adrianne Bendich ; foreword by William R. Beisel.</t>
  </si>
  <si>
    <t>Nutrition and health</t>
  </si>
  <si>
    <t>364613872:eng</t>
  </si>
  <si>
    <t>53091355</t>
  </si>
  <si>
    <t>991000394099702656</t>
  </si>
  <si>
    <t>2256921310002656</t>
  </si>
  <si>
    <t>9781588292063</t>
  </si>
  <si>
    <t>30001004978377</t>
  </si>
  <si>
    <t>893639146</t>
  </si>
  <si>
    <t>QW 504 F9804 1993</t>
  </si>
  <si>
    <t>0                      QW 0504000F  9804        1993</t>
  </si>
  <si>
    <t>Fundamental immunology / editor, William E. Paul.</t>
  </si>
  <si>
    <t>New York : Raven Press, c1993.</t>
  </si>
  <si>
    <t>2000-08-08</t>
  </si>
  <si>
    <t>54573882:eng</t>
  </si>
  <si>
    <t>27728294</t>
  </si>
  <si>
    <t>991000485709702656</t>
  </si>
  <si>
    <t>2266373690002656</t>
  </si>
  <si>
    <t>9780781700221</t>
  </si>
  <si>
    <t>30001002695817</t>
  </si>
  <si>
    <t>893269523</t>
  </si>
  <si>
    <t>QW 504 G629i 1991</t>
  </si>
  <si>
    <t>0                      QW 0504000G  629i        1991</t>
  </si>
  <si>
    <t>Immunology, a synthesis / Edward S. Golub, Douglas R. Green.</t>
  </si>
  <si>
    <t>Golub, Edward S., 1934-2018.</t>
  </si>
  <si>
    <t>Sunderland, Mass. : Sinauer Associates, c1991.</t>
  </si>
  <si>
    <t>1997-10-10</t>
  </si>
  <si>
    <t>8805560:eng</t>
  </si>
  <si>
    <t>23080929</t>
  </si>
  <si>
    <t>991000670309702656</t>
  </si>
  <si>
    <t>2259222580002656</t>
  </si>
  <si>
    <t>9780878932634</t>
  </si>
  <si>
    <t>30001002695890</t>
  </si>
  <si>
    <t>893739916</t>
  </si>
  <si>
    <t>QW 504 H236 1978</t>
  </si>
  <si>
    <t>0                      QW 0504000H  236         1978</t>
  </si>
  <si>
    <t>Handbook of experimental immunology / edited by D. M. Weir.</t>
  </si>
  <si>
    <t>Oxford : Blackwell Scientific Publications ; Philadelphia : distributed in the USA by Lippincott, 1978.</t>
  </si>
  <si>
    <t>1990-08-28</t>
  </si>
  <si>
    <t>5463881326:eng</t>
  </si>
  <si>
    <t>6145427</t>
  </si>
  <si>
    <t>991001106389702656</t>
  </si>
  <si>
    <t>2255952960002656</t>
  </si>
  <si>
    <t>9780632000968</t>
  </si>
  <si>
    <t>30001000275133</t>
  </si>
  <si>
    <t>893743631</t>
  </si>
  <si>
    <t>QW 504 H723a 1973</t>
  </si>
  <si>
    <t>0                      QW 0504000H  723a        1973</t>
  </si>
  <si>
    <t>An ABC of modern immunology / E. J. Holborow.</t>
  </si>
  <si>
    <t>Holborow, E. J. (Eric John)</t>
  </si>
  <si>
    <t>Boston : Little, Brown, [1973]</t>
  </si>
  <si>
    <t>1997-01-24</t>
  </si>
  <si>
    <t>1574113:eng</t>
  </si>
  <si>
    <t>612078</t>
  </si>
  <si>
    <t>991001106229702656</t>
  </si>
  <si>
    <t>2266528810002656</t>
  </si>
  <si>
    <t>30001000275091</t>
  </si>
  <si>
    <t>893541024</t>
  </si>
  <si>
    <t>QW 504 I321 1981</t>
  </si>
  <si>
    <t>0                      QW 0504000I  321         1981</t>
  </si>
  <si>
    <t>The Immune system : a course on the molecular and cellular basis of immunity / [edited by] I. McConnell, A. Muno, H. Waldmann.</t>
  </si>
  <si>
    <t>Oxford ; Boston : Blackwell Scientific ; Distributors, USA, Blackwell Mosby, 1981.</t>
  </si>
  <si>
    <t>1989-07-05</t>
  </si>
  <si>
    <t>9093596101:eng</t>
  </si>
  <si>
    <t>7978607</t>
  </si>
  <si>
    <t>991001106059702656</t>
  </si>
  <si>
    <t>2265675750002656</t>
  </si>
  <si>
    <t>9780632006267</t>
  </si>
  <si>
    <t>30001000275059</t>
  </si>
  <si>
    <t>893643225</t>
  </si>
  <si>
    <t>QW 504 I324 1983</t>
  </si>
  <si>
    <t>0                      QW 0504000I  324         1983</t>
  </si>
  <si>
    <t>Immunobiology of transplantation, cancer, and pregnancy / edited by Prasanta K. Ray.</t>
  </si>
  <si>
    <t>New York : Pergamon, c1983.</t>
  </si>
  <si>
    <t>1997-10-06</t>
  </si>
  <si>
    <t>42772776:eng</t>
  </si>
  <si>
    <t>9256006</t>
  </si>
  <si>
    <t>991001106029702656</t>
  </si>
  <si>
    <t>2267708370002656</t>
  </si>
  <si>
    <t>9780080259949</t>
  </si>
  <si>
    <t>30001000275034</t>
  </si>
  <si>
    <t>893632724</t>
  </si>
  <si>
    <t>QW 504 I3245 1999</t>
  </si>
  <si>
    <t>0                      QW 0504000I  3245        1999</t>
  </si>
  <si>
    <t>Immunobiology : the immune system in health and disease / Charles A. Janeway, Jr. ... [et al.].</t>
  </si>
  <si>
    <t>London : Current Biology Publications ; New York, NY, US : Garland Pub., c1999.</t>
  </si>
  <si>
    <t>2007-01-31</t>
  </si>
  <si>
    <t>1999-12-17</t>
  </si>
  <si>
    <t>836987839:eng</t>
  </si>
  <si>
    <t>39508168</t>
  </si>
  <si>
    <t>991001411499702656</t>
  </si>
  <si>
    <t>2268368850002656</t>
  </si>
  <si>
    <t>9780443062742</t>
  </si>
  <si>
    <t>30001003832088</t>
  </si>
  <si>
    <t>893643554</t>
  </si>
  <si>
    <t>QW504 I32451 2005</t>
  </si>
  <si>
    <t>0                      QW 0504000I  32451       2005</t>
  </si>
  <si>
    <t>Immunobiology : the immune system in health and disease / Charles A. Janeway, Jr... [et al.].</t>
  </si>
  <si>
    <t>New York : Garland Science, c2005.</t>
  </si>
  <si>
    <t>2008-09-19</t>
  </si>
  <si>
    <t>2004-09-15</t>
  </si>
  <si>
    <t>60173180</t>
  </si>
  <si>
    <t>991000390649702656</t>
  </si>
  <si>
    <t>2263814040002656</t>
  </si>
  <si>
    <t>9780443073090</t>
  </si>
  <si>
    <t>30001004922805</t>
  </si>
  <si>
    <t>893649816</t>
  </si>
  <si>
    <t>QW 504 I3635 1985</t>
  </si>
  <si>
    <t>0                      QW 0504000I  3635        1985</t>
  </si>
  <si>
    <t>Immunology / [authors: Ronald D. Guttmann ... [et al.].</t>
  </si>
  <si>
    <t>Kalamazoo, Mich. : Upjohn, c1985.</t>
  </si>
  <si>
    <t>A Scope publication</t>
  </si>
  <si>
    <t>1997-10-04</t>
  </si>
  <si>
    <t>424226383:eng</t>
  </si>
  <si>
    <t>26860168</t>
  </si>
  <si>
    <t>991001103169702656</t>
  </si>
  <si>
    <t>2255227000002656</t>
  </si>
  <si>
    <t>9780895010094</t>
  </si>
  <si>
    <t>30001001610122</t>
  </si>
  <si>
    <t>893148871</t>
  </si>
  <si>
    <t>QW 504 I3636 1984</t>
  </si>
  <si>
    <t>0                      QW 0504000I  3636        1984</t>
  </si>
  <si>
    <t>Immunology.</t>
  </si>
  <si>
    <t>Menlo Park, Calif. : Benjamin/Cummings Pub. Co., c1984.</t>
  </si>
  <si>
    <t>2nd ed. / Leroy E. Hood ... [et al.].</t>
  </si>
  <si>
    <t>1997-11-14</t>
  </si>
  <si>
    <t>355607706:eng</t>
  </si>
  <si>
    <t>10711197</t>
  </si>
  <si>
    <t>991000999059702656</t>
  </si>
  <si>
    <t>2259057020002656</t>
  </si>
  <si>
    <t>9780805344073</t>
  </si>
  <si>
    <t>30001000229981</t>
  </si>
  <si>
    <t>893369017</t>
  </si>
  <si>
    <t>QW 504 I363612 1998</t>
  </si>
  <si>
    <t>0                      QW 0504000I  363612      1998</t>
  </si>
  <si>
    <t>Immunology / [edited by] Ivan Roitt, Jonathan Brostoff, David Male.</t>
  </si>
  <si>
    <t>London : Mosby, c1998.</t>
  </si>
  <si>
    <t>2007-07-27</t>
  </si>
  <si>
    <t>1998-02-27</t>
  </si>
  <si>
    <t>4452206:eng</t>
  </si>
  <si>
    <t>37966568</t>
  </si>
  <si>
    <t>991001306439702656</t>
  </si>
  <si>
    <t>2256191190002656</t>
  </si>
  <si>
    <t>9780723429180</t>
  </si>
  <si>
    <t>30001003749936</t>
  </si>
  <si>
    <t>893731874</t>
  </si>
  <si>
    <t>QW504 I363612 2001</t>
  </si>
  <si>
    <t>0                      QW 0504000I  363612      2001</t>
  </si>
  <si>
    <t>Edinburgh ; New York : Mosby, 2001.</t>
  </si>
  <si>
    <t>2006-01-16</t>
  </si>
  <si>
    <t>45952240</t>
  </si>
  <si>
    <t>991000455649702656</t>
  </si>
  <si>
    <t>2256375530002656</t>
  </si>
  <si>
    <t>9780723431893</t>
  </si>
  <si>
    <t>30001004912871</t>
  </si>
  <si>
    <t>893728440</t>
  </si>
  <si>
    <t>QW 504 I5917 1988</t>
  </si>
  <si>
    <t>0                      QW 0504000I  5917        1988</t>
  </si>
  <si>
    <t>Advances in immunopharmacology 4 / editors: J.W. Hadden ... [et al.].</t>
  </si>
  <si>
    <t>International Conference on Immunopharmacology (4th : 1988 : Osaka, Japan)</t>
  </si>
  <si>
    <t>Oxford : New York : Pergamon, c1989.</t>
  </si>
  <si>
    <t>1990-01-17</t>
  </si>
  <si>
    <t>21767698:eng</t>
  </si>
  <si>
    <t>19389531</t>
  </si>
  <si>
    <t>991001385329702656</t>
  </si>
  <si>
    <t>2259491590002656</t>
  </si>
  <si>
    <t>9780080361499</t>
  </si>
  <si>
    <t>30001001799651</t>
  </si>
  <si>
    <t>893816344</t>
  </si>
  <si>
    <t>QW 504 I592p 1986</t>
  </si>
  <si>
    <t>0                      QW 0504000I  592p        1986</t>
  </si>
  <si>
    <t>Progress in immunology VI / Sixth International Congress of Immunology ; edited by B. Cinader, Richard G. Miller.</t>
  </si>
  <si>
    <t>International Congress of Immunology (6th : 1986 : Toronto, Ont.)</t>
  </si>
  <si>
    <t>Orlando : Academic Press, c1986.</t>
  </si>
  <si>
    <t>1988-09-13</t>
  </si>
  <si>
    <t>11922990:eng</t>
  </si>
  <si>
    <t>16354851</t>
  </si>
  <si>
    <t>991001528729702656</t>
  </si>
  <si>
    <t>2254877470002656</t>
  </si>
  <si>
    <t>30001000620841</t>
  </si>
  <si>
    <t>893552606</t>
  </si>
  <si>
    <t>QW 504 I592p 1992</t>
  </si>
  <si>
    <t>0                      QW 0504000I  592p        1992</t>
  </si>
  <si>
    <t>Progress in immunology. Vol. VIII : proceedings of the 8th International Congress of Immunology, Budapest, 1992 / editors, J. Gergely ... [et al.].</t>
  </si>
  <si>
    <t>International Congress of Immunology (8th : 1992 : Budapest, Hungary)</t>
  </si>
  <si>
    <t>Berlin ; New York : Springer-Verlag, c1993.</t>
  </si>
  <si>
    <t>2002-02-04</t>
  </si>
  <si>
    <t>1994-12-15</t>
  </si>
  <si>
    <t>201514523:eng</t>
  </si>
  <si>
    <t>28366127</t>
  </si>
  <si>
    <t>991000683759702656</t>
  </si>
  <si>
    <t>2258410950002656</t>
  </si>
  <si>
    <t>9780387564012</t>
  </si>
  <si>
    <t>30001002698399</t>
  </si>
  <si>
    <t>893637226</t>
  </si>
  <si>
    <t>QW 504 J33i 1994</t>
  </si>
  <si>
    <t>0                      QW 0504000J  33i         1994</t>
  </si>
  <si>
    <t>Immunobiology : the immune system in health and disease / Charles A. Janeway, Jr., Paul Travers.</t>
  </si>
  <si>
    <t>Janeway, Charles.</t>
  </si>
  <si>
    <t>London ; San Francisco : Current Biology Limited ; New York : Garland Pub. Inc., c1994.</t>
  </si>
  <si>
    <t>2007-06-02</t>
  </si>
  <si>
    <t>1995-07-28</t>
  </si>
  <si>
    <t>30319111</t>
  </si>
  <si>
    <t>991001403169702656</t>
  </si>
  <si>
    <t>2265440100002656</t>
  </si>
  <si>
    <t>9780815314974</t>
  </si>
  <si>
    <t>30001003149061</t>
  </si>
  <si>
    <t>893279073</t>
  </si>
  <si>
    <t>QW504 J33i 2001</t>
  </si>
  <si>
    <t>0                      QW 0504000J  33i         2001</t>
  </si>
  <si>
    <t>New York : Garland Pub., 2001.</t>
  </si>
  <si>
    <t>2009-09-24</t>
  </si>
  <si>
    <t>2002-01-17</t>
  </si>
  <si>
    <t>48684898</t>
  </si>
  <si>
    <t>991000303219702656</t>
  </si>
  <si>
    <t>2264078150002656</t>
  </si>
  <si>
    <t>9780815336426</t>
  </si>
  <si>
    <t>30001004236453</t>
  </si>
  <si>
    <t>893136466</t>
  </si>
  <si>
    <t>QW 504 K49i 1990</t>
  </si>
  <si>
    <t>0                      QW 0504000K  49i         1990</t>
  </si>
  <si>
    <t>Introduction to immunology / John W. Kimball.</t>
  </si>
  <si>
    <t>Kimball, John W.</t>
  </si>
  <si>
    <t>New York : Macmillan ; London : Collier Macmillan, c1990.</t>
  </si>
  <si>
    <t>1997-10-05</t>
  </si>
  <si>
    <t>1989-12-15</t>
  </si>
  <si>
    <t>4355900:eng</t>
  </si>
  <si>
    <t>20168023</t>
  </si>
  <si>
    <t>991001363679702656</t>
  </si>
  <si>
    <t>2257878510002656</t>
  </si>
  <si>
    <t>9780023638350</t>
  </si>
  <si>
    <t>30001001797093</t>
  </si>
  <si>
    <t>893465436</t>
  </si>
  <si>
    <t>QW 504 K59u 1983</t>
  </si>
  <si>
    <t>0                      QW 0504000K  59u         1983</t>
  </si>
  <si>
    <t>Understanding medical immunology / Evelyne M. Kirkwood and Catriona J. Lewis.</t>
  </si>
  <si>
    <t>Kirkwood, Evelyne M.</t>
  </si>
  <si>
    <t>Chichester ; New York : Wiley, c1983.</t>
  </si>
  <si>
    <t>A Wiley medical publication</t>
  </si>
  <si>
    <t>1999-02-18</t>
  </si>
  <si>
    <t>1988-09-23</t>
  </si>
  <si>
    <t>489485:eng</t>
  </si>
  <si>
    <t>8670255</t>
  </si>
  <si>
    <t>991000998859702656</t>
  </si>
  <si>
    <t>2267565830002656</t>
  </si>
  <si>
    <t>9780471105299</t>
  </si>
  <si>
    <t>30001000229858</t>
  </si>
  <si>
    <t>893450750</t>
  </si>
  <si>
    <t>QW 504 K95i 1997</t>
  </si>
  <si>
    <t>0                      QW 0504000K  95i         1997</t>
  </si>
  <si>
    <t>Immunology / Janis Kuby.</t>
  </si>
  <si>
    <t>Kuby, Janis.</t>
  </si>
  <si>
    <t>New York : W.H. Freeman, c1997.</t>
  </si>
  <si>
    <t>1999-04-27</t>
  </si>
  <si>
    <t>51580467:eng</t>
  </si>
  <si>
    <t>36127172</t>
  </si>
  <si>
    <t>991000784769702656</t>
  </si>
  <si>
    <t>2266564440002656</t>
  </si>
  <si>
    <t>9780716728689</t>
  </si>
  <si>
    <t>30001004072247</t>
  </si>
  <si>
    <t>893373731</t>
  </si>
  <si>
    <t>QW 504 M489 1997</t>
  </si>
  <si>
    <t>0                      QW 0504000M  489         1997</t>
  </si>
  <si>
    <t>Medical immunology / edited by Daniel P. Stites, Abba I. Terr, Tristram G. Parslow.</t>
  </si>
  <si>
    <t>Stamford, Conn. : Appleton &amp; Lange, c1997.</t>
  </si>
  <si>
    <t>1997-06-17</t>
  </si>
  <si>
    <t>2487753769:eng</t>
  </si>
  <si>
    <t>36789107</t>
  </si>
  <si>
    <t>991001254379702656</t>
  </si>
  <si>
    <t>2258554460002656</t>
  </si>
  <si>
    <t>9780838505861</t>
  </si>
  <si>
    <t>30001003683812</t>
  </si>
  <si>
    <t>893134393</t>
  </si>
  <si>
    <t>QW504 M662w 2000</t>
  </si>
  <si>
    <t>0                      QW 0504000M  662w        2000</t>
  </si>
  <si>
    <t>The war within us : everyman's guide to infection and immunity / Cedric Mims.</t>
  </si>
  <si>
    <t>Mims, Cedric A.</t>
  </si>
  <si>
    <t>San Diego, CA. : Academic Press, c2000.</t>
  </si>
  <si>
    <t>2003-04-08</t>
  </si>
  <si>
    <t>2003-03-20</t>
  </si>
  <si>
    <t>801446100:eng</t>
  </si>
  <si>
    <t>44603902</t>
  </si>
  <si>
    <t>991000341949702656</t>
  </si>
  <si>
    <t>2261806650002656</t>
  </si>
  <si>
    <t>9780124982512</t>
  </si>
  <si>
    <t>30001004503688</t>
  </si>
  <si>
    <t>893832776</t>
  </si>
  <si>
    <t>QW 504 P895 1983</t>
  </si>
  <si>
    <t>0                      QW 0504000P  895         1983</t>
  </si>
  <si>
    <t>Practical allergy and immunology / edited by William B. Klaustermeyer.</t>
  </si>
  <si>
    <t>New York : Wiley, c1983.</t>
  </si>
  <si>
    <t>Family practice today</t>
  </si>
  <si>
    <t>1997-11-18</t>
  </si>
  <si>
    <t>43276571:eng</t>
  </si>
  <si>
    <t>8847220</t>
  </si>
  <si>
    <t>991000998639702656</t>
  </si>
  <si>
    <t>2265211690002656</t>
  </si>
  <si>
    <t>9780471095644</t>
  </si>
  <si>
    <t>30001000229585</t>
  </si>
  <si>
    <t>893374189</t>
  </si>
  <si>
    <t>QW 504 R294 1987</t>
  </si>
  <si>
    <t>0                      QW 0504000R  294         1987</t>
  </si>
  <si>
    <t>Recent advances in clinical immunology. No. 4 / edited by R. A. Thompson.</t>
  </si>
  <si>
    <t>Edinburgh : Churchill Livingstone, 1987.</t>
  </si>
  <si>
    <t>1989-11-22</t>
  </si>
  <si>
    <t>5090570228:eng</t>
  </si>
  <si>
    <t>15198570</t>
  </si>
  <si>
    <t>991001265989702656</t>
  </si>
  <si>
    <t>2260540920002656</t>
  </si>
  <si>
    <t>9780443034947</t>
  </si>
  <si>
    <t>30001000352874</t>
  </si>
  <si>
    <t>893832048</t>
  </si>
  <si>
    <t>QW504 R719e 2001</t>
  </si>
  <si>
    <t>0                      QW 0504000R  719e        2001</t>
  </si>
  <si>
    <t>Roitt's essential immunology / Ivan M. Roitt, Peter J. Delves.</t>
  </si>
  <si>
    <t>Roitt, Ivan M. (Ivan Maurice)</t>
  </si>
  <si>
    <t>Oxford ; Malden, MA : Blackwell Science, 2001.</t>
  </si>
  <si>
    <t>2001-12-20</t>
  </si>
  <si>
    <t>4206827137:eng</t>
  </si>
  <si>
    <t>46402574</t>
  </si>
  <si>
    <t>991000298819702656</t>
  </si>
  <si>
    <t>2263796210002656</t>
  </si>
  <si>
    <t>9780632059027</t>
  </si>
  <si>
    <t>30001004560324</t>
  </si>
  <si>
    <t>893633691</t>
  </si>
  <si>
    <t>QW 504 R813c 1996</t>
  </si>
  <si>
    <t>0                      QW 0504000R  813c        1996</t>
  </si>
  <si>
    <t>Case studies in immunology : a clinical companion / Fred S. Rosen, Raif S. Geha.</t>
  </si>
  <si>
    <t>Rosen, Fred S.</t>
  </si>
  <si>
    <t>London ; San Francisco : Current Biology Ltd. ; New York : Garland Pub., c1996.</t>
  </si>
  <si>
    <t>2007-02-07</t>
  </si>
  <si>
    <t>1997-08-27</t>
  </si>
  <si>
    <t>13012834:eng</t>
  </si>
  <si>
    <t>34471146</t>
  </si>
  <si>
    <t>991001270569702656</t>
  </si>
  <si>
    <t>2264577150002656</t>
  </si>
  <si>
    <t>9780443057250</t>
  </si>
  <si>
    <t>30001003694678</t>
  </si>
  <si>
    <t>893465339</t>
  </si>
  <si>
    <t>QW 504 S546i 1999</t>
  </si>
  <si>
    <t>0                      QW 0504000S  546i        1999</t>
  </si>
  <si>
    <t>Immunology for pharmacy students / Wei-Chiang Shen and Stan G. Louie.</t>
  </si>
  <si>
    <t>Shen, Wei-Chiang, 1942-</t>
  </si>
  <si>
    <t>Australia : Harwood Academic Publishers, c1999.</t>
  </si>
  <si>
    <t xml:space="preserve">at </t>
  </si>
  <si>
    <t>2000-08-22</t>
  </si>
  <si>
    <t>2000-01-18</t>
  </si>
  <si>
    <t>882939:eng</t>
  </si>
  <si>
    <t>40990991</t>
  </si>
  <si>
    <t>991001405939702656</t>
  </si>
  <si>
    <t>2258587690002656</t>
  </si>
  <si>
    <t>9789057023804</t>
  </si>
  <si>
    <t>30001003820117</t>
  </si>
  <si>
    <t>893451148</t>
  </si>
  <si>
    <t>QW 504 W425i 1977</t>
  </si>
  <si>
    <t>0                      QW 0504000W  425i        1977</t>
  </si>
  <si>
    <t>Immunology : an outline for students of medicine and biology / D. M. Weir.</t>
  </si>
  <si>
    <t>Weir, D. M. (Donald Mackay)</t>
  </si>
  <si>
    <t>Edinburgh ; New York : Churchill Livingstone ; New York : [distributed in the U. S. by Longman], 1977.</t>
  </si>
  <si>
    <t>-- 4th ed. --</t>
  </si>
  <si>
    <t>3805380421:eng</t>
  </si>
  <si>
    <t>3002061</t>
  </si>
  <si>
    <t>991000998229702656</t>
  </si>
  <si>
    <t>2272257330002656</t>
  </si>
  <si>
    <t>9780443015229</t>
  </si>
  <si>
    <t>30001000229338</t>
  </si>
  <si>
    <t>893816024</t>
  </si>
  <si>
    <t>QW 504.3 I334 1979</t>
  </si>
  <si>
    <t>0                      QW 0504300I  334         1979</t>
  </si>
  <si>
    <t>Immunology : basic processes / Joseph A. Bellanti.</t>
  </si>
  <si>
    <t>Philadelphia : Saunders, 1979.</t>
  </si>
  <si>
    <t>5102088</t>
  </si>
  <si>
    <t>991000999139702656</t>
  </si>
  <si>
    <t>2269163940002656</t>
  </si>
  <si>
    <t>9780721616773</t>
  </si>
  <si>
    <t>30001000230005</t>
  </si>
  <si>
    <t>893831838</t>
  </si>
  <si>
    <t>QW 504.5 A648 1993</t>
  </si>
  <si>
    <t>0                      QW 0504500A  648         1993</t>
  </si>
  <si>
    <t>Applied immunohistochemistry for the surgical pathologist / edited by Anthony S-Y. Leong.</t>
  </si>
  <si>
    <t>London ; Boston : E. Arnold ; Boston : Distributed in the Americas by Little, Brown, c1993.</t>
  </si>
  <si>
    <t>1998-09-17</t>
  </si>
  <si>
    <t>1994-09-13</t>
  </si>
  <si>
    <t>478799727:eng</t>
  </si>
  <si>
    <t>31208636</t>
  </si>
  <si>
    <t>991000680699702656</t>
  </si>
  <si>
    <t>2256577490002656</t>
  </si>
  <si>
    <t>9780340551486</t>
  </si>
  <si>
    <t>30001002697375</t>
  </si>
  <si>
    <t>893450082</t>
  </si>
  <si>
    <t>QW 504.5 C641 1984</t>
  </si>
  <si>
    <t>0                      QW 0504500C  641         1984</t>
  </si>
  <si>
    <t>Clinical immunochemistry : principles of methods and applications / edited by Robert C. Boguslaski, Edward T. Maggio, Robert M. Nakamura.</t>
  </si>
  <si>
    <t>Boston : Little, Brown and Co., c1984.</t>
  </si>
  <si>
    <t>Series in laboratory medicine</t>
  </si>
  <si>
    <t>1992-12-09</t>
  </si>
  <si>
    <t>836679163:eng</t>
  </si>
  <si>
    <t>11190365</t>
  </si>
  <si>
    <t>991000998419702656</t>
  </si>
  <si>
    <t>2258545270002656</t>
  </si>
  <si>
    <t>9780316100878</t>
  </si>
  <si>
    <t>30001000229403</t>
  </si>
  <si>
    <t>893161609</t>
  </si>
  <si>
    <t>QW 504.5 I33 1977</t>
  </si>
  <si>
    <t>0                      QW 0504500I  33          1977</t>
  </si>
  <si>
    <t>Immunochemistry : an advanced textbook / edited by L. E. Glynn and M. W. Steward.</t>
  </si>
  <si>
    <t>Chichester ; New York : Wiley, c1977.</t>
  </si>
  <si>
    <t>1992-08-27</t>
  </si>
  <si>
    <t>5453775134:eng</t>
  </si>
  <si>
    <t>2818500</t>
  </si>
  <si>
    <t>991000998459702656</t>
  </si>
  <si>
    <t>2267788300002656</t>
  </si>
  <si>
    <t>9780471995081</t>
  </si>
  <si>
    <t>30001000229411</t>
  </si>
  <si>
    <t>893740662</t>
  </si>
  <si>
    <t>QW 504.5 I334 1989</t>
  </si>
  <si>
    <t>0                      QW 0504500I  334         1989</t>
  </si>
  <si>
    <t>Immunogold-labeling in cell biology / editors, A.J. Verkleij, J.L.M. Leunissen.</t>
  </si>
  <si>
    <t>Boca Raton, Fla. : CRC Press, c1989.</t>
  </si>
  <si>
    <t>1997-08-21</t>
  </si>
  <si>
    <t>1990-01-30</t>
  </si>
  <si>
    <t>152299403:eng</t>
  </si>
  <si>
    <t>18521378</t>
  </si>
  <si>
    <t>991001445369702656</t>
  </si>
  <si>
    <t>2257485200002656</t>
  </si>
  <si>
    <t>9780849360534</t>
  </si>
  <si>
    <t>30001001880352</t>
  </si>
  <si>
    <t>893832197</t>
  </si>
  <si>
    <t>QW 504.5 L334i 1988</t>
  </si>
  <si>
    <t>0                      QW 0504500L  334i        1988</t>
  </si>
  <si>
    <t>Immunocytochemistry : theory and practice / author, Lars-Inge Larsson.</t>
  </si>
  <si>
    <t>Larsson, Lars-Inge.</t>
  </si>
  <si>
    <t>2006-02-16</t>
  </si>
  <si>
    <t>197870889:eng</t>
  </si>
  <si>
    <t>16683217</t>
  </si>
  <si>
    <t>991001445409702656</t>
  </si>
  <si>
    <t>2261075610002656</t>
  </si>
  <si>
    <t>9780849360787</t>
  </si>
  <si>
    <t>30001001880360</t>
  </si>
  <si>
    <t>893168201</t>
  </si>
  <si>
    <t>QW 504.5 M468i 1980</t>
  </si>
  <si>
    <t>0                      QW 0504500M  468i        1980</t>
  </si>
  <si>
    <t>Immunochemical methods in the biological sciences : enzymes and proteins / R.J. Mayer and J.H. Walker.</t>
  </si>
  <si>
    <t>Mayer, R. J.</t>
  </si>
  <si>
    <t>London ; New York : Academic Press, c1980.</t>
  </si>
  <si>
    <t>Biological techniques series ; 3</t>
  </si>
  <si>
    <t>1992-11-09</t>
  </si>
  <si>
    <t>197011670:eng</t>
  </si>
  <si>
    <t>6825693</t>
  </si>
  <si>
    <t>991001329499702656</t>
  </si>
  <si>
    <t>2269738700002656</t>
  </si>
  <si>
    <t>9780124807501</t>
  </si>
  <si>
    <t>30001000422115</t>
  </si>
  <si>
    <t>893743741</t>
  </si>
  <si>
    <t>QW 504.5 M7179 1996</t>
  </si>
  <si>
    <t>0                      QW 0504500M  7179        1996</t>
  </si>
  <si>
    <t>Molecular immunology / edited by B. David Hames and David M. Glover.</t>
  </si>
  <si>
    <t>Oxford ; New York : IRL Press, c1996.</t>
  </si>
  <si>
    <t>Frontiers in molecular biology ; 11</t>
  </si>
  <si>
    <t>2008-05-19</t>
  </si>
  <si>
    <t>1997-02-14</t>
  </si>
  <si>
    <t>364622424:eng</t>
  </si>
  <si>
    <t>32589202</t>
  </si>
  <si>
    <t>991001558859702656</t>
  </si>
  <si>
    <t>2261037810002656</t>
  </si>
  <si>
    <t>9780199633784</t>
  </si>
  <si>
    <t>30001003474592</t>
  </si>
  <si>
    <t>893268641</t>
  </si>
  <si>
    <t>QW 504.5 P563a 1992</t>
  </si>
  <si>
    <t>0                      QW 0504500P  563a        1992</t>
  </si>
  <si>
    <t>Analytical techniques in immunochemistry / Terry M. Phillips.</t>
  </si>
  <si>
    <t>Phillips, Terry M.</t>
  </si>
  <si>
    <t>New York : Dekker, c1992.</t>
  </si>
  <si>
    <t>1995-10-30</t>
  </si>
  <si>
    <t>1994-03-14</t>
  </si>
  <si>
    <t>43419748:eng</t>
  </si>
  <si>
    <t>24795853</t>
  </si>
  <si>
    <t>991001197079702656</t>
  </si>
  <si>
    <t>2259757680002656</t>
  </si>
  <si>
    <t>9780824784775</t>
  </si>
  <si>
    <t>30001002984831</t>
  </si>
  <si>
    <t>893363860</t>
  </si>
  <si>
    <t>QW 504.5 S839i 1979</t>
  </si>
  <si>
    <t>0                      QW 0504500S  839i        1979</t>
  </si>
  <si>
    <t>Immunocytochemistry / Ludwig A. Sternberger.</t>
  </si>
  <si>
    <t>Sternberger, Ludwig A.</t>
  </si>
  <si>
    <t>New York : Wiley, c1979.</t>
  </si>
  <si>
    <t>2000-07-24</t>
  </si>
  <si>
    <t>1598315:eng</t>
  </si>
  <si>
    <t>4194096</t>
  </si>
  <si>
    <t>991000491529702656</t>
  </si>
  <si>
    <t>2262449660002656</t>
  </si>
  <si>
    <t>9780471033868</t>
  </si>
  <si>
    <t>30001000229437</t>
  </si>
  <si>
    <t>893634263</t>
  </si>
  <si>
    <t>QW 504.5 T255 1982-83</t>
  </si>
  <si>
    <t>0                      QW 0504500T  255         1982                                        -83</t>
  </si>
  <si>
    <t>Techniques in immunocytochemistry / edited by Gillian R. Bullock and Peter Petrusz.</t>
  </si>
  <si>
    <t>London ; New York : Academic Press, c1982-83.</t>
  </si>
  <si>
    <t>2008-01-07</t>
  </si>
  <si>
    <t>5092811414:eng</t>
  </si>
  <si>
    <t>10017952</t>
  </si>
  <si>
    <t>991000998509702656</t>
  </si>
  <si>
    <t>2269656000002656</t>
  </si>
  <si>
    <t>9780121404017</t>
  </si>
  <si>
    <t>30001000229452</t>
  </si>
  <si>
    <t>893557500</t>
  </si>
  <si>
    <t>30001000229460</t>
  </si>
  <si>
    <t>893546294</t>
  </si>
  <si>
    <t>QW 504.5 T255 1985 v.3</t>
  </si>
  <si>
    <t>0                      QW 0504500T  255         1985                                        v.3</t>
  </si>
  <si>
    <t>Techniques in immunocytochemistry. vol. 3 / edited by G.R. Bullock and P. Petrusz.</t>
  </si>
  <si>
    <t>London : Academic Press, c1985.</t>
  </si>
  <si>
    <t>1988-10-06</t>
  </si>
  <si>
    <t>4915099277:eng</t>
  </si>
  <si>
    <t>16774764</t>
  </si>
  <si>
    <t>991001425189702656</t>
  </si>
  <si>
    <t>2258340570002656</t>
  </si>
  <si>
    <t>9780121404031</t>
  </si>
  <si>
    <t>30001001184086</t>
  </si>
  <si>
    <t>893121485</t>
  </si>
  <si>
    <t>QW 511 P233v 1968</t>
  </si>
  <si>
    <t>0                      QW 0511000P  233v        1968</t>
  </si>
  <si>
    <t>Victory with vaccines : the story of immunization / H. J. Parish.</t>
  </si>
  <si>
    <t>Parish, H. J. (Henry James)</t>
  </si>
  <si>
    <t>Edinburgh, London : E. &amp; S. Livingstone, 1968.</t>
  </si>
  <si>
    <t>2006-10-03</t>
  </si>
  <si>
    <t>224722501:eng</t>
  </si>
  <si>
    <t>219807</t>
  </si>
  <si>
    <t>991000998599702656</t>
  </si>
  <si>
    <t>2258159130002656</t>
  </si>
  <si>
    <t>9780443005794</t>
  </si>
  <si>
    <t>30001000229536</t>
  </si>
  <si>
    <t>893632647</t>
  </si>
  <si>
    <t>QW 513 E56 1992</t>
  </si>
  <si>
    <t>0                      QW 0513000E  56          1992</t>
  </si>
  <si>
    <t>Encyclopedia of immunology / editor-in-chief, Ivan M. Roitt ; executive editor, Peter J. Delves.</t>
  </si>
  <si>
    <t>London ; San Diego : Academic Press, c1992.</t>
  </si>
  <si>
    <t>1992-09-09</t>
  </si>
  <si>
    <t>5534243211:eng</t>
  </si>
  <si>
    <t>26934366</t>
  </si>
  <si>
    <t>991000686099702656</t>
  </si>
  <si>
    <t>2261862460002656</t>
  </si>
  <si>
    <t>9780122267604</t>
  </si>
  <si>
    <t>30001002699058</t>
  </si>
  <si>
    <t>893540225</t>
  </si>
  <si>
    <t>30001002699066</t>
  </si>
  <si>
    <t>893551291</t>
  </si>
  <si>
    <t>30001002699074</t>
  </si>
  <si>
    <t>893560394</t>
  </si>
  <si>
    <t>QW 517 A881 2006</t>
  </si>
  <si>
    <t>0                      QW 0517000A  881         2006</t>
  </si>
  <si>
    <t>Atlas of allergies and clinical immunology / [edited by] Philip Fireman.</t>
  </si>
  <si>
    <t>Philadelphia, PA : Mosby, c2006.</t>
  </si>
  <si>
    <t>2009-08-24</t>
  </si>
  <si>
    <t>2866240370:eng</t>
  </si>
  <si>
    <t>56567155</t>
  </si>
  <si>
    <t>991001487449702656</t>
  </si>
  <si>
    <t>2267501500002656</t>
  </si>
  <si>
    <t>9780323024952</t>
  </si>
  <si>
    <t>30001004919272</t>
  </si>
  <si>
    <t>893727670</t>
  </si>
  <si>
    <t>QW 525 B915L 1986</t>
  </si>
  <si>
    <t>0                      QW 0525000B  915L        1986</t>
  </si>
  <si>
    <t>Laboratory immunology and serology / Neville J. Bryant.</t>
  </si>
  <si>
    <t>Bryant, Neville J.</t>
  </si>
  <si>
    <t>Philadelphia : Saunders, c1986.</t>
  </si>
  <si>
    <t>1991-09-13</t>
  </si>
  <si>
    <t>1991-09-12</t>
  </si>
  <si>
    <t>5153830:eng</t>
  </si>
  <si>
    <t>12133711</t>
  </si>
  <si>
    <t>991001014039702656</t>
  </si>
  <si>
    <t>2262565140002656</t>
  </si>
  <si>
    <t>9780721610597</t>
  </si>
  <si>
    <t>30001002240358</t>
  </si>
  <si>
    <t>893736146</t>
  </si>
  <si>
    <t>QW 525 H886p 1980</t>
  </si>
  <si>
    <t>0                      QW 0525000H  886p        1980</t>
  </si>
  <si>
    <t>Practical immunology / Leslie Hudson, Frank C. Hay.</t>
  </si>
  <si>
    <t>Hudson, Leslie.</t>
  </si>
  <si>
    <t>Oxford ; Boston : Blackwell Scientific ; St. Louis, Mo. : Blackwell Mosby Book Distributors, 1980.</t>
  </si>
  <si>
    <t>1988-02-09</t>
  </si>
  <si>
    <t>5744617:eng</t>
  </si>
  <si>
    <t>7739506</t>
  </si>
  <si>
    <t>991000975549702656</t>
  </si>
  <si>
    <t>2264724300002656</t>
  </si>
  <si>
    <t>9780632003532</t>
  </si>
  <si>
    <t>30001000210049</t>
  </si>
  <si>
    <t>893834508</t>
  </si>
  <si>
    <t>QW 525 J73i 1987</t>
  </si>
  <si>
    <t>0                      QW 0525000J  73i         1987</t>
  </si>
  <si>
    <t>Immunochemistry in practice / Alan Johnstone, Robin Thorpe.</t>
  </si>
  <si>
    <t>Johnstone, Alan.</t>
  </si>
  <si>
    <t>Oxford : Blackwell Scientific, c1987.</t>
  </si>
  <si>
    <t>1988-04-15</t>
  </si>
  <si>
    <t>18987349:eng</t>
  </si>
  <si>
    <t>18835049</t>
  </si>
  <si>
    <t>991001184889702656</t>
  </si>
  <si>
    <t>2265119580002656</t>
  </si>
  <si>
    <t>9780632017232</t>
  </si>
  <si>
    <t>30001000977712</t>
  </si>
  <si>
    <t>893134327</t>
  </si>
  <si>
    <t>QW 525 M592 1963</t>
  </si>
  <si>
    <t>0                      QW 0525000M  592         1963</t>
  </si>
  <si>
    <t>Methods in immunology : a laboratory text for instruction and research / Dan H. Campbell [and others]</t>
  </si>
  <si>
    <t>Campbell, Dan Hampton, 1908-1974.</t>
  </si>
  <si>
    <t>New York : W. A. Benjamin, 1963.</t>
  </si>
  <si>
    <t>1047353111:eng</t>
  </si>
  <si>
    <t>562528</t>
  </si>
  <si>
    <t>991000975569702656</t>
  </si>
  <si>
    <t>2254711910002656</t>
  </si>
  <si>
    <t>30001000210064</t>
  </si>
  <si>
    <t>893727142</t>
  </si>
  <si>
    <t>QW525 T936i 2003</t>
  </si>
  <si>
    <t>0                      QW 0525000T  936i        2003</t>
  </si>
  <si>
    <t>Immunology &amp; serology in laboratory medicine / Mary Louise Turgeon.</t>
  </si>
  <si>
    <t>Turgeon, Mary Louise.</t>
  </si>
  <si>
    <t>St. Louis : Mosby, c2003.</t>
  </si>
  <si>
    <t>2007-08-14</t>
  </si>
  <si>
    <t>2006-01-19</t>
  </si>
  <si>
    <t>679681:eng</t>
  </si>
  <si>
    <t>51278445</t>
  </si>
  <si>
    <t>991000456329702656</t>
  </si>
  <si>
    <t>2254775850002656</t>
  </si>
  <si>
    <t>9780323023719</t>
  </si>
  <si>
    <t>30001004912863</t>
  </si>
  <si>
    <t>893461509</t>
  </si>
  <si>
    <t>QW 539 J54p 1999</t>
  </si>
  <si>
    <t>0                      QW 0539000J  54p         1999</t>
  </si>
  <si>
    <t>Pocket guide to vaccination and prophylaxis / Hal B. Jenson.</t>
  </si>
  <si>
    <t>Jenson, Hal B.</t>
  </si>
  <si>
    <t>Philadelphia : W.B. Saunders, c1999.</t>
  </si>
  <si>
    <t>1999-04-05</t>
  </si>
  <si>
    <t>1999-04-01</t>
  </si>
  <si>
    <t>5574905871:eng</t>
  </si>
  <si>
    <t>39625424</t>
  </si>
  <si>
    <t>991000783489702656</t>
  </si>
  <si>
    <t>2261855750002656</t>
  </si>
  <si>
    <t>9780721679938</t>
  </si>
  <si>
    <t>30001004071017</t>
  </si>
  <si>
    <t>893283749</t>
  </si>
  <si>
    <t>QW540 F981 1999</t>
  </si>
  <si>
    <t>0                      QW 0540000F  981         1999</t>
  </si>
  <si>
    <t>Philadelphia : Lippincott-Raven, c1999.</t>
  </si>
  <si>
    <t>2003-04-10</t>
  </si>
  <si>
    <t>2002-12-19</t>
  </si>
  <si>
    <t>38757937</t>
  </si>
  <si>
    <t>991000333849702656</t>
  </si>
  <si>
    <t>2266561000002656</t>
  </si>
  <si>
    <t>9780781714129</t>
  </si>
  <si>
    <t>30001004500833</t>
  </si>
  <si>
    <t>893264140</t>
  </si>
  <si>
    <t>QW540 F981 2003</t>
  </si>
  <si>
    <t>0                      QW 0540000F  981         2003</t>
  </si>
  <si>
    <t>Philadelphia : Lippincott Williams &amp; Wilkins, c2003.</t>
  </si>
  <si>
    <t>2004-11-22</t>
  </si>
  <si>
    <t>51804795</t>
  </si>
  <si>
    <t>991000414079702656</t>
  </si>
  <si>
    <t>2268857000002656</t>
  </si>
  <si>
    <t>9780781735148</t>
  </si>
  <si>
    <t>30001004925683</t>
  </si>
  <si>
    <t>893811467</t>
  </si>
  <si>
    <t>QW 540 I436 2005</t>
  </si>
  <si>
    <t>0                      QW 0540000I  436         2005</t>
  </si>
  <si>
    <t>Infectious diseases and substance abuse / edited by Herman Friedman, Thomas W. Klein and Mauro Bendinelli.</t>
  </si>
  <si>
    <t>New York : Springer Science+Business Media, c2005.</t>
  </si>
  <si>
    <t>2007-02-09</t>
  </si>
  <si>
    <t>2007-02-06</t>
  </si>
  <si>
    <t>865315476:eng</t>
  </si>
  <si>
    <t>55955709</t>
  </si>
  <si>
    <t>991000592669702656</t>
  </si>
  <si>
    <t>2268381690002656</t>
  </si>
  <si>
    <t>9780306486876</t>
  </si>
  <si>
    <t>30001005175288</t>
  </si>
  <si>
    <t>893454043</t>
  </si>
  <si>
    <t>QW 540 S531b 1998</t>
  </si>
  <si>
    <t>0                      QW 0540000S  531b        1998</t>
  </si>
  <si>
    <t>Basic immunology / Jacqueline Sharon.</t>
  </si>
  <si>
    <t>Sharon, Jacqueline.</t>
  </si>
  <si>
    <t>Baltimore : Williams &amp; Wilkins, c1998.</t>
  </si>
  <si>
    <t>1998-11-03</t>
  </si>
  <si>
    <t>571767:eng</t>
  </si>
  <si>
    <t>37616764</t>
  </si>
  <si>
    <t>991000822429702656</t>
  </si>
  <si>
    <t>2268774090002656</t>
  </si>
  <si>
    <t>9780683077292</t>
  </si>
  <si>
    <t>30001004091726</t>
  </si>
  <si>
    <t>893740373</t>
  </si>
  <si>
    <t>QW 541 N532 2008</t>
  </si>
  <si>
    <t>0                      QW 0541000N  532         2008</t>
  </si>
  <si>
    <t>New research on innate immunity / Mathis Durand and Clara V. Morel (editors).</t>
  </si>
  <si>
    <t>New York : Nova Science, c2008.</t>
  </si>
  <si>
    <t>2008</t>
  </si>
  <si>
    <t>2009-05-21</t>
  </si>
  <si>
    <t>131430445:eng</t>
  </si>
  <si>
    <t>213480096</t>
  </si>
  <si>
    <t>991001462349702656</t>
  </si>
  <si>
    <t>2269084220002656</t>
  </si>
  <si>
    <t>9781604565492</t>
  </si>
  <si>
    <t>30001004916179</t>
  </si>
  <si>
    <t>893287434</t>
  </si>
  <si>
    <t>QW 568 B615 1979</t>
  </si>
  <si>
    <t>0                      QW 0568000B  615         1979</t>
  </si>
  <si>
    <t>Biology of the lymphokines / edited by Stanley Cohen, Edgar Pick, Joost J. Oppenheim.</t>
  </si>
  <si>
    <t>-- New York : Academic Press, 1979.</t>
  </si>
  <si>
    <t>1993-05-27</t>
  </si>
  <si>
    <t>355899643:eng</t>
  </si>
  <si>
    <t>4835266</t>
  </si>
  <si>
    <t>991000975679702656</t>
  </si>
  <si>
    <t>2268143690002656</t>
  </si>
  <si>
    <t>9780121782504</t>
  </si>
  <si>
    <t>30001000210114</t>
  </si>
  <si>
    <t>893267894</t>
  </si>
  <si>
    <t>QW 568 C6407 1993</t>
  </si>
  <si>
    <t>0                      QW 0568000C  6407        1993</t>
  </si>
  <si>
    <t>Clinical applications of cytokines : role in pathogenesis, diagnosis, and therapy / edited by Joost J. Oppenheim, Jeffrey L. Rossio, Andrew J.H. Gearing.</t>
  </si>
  <si>
    <t>New York : Oxford University Press, c1993.</t>
  </si>
  <si>
    <t>2002-06-11</t>
  </si>
  <si>
    <t>1994-02-17</t>
  </si>
  <si>
    <t>807166560:eng</t>
  </si>
  <si>
    <t>27036251</t>
  </si>
  <si>
    <t>991000552789702656</t>
  </si>
  <si>
    <t>2272459220002656</t>
  </si>
  <si>
    <t>9780195071290</t>
  </si>
  <si>
    <t>30001002671487</t>
  </si>
  <si>
    <t>893729991</t>
  </si>
  <si>
    <t>QW 568 C9943 1998</t>
  </si>
  <si>
    <t>0                      QW 0568000C  9943        1998</t>
  </si>
  <si>
    <t>Cytokine knockouts / edited by Scott K. Durum and Kathrin Muegge ; foreword by Klaus Rajewsky.</t>
  </si>
  <si>
    <t>Contemporary immunology</t>
  </si>
  <si>
    <t>2001-10-11</t>
  </si>
  <si>
    <t>1999-10-08</t>
  </si>
  <si>
    <t>355990057:eng</t>
  </si>
  <si>
    <t>37616751</t>
  </si>
  <si>
    <t>991000782479702656</t>
  </si>
  <si>
    <t>2268776100002656</t>
  </si>
  <si>
    <t>9780896033689</t>
  </si>
  <si>
    <t>30001004069987</t>
  </si>
  <si>
    <t>893120384</t>
  </si>
  <si>
    <t>QW 568 C99457 1998</t>
  </si>
  <si>
    <t>0                      QW 0568000C  99457       1998</t>
  </si>
  <si>
    <t>Cytokines / edited by Anthony R. Mire-Sluis and Robin Thorpe.</t>
  </si>
  <si>
    <t>San Diego : Academic Press, c1998.</t>
  </si>
  <si>
    <t>2006-05-23</t>
  </si>
  <si>
    <t>1998-09-08</t>
  </si>
  <si>
    <t>1010727468:eng</t>
  </si>
  <si>
    <t>39305338</t>
  </si>
  <si>
    <t>991001569609702656</t>
  </si>
  <si>
    <t>2271165190002656</t>
  </si>
  <si>
    <t>9780124983403</t>
  </si>
  <si>
    <t>30001004092377</t>
  </si>
  <si>
    <t>893732164</t>
  </si>
  <si>
    <t>QW 568 C9946 1996</t>
  </si>
  <si>
    <t>0                      QW 0568000C  9946        1996</t>
  </si>
  <si>
    <t>Cytokines and the CNS / edited by Richard M. Ransohoff, Etty N. Benveniste.</t>
  </si>
  <si>
    <t>Boca Raton : CRC Press, c1996.</t>
  </si>
  <si>
    <t>1998-02-13</t>
  </si>
  <si>
    <t>864897315:eng</t>
  </si>
  <si>
    <t>33009527</t>
  </si>
  <si>
    <t>991001262299702656</t>
  </si>
  <si>
    <t>2258423460002656</t>
  </si>
  <si>
    <t>9780849324529</t>
  </si>
  <si>
    <t>30001003691559</t>
  </si>
  <si>
    <t>893727384</t>
  </si>
  <si>
    <t>QW 568 C997 1988</t>
  </si>
  <si>
    <t>0                      QW 0568000C  997         1988</t>
  </si>
  <si>
    <t>Cytolytic lymphocytes and complement : effectors of the immune system / editor, Eckhard R. Podack.</t>
  </si>
  <si>
    <t>1989-02-17</t>
  </si>
  <si>
    <t>793023291:eng</t>
  </si>
  <si>
    <t>16523320</t>
  </si>
  <si>
    <t>991001238129702656</t>
  </si>
  <si>
    <t>2269221650002656</t>
  </si>
  <si>
    <t>9780849369681</t>
  </si>
  <si>
    <t>30001001675059</t>
  </si>
  <si>
    <t>893546477</t>
  </si>
  <si>
    <t>30001001675034</t>
  </si>
  <si>
    <t>893546476</t>
  </si>
  <si>
    <t>QW568 D3909 2001</t>
  </si>
  <si>
    <t>0                      QW 0568000D  3909        2001</t>
  </si>
  <si>
    <t>Dendritic cells : biology and clinical applications / edited by Michael T. Lotze, Angus W. Thomson.</t>
  </si>
  <si>
    <t>San Diego : Academic Press, c2001.</t>
  </si>
  <si>
    <t>2006-12-19</t>
  </si>
  <si>
    <t>2003-04-04</t>
  </si>
  <si>
    <t>1152179309:eng</t>
  </si>
  <si>
    <t>47902092</t>
  </si>
  <si>
    <t>991000343549702656</t>
  </si>
  <si>
    <t>2260407060002656</t>
  </si>
  <si>
    <t>9780124558519</t>
  </si>
  <si>
    <t>30001004504066</t>
  </si>
  <si>
    <t>893279938</t>
  </si>
  <si>
    <t>QW 568 D3911 1999</t>
  </si>
  <si>
    <t>0                      QW 0568000D  3911        1999</t>
  </si>
  <si>
    <t>San Diego : Academic Press, c1999.</t>
  </si>
  <si>
    <t>2002-10-18</t>
  </si>
  <si>
    <t>1999-09-02</t>
  </si>
  <si>
    <t>40265334</t>
  </si>
  <si>
    <t>991001573349702656</t>
  </si>
  <si>
    <t>2256663290002656</t>
  </si>
  <si>
    <t>9780124558601</t>
  </si>
  <si>
    <t>30001004080075</t>
  </si>
  <si>
    <t>893546827</t>
  </si>
  <si>
    <t>QW 568 H236 1997</t>
  </si>
  <si>
    <t>0                      QW 0568000H  236         1997</t>
  </si>
  <si>
    <t>Handbook of human immunology / edited by Mary S. Leffell, Albert D. Donnenberg, Noel R. Rose.</t>
  </si>
  <si>
    <t>Boca Raton : CRC Press, c1997.</t>
  </si>
  <si>
    <t>2003-04-30</t>
  </si>
  <si>
    <t>863890407:eng</t>
  </si>
  <si>
    <t>35836737</t>
  </si>
  <si>
    <t>991001534459702656</t>
  </si>
  <si>
    <t>2259947030002656</t>
  </si>
  <si>
    <t>9780849301346</t>
  </si>
  <si>
    <t>30001003962356</t>
  </si>
  <si>
    <t>893834715</t>
  </si>
  <si>
    <t>QW 568 I29 1992</t>
  </si>
  <si>
    <t>0                      QW 0568000I  29          1992</t>
  </si>
  <si>
    <t>IL-6, physiopathology and clinical potentials / editor, Michel Revel.</t>
  </si>
  <si>
    <t>New York : Raven Press, c1992.</t>
  </si>
  <si>
    <t>Serono symposia publications from Raven Press ; v. 88</t>
  </si>
  <si>
    <t>1998-11-13</t>
  </si>
  <si>
    <t>1993-08-31</t>
  </si>
  <si>
    <t>807312467:eng</t>
  </si>
  <si>
    <t>27436536</t>
  </si>
  <si>
    <t>991001511159702656</t>
  </si>
  <si>
    <t>2269731190002656</t>
  </si>
  <si>
    <t>9780881677911</t>
  </si>
  <si>
    <t>30001002600825</t>
  </si>
  <si>
    <t>893732132</t>
  </si>
  <si>
    <t>QW 568 I317 1986</t>
  </si>
  <si>
    <t>0                      QW 0568000I  317         1986</t>
  </si>
  <si>
    <t>Immunobiology of natural killer cells / editor, Eva Lotzová ; associate editor, Ronald B. Herberman.</t>
  </si>
  <si>
    <t>Boca Raton, Fla. : CRC Press, c1986.</t>
  </si>
  <si>
    <t>355377214:eng</t>
  </si>
  <si>
    <t>12108057</t>
  </si>
  <si>
    <t>991001475549702656</t>
  </si>
  <si>
    <t>2265078260002656</t>
  </si>
  <si>
    <t>9780849365423</t>
  </si>
  <si>
    <t>30001000559346</t>
  </si>
  <si>
    <t>893832225</t>
  </si>
  <si>
    <t>30001000559338</t>
  </si>
  <si>
    <t>893821244</t>
  </si>
  <si>
    <t>QW 568 I339 1989</t>
  </si>
  <si>
    <t>0                      QW 0568000I  339         1989</t>
  </si>
  <si>
    <t>Immunosuppression and human malignancy / by David Naor ... [et al.] ; foreword by Marc Feldmann.</t>
  </si>
  <si>
    <t>Clifton, N.J. : Humana Press, c1989.</t>
  </si>
  <si>
    <t>1992-04-02</t>
  </si>
  <si>
    <t>21157222:eng</t>
  </si>
  <si>
    <t>19554160</t>
  </si>
  <si>
    <t>991001299359702656</t>
  </si>
  <si>
    <t>2270890540002656</t>
  </si>
  <si>
    <t>9780896031494</t>
  </si>
  <si>
    <t>30001002411256</t>
  </si>
  <si>
    <t>893552338</t>
  </si>
  <si>
    <t>QW 568 I53i 1982</t>
  </si>
  <si>
    <t>0                      QW 0568000I  53i         1982</t>
  </si>
  <si>
    <t>Interleukins, lymphokines, and cytokines : proceedings of the Third International Lymphokine Workshop / edited by Joost J. Oppenheim, Stanley Cohen ; discussion editor, Maurice Landy.</t>
  </si>
  <si>
    <t>International Lymphokine Workshop (3rd : 1982 : Haverford College)</t>
  </si>
  <si>
    <t>New York : Academic Press, c1983.</t>
  </si>
  <si>
    <t>1997-05-11</t>
  </si>
  <si>
    <t>42773920:eng</t>
  </si>
  <si>
    <t>9256095</t>
  </si>
  <si>
    <t>991000975769702656</t>
  </si>
  <si>
    <t>2256181850002656</t>
  </si>
  <si>
    <t>9780125275408</t>
  </si>
  <si>
    <t>30001000210163</t>
  </si>
  <si>
    <t>893546260</t>
  </si>
  <si>
    <t>QW 568 I57 1988</t>
  </si>
  <si>
    <t>0                      QW 0568000I  57          1988</t>
  </si>
  <si>
    <t>Interleukin 2 / edited by Kendall A. Smith.</t>
  </si>
  <si>
    <t>1992-08-24</t>
  </si>
  <si>
    <t>55030534:eng</t>
  </si>
  <si>
    <t>16985498</t>
  </si>
  <si>
    <t>991001239269702656</t>
  </si>
  <si>
    <t>2262786730002656</t>
  </si>
  <si>
    <t>9780126514209</t>
  </si>
  <si>
    <t>30001001675232</t>
  </si>
  <si>
    <t>893736349</t>
  </si>
  <si>
    <t>QW 568 M7175 1994</t>
  </si>
  <si>
    <t>0                      QW 0568000M  7175        1994</t>
  </si>
  <si>
    <t>Molecular and cellular biology of the allergic response / edited by Arnold I. Levinson, Yvonne Paterson.</t>
  </si>
  <si>
    <t>New York : M. Dekker, c1994.</t>
  </si>
  <si>
    <t>Clinical allergy and immunology ; 3</t>
  </si>
  <si>
    <t>1998-07-20</t>
  </si>
  <si>
    <t>365282297:eng</t>
  </si>
  <si>
    <t>29877505</t>
  </si>
  <si>
    <t>991000678879702656</t>
  </si>
  <si>
    <t>2257836410002656</t>
  </si>
  <si>
    <t>9780824788766</t>
  </si>
  <si>
    <t>30001002697003</t>
  </si>
  <si>
    <t>893556840</t>
  </si>
  <si>
    <t>QW 568 T113 1988</t>
  </si>
  <si>
    <t>0                      QW 0568000T  113         1988</t>
  </si>
  <si>
    <t>The T-cell receptors / edited by Tak W. Mak.</t>
  </si>
  <si>
    <t>New York : Plenum Press, c1988.</t>
  </si>
  <si>
    <t>1988-12-19</t>
  </si>
  <si>
    <t>55053672:eng</t>
  </si>
  <si>
    <t>17354236</t>
  </si>
  <si>
    <t>991001113009702656</t>
  </si>
  <si>
    <t>2267958610002656</t>
  </si>
  <si>
    <t>9780306427084</t>
  </si>
  <si>
    <t>30001001612482</t>
  </si>
  <si>
    <t>893820916</t>
  </si>
  <si>
    <t>QW 570 B915i 1982</t>
  </si>
  <si>
    <t>0                      QW 0570000B  915i        1982</t>
  </si>
  <si>
    <t>An introduction to immunohematology / Neville J. Bryant.</t>
  </si>
  <si>
    <t>Philadelphia : Saunders, c1982.</t>
  </si>
  <si>
    <t>1991-01-09</t>
  </si>
  <si>
    <t>3982515:eng</t>
  </si>
  <si>
    <t>7571980</t>
  </si>
  <si>
    <t>991000748619702656</t>
  </si>
  <si>
    <t>2262230040002656</t>
  </si>
  <si>
    <t>9780721621678</t>
  </si>
  <si>
    <t>30001000046799</t>
  </si>
  <si>
    <t>893551432</t>
  </si>
  <si>
    <t>QW 570 B964e 1956</t>
  </si>
  <si>
    <t>0                      QW 0570000B  964e        1956</t>
  </si>
  <si>
    <t>Enzyme antigen and virus : a study of macromolecular pattern in action.</t>
  </si>
  <si>
    <t>Burnet, F. M. (Frank Macfarlane), Sir, 1899-1985.</t>
  </si>
  <si>
    <t>Cambridge [Eng] : University Press, [1956]</t>
  </si>
  <si>
    <t>1956</t>
  </si>
  <si>
    <t>1644319:eng</t>
  </si>
  <si>
    <t>1560542</t>
  </si>
  <si>
    <t>991000975859702656</t>
  </si>
  <si>
    <t>2261949380002656</t>
  </si>
  <si>
    <t>30001000210221</t>
  </si>
  <si>
    <t>893121078</t>
  </si>
  <si>
    <t>QW 570 G568a 1965</t>
  </si>
  <si>
    <t>0                      QW 0570000G  568a        1965</t>
  </si>
  <si>
    <t>Autoimmunity and disease : L. E. Glynn and E. J. Holborow.</t>
  </si>
  <si>
    <t>Glynn, L. E. (Leonard Eleazar), 1910-</t>
  </si>
  <si>
    <t>Philadelphia : Davis, [c1965]</t>
  </si>
  <si>
    <t>1965</t>
  </si>
  <si>
    <t>2002-09-29</t>
  </si>
  <si>
    <t>2231289:eng</t>
  </si>
  <si>
    <t>1293354</t>
  </si>
  <si>
    <t>991000975749702656</t>
  </si>
  <si>
    <t>2266246730002656</t>
  </si>
  <si>
    <t>30001000210148</t>
  </si>
  <si>
    <t>893637906</t>
  </si>
  <si>
    <t>QW 570 G848i 1983</t>
  </si>
  <si>
    <t>0                      QW 0570000G  848i        1983</t>
  </si>
  <si>
    <t>Immunodiagnosis for clinicians : interpretation of immunoassays / Michael H. Grieco and David K. Meriney.</t>
  </si>
  <si>
    <t>Grieco, Michael H.</t>
  </si>
  <si>
    <t>Chicago : Year Book Medical Publishers, c1983.</t>
  </si>
  <si>
    <t>1997-07-14</t>
  </si>
  <si>
    <t>836717304:eng</t>
  </si>
  <si>
    <t>9324407</t>
  </si>
  <si>
    <t>991000976059702656</t>
  </si>
  <si>
    <t>2264857100002656</t>
  </si>
  <si>
    <t>9780815140030</t>
  </si>
  <si>
    <t>30001000210288</t>
  </si>
  <si>
    <t>893161592</t>
  </si>
  <si>
    <t>QW 570 I34 1982</t>
  </si>
  <si>
    <t>0                      QW 0570000I  34          1982</t>
  </si>
  <si>
    <t>Immunofluorescence technology : selected theoretical and clinical aspects / editors, G. Wick, K.N. Traill, K. Schauenstein.</t>
  </si>
  <si>
    <t>Amsterdam ; New York : Elsevier Biomedical Press ; New York, N.Y. : Sole distributors for the USA and Canada, Elsevier Science Pub. Co., c1982.</t>
  </si>
  <si>
    <t>1998-12-03</t>
  </si>
  <si>
    <t>899608010:eng</t>
  </si>
  <si>
    <t>8667580</t>
  </si>
  <si>
    <t>991000976019702656</t>
  </si>
  <si>
    <t>2271028490002656</t>
  </si>
  <si>
    <t>9780444803986</t>
  </si>
  <si>
    <t>30001000210296</t>
  </si>
  <si>
    <t>893740644</t>
  </si>
  <si>
    <t>QW 570 I62 1972s</t>
  </si>
  <si>
    <t>0                      QW 0570000I  62          1972s</t>
  </si>
  <si>
    <t>Specific receptors of antibodies, antigens, and cells : Editors: D. Pressman [et al.]</t>
  </si>
  <si>
    <t>International Convocation on Immunology (3rd : 1972 : Buffalo, N.Y.)</t>
  </si>
  <si>
    <t>Basel, New York : Karger, 1972.</t>
  </si>
  <si>
    <t>1996-09-28</t>
  </si>
  <si>
    <t>3771832593:eng</t>
  </si>
  <si>
    <t>14420561</t>
  </si>
  <si>
    <t>991000976089702656</t>
  </si>
  <si>
    <t>2259864850002656</t>
  </si>
  <si>
    <t>30001000210312</t>
  </si>
  <si>
    <t>893557451</t>
  </si>
  <si>
    <t>QW 570 L263s 1962</t>
  </si>
  <si>
    <t>0                      QW 0570000L  263s        1962</t>
  </si>
  <si>
    <t>The specificity of serological reactions / by Karl Landsteiner.</t>
  </si>
  <si>
    <t>Landsteiner, Karl, 1868-1943.</t>
  </si>
  <si>
    <t>New York : Dover Publications, c962.</t>
  </si>
  <si>
    <t>1962</t>
  </si>
  <si>
    <t>Rev. ed. With a chapter on molecular structure and intermolecular forces, by Linus Pauling, and with a bibliography of Dr. Landsteiner's works and a new pref., by Merrill W. Chase.</t>
  </si>
  <si>
    <t>1996-10-02</t>
  </si>
  <si>
    <t>2225098:eng</t>
  </si>
  <si>
    <t>562498</t>
  </si>
  <si>
    <t>991000976139702656</t>
  </si>
  <si>
    <t>2254775160002656</t>
  </si>
  <si>
    <t>30001000210346</t>
  </si>
  <si>
    <t>893727145</t>
  </si>
  <si>
    <t>QW 570 N897a 1971</t>
  </si>
  <si>
    <t>0                      QW 0570000N  897a        1971</t>
  </si>
  <si>
    <t>Antigens, lymphoid cells, and the immune response / G. J. V. Nossal and G. L. Ada.</t>
  </si>
  <si>
    <t>Nossal, G. J. V. (Gustav Joseph Victor), 1931-</t>
  </si>
  <si>
    <t>New York : Academic Press, 1971.</t>
  </si>
  <si>
    <t>Immunology: an international series of monographs and treatises</t>
  </si>
  <si>
    <t>1995-11-29</t>
  </si>
  <si>
    <t>1297595:eng</t>
  </si>
  <si>
    <t>139245</t>
  </si>
  <si>
    <t>991000976299702656</t>
  </si>
  <si>
    <t>2260967230002656</t>
  </si>
  <si>
    <t>9780125219501</t>
  </si>
  <si>
    <t>30001000210387</t>
  </si>
  <si>
    <t>893551999</t>
  </si>
  <si>
    <t>QW 570 P478u 1991</t>
  </si>
  <si>
    <t>0                      QW 0570000P  478u        1991</t>
  </si>
  <si>
    <t>The use and interpretation of tests in clinical immunology / James B. Peter.</t>
  </si>
  <si>
    <t>Peter, James B.</t>
  </si>
  <si>
    <t>Santa Monica, CA : Specialty Laboratoris, c1991.</t>
  </si>
  <si>
    <t>6934731:eng</t>
  </si>
  <si>
    <t>23442698</t>
  </si>
  <si>
    <t>991001029349702656</t>
  </si>
  <si>
    <t>2258064790002656</t>
  </si>
  <si>
    <t>30001002243428</t>
  </si>
  <si>
    <t>893363674</t>
  </si>
  <si>
    <t>QW 570 T185 1990</t>
  </si>
  <si>
    <t>0                      QW 0570000T  185         1990</t>
  </si>
  <si>
    <t>Targeted therapeutic systems / edited by Praveen Tyle, Bhanu P. Ram.</t>
  </si>
  <si>
    <t>New York : Dekker, c1990.</t>
  </si>
  <si>
    <t>Targeted diagnosis and therapy</t>
  </si>
  <si>
    <t>2000-01-17</t>
  </si>
  <si>
    <t>365244618:eng</t>
  </si>
  <si>
    <t>20265427</t>
  </si>
  <si>
    <t>991001356559702656</t>
  </si>
  <si>
    <t>2265124410002656</t>
  </si>
  <si>
    <t>9780824781811</t>
  </si>
  <si>
    <t>30001001796194</t>
  </si>
  <si>
    <t>893364025</t>
  </si>
  <si>
    <t>QW 570 Z82i 1968</t>
  </si>
  <si>
    <t>0                      QW 0570000Z  82i         1968</t>
  </si>
  <si>
    <t>Immunohematology / by Chester M. Zmijewski ; with the assistance of June L. Fletcher and Ronald L. St. Pierre.</t>
  </si>
  <si>
    <t>Zmijewski, Chester M.</t>
  </si>
  <si>
    <t>New York : Appleton-Century-Crofts, c1968.</t>
  </si>
  <si>
    <t>1383843:eng</t>
  </si>
  <si>
    <t>443322</t>
  </si>
  <si>
    <t>991000976359702656</t>
  </si>
  <si>
    <t>2264342060002656</t>
  </si>
  <si>
    <t>30001000210403</t>
  </si>
  <si>
    <t>893557452</t>
  </si>
  <si>
    <t>QW 573 C421m 1959</t>
  </si>
  <si>
    <t>0                      QW 0573000C  421m        1959</t>
  </si>
  <si>
    <t>Mechanisms of antibody formation : proceedings of a symposium held in Prague, May 27-31,1959 / [Editors: M. Holub and L. Jarošková.</t>
  </si>
  <si>
    <t>Biologický ústav (Československá akademie věd)</t>
  </si>
  <si>
    <t>New York : Academic Press ; Prague, Publishing House of the Czechoslovak Academy of Sciences, 1960.</t>
  </si>
  <si>
    <t>1960</t>
  </si>
  <si>
    <t>8072655:eng</t>
  </si>
  <si>
    <t>4871980</t>
  </si>
  <si>
    <t>991000976399702656</t>
  </si>
  <si>
    <t>2264238890002656</t>
  </si>
  <si>
    <t>30001000210429</t>
  </si>
  <si>
    <t>893740645</t>
  </si>
  <si>
    <t>QW 573 S9595 1997</t>
  </si>
  <si>
    <t>0                      QW 0573000S  9595        1997</t>
  </si>
  <si>
    <t>Superantigens : molecular biology, immunology, and relevance to human disease / edited by Donald Y.M. Leung, Brigitte T. Huber, Patrick M. Schlievert.</t>
  </si>
  <si>
    <t>New York : M. Dekker, c1997.</t>
  </si>
  <si>
    <t>800115475:eng</t>
  </si>
  <si>
    <t>36127226</t>
  </si>
  <si>
    <t>991001262959702656</t>
  </si>
  <si>
    <t>2266634420002656</t>
  </si>
  <si>
    <t>9780824798130</t>
  </si>
  <si>
    <t>30001003691674</t>
  </si>
  <si>
    <t>893638160</t>
  </si>
  <si>
    <t>QW 575 A629 1988</t>
  </si>
  <si>
    <t>0                      QW 0575000A  629         1988</t>
  </si>
  <si>
    <t>Antibody-mediated delivery systems / edited by John D. Rodwell.</t>
  </si>
  <si>
    <t>New York : M. Dekker, c1988.</t>
  </si>
  <si>
    <t>Targeted diagnosis and therapy ; 1</t>
  </si>
  <si>
    <t>1989-01-20</t>
  </si>
  <si>
    <t>16183447:eng</t>
  </si>
  <si>
    <t>17549105</t>
  </si>
  <si>
    <t>991001111209702656</t>
  </si>
  <si>
    <t>2270745760002656</t>
  </si>
  <si>
    <t>9780824779603</t>
  </si>
  <si>
    <t>30001001612128</t>
  </si>
  <si>
    <t>893638040</t>
  </si>
  <si>
    <t>QW 575 G585m 1986</t>
  </si>
  <si>
    <t>0                      QW 0575000G  585m        1986</t>
  </si>
  <si>
    <t>Monoclonal antibodies : principles and practice : production and application of monoclonal antibodies in cell biology, biochemistry, and immunology / James W. Goding.</t>
  </si>
  <si>
    <t>Goding, James W.</t>
  </si>
  <si>
    <t>London ; New York : Academic Press, c1986.</t>
  </si>
  <si>
    <t>1998-10-12</t>
  </si>
  <si>
    <t>983346:eng</t>
  </si>
  <si>
    <t>15795770</t>
  </si>
  <si>
    <t>991001267189702656</t>
  </si>
  <si>
    <t>2264247470002656</t>
  </si>
  <si>
    <t>9780122870217</t>
  </si>
  <si>
    <t>30001000353724</t>
  </si>
  <si>
    <t>893638164</t>
  </si>
  <si>
    <t>QW 575 Z86m 1987</t>
  </si>
  <si>
    <t>0                      QW 0575000Z  86m         1987</t>
  </si>
  <si>
    <t>Monoclonal antibodies : a manual of techniques / author, Heddy Zola.</t>
  </si>
  <si>
    <t>Zola, Heddy.</t>
  </si>
  <si>
    <t>Boca Raton, Fl. : CRC Press, c1987.</t>
  </si>
  <si>
    <t>1997-03-16</t>
  </si>
  <si>
    <t>1996-07-01</t>
  </si>
  <si>
    <t>481034816:eng</t>
  </si>
  <si>
    <t>13947311</t>
  </si>
  <si>
    <t>991000833709702656</t>
  </si>
  <si>
    <t>2255713360002656</t>
  </si>
  <si>
    <t>9780849364761</t>
  </si>
  <si>
    <t>30001003440734</t>
  </si>
  <si>
    <t>893560688</t>
  </si>
  <si>
    <t>QW 575.5.A6 K52a 1998</t>
  </si>
  <si>
    <t>0                      QW 0575500A  6                  K  52a         1998</t>
  </si>
  <si>
    <t>Applications and engineering of monoclonal antibodies / David J. King.</t>
  </si>
  <si>
    <t>King, David J.</t>
  </si>
  <si>
    <t>London ; Philadelphia : Taylor &amp; Francis, c1998.</t>
  </si>
  <si>
    <t>2002-07-08</t>
  </si>
  <si>
    <t>896082:eng</t>
  </si>
  <si>
    <t>40499429</t>
  </si>
  <si>
    <t>991000795029702656</t>
  </si>
  <si>
    <t>2264765040002656</t>
  </si>
  <si>
    <t>9780748404223</t>
  </si>
  <si>
    <t>30001004077915</t>
  </si>
  <si>
    <t>893450382</t>
  </si>
  <si>
    <t>QW 601 S927 1981</t>
  </si>
  <si>
    <t>0                      QW 0601000S  927         1981</t>
  </si>
  <si>
    <t>Structure and function of antibodies / edited by L.E. Glynn and M.W. Steward.</t>
  </si>
  <si>
    <t>Chichester [West Sussex] ; New York : Wiley, c1981.</t>
  </si>
  <si>
    <t>2005-04-16</t>
  </si>
  <si>
    <t>54488377:eng</t>
  </si>
  <si>
    <t>8284716</t>
  </si>
  <si>
    <t>991000976489702656</t>
  </si>
  <si>
    <t>2267975560002656</t>
  </si>
  <si>
    <t>9780471279174</t>
  </si>
  <si>
    <t>30001000210502</t>
  </si>
  <si>
    <t>893455330</t>
  </si>
  <si>
    <t>QW 630 C748m 1976</t>
  </si>
  <si>
    <t>0                      QW 0630000C  748m        1976</t>
  </si>
  <si>
    <t>Mycotoxins in human and animal health : proceedings of a conference ... conducted by United States-Japan Cooperative Programs on Natural Resources, Panel on Toxic Micro-Organisms, in cooperation with the University of Maryland University College Conference and Institutes Division / edited by Joseph V. Rodricks, Clifford W. Hesseltine, Myron A. Mehlman.</t>
  </si>
  <si>
    <t>Conference on Mycotoxins in Human and Animal Health (1976 : University of Maryland, College Park)</t>
  </si>
  <si>
    <t>-- Park Forest South, Ill. : Pathotox Publishers, 1977.</t>
  </si>
  <si>
    <t>13354258:eng</t>
  </si>
  <si>
    <t>3892980</t>
  </si>
  <si>
    <t>991000976529702656</t>
  </si>
  <si>
    <t>2272259130002656</t>
  </si>
  <si>
    <t>9780930376000</t>
  </si>
  <si>
    <t>30001000210510</t>
  </si>
  <si>
    <t>893450678</t>
  </si>
  <si>
    <t>QW 630 M486 1976</t>
  </si>
  <si>
    <t>0                      QW 0630000M  486         1976</t>
  </si>
  <si>
    <t>Mechanisms in bacterial toxinology / [edited by] Alan W. Bernheimer.</t>
  </si>
  <si>
    <t>New York : Wiley, c1976.</t>
  </si>
  <si>
    <t>1976</t>
  </si>
  <si>
    <t>1991-04-25</t>
  </si>
  <si>
    <t>863819113:eng</t>
  </si>
  <si>
    <t>2091664</t>
  </si>
  <si>
    <t>991000976589702656</t>
  </si>
  <si>
    <t>2269304850002656</t>
  </si>
  <si>
    <t>9780471071051</t>
  </si>
  <si>
    <t>30001000210544</t>
  </si>
  <si>
    <t>893374154</t>
  </si>
  <si>
    <t>QW 630 M626</t>
  </si>
  <si>
    <t>0                      QW 0630000M  626</t>
  </si>
  <si>
    <t>Microbial toxins / Edited by Samuel J. Ajl ... [et al.].</t>
  </si>
  <si>
    <t>New York : Academic Press, 1970-</t>
  </si>
  <si>
    <t>1970</t>
  </si>
  <si>
    <t>1988-03-01</t>
  </si>
  <si>
    <t>5513798545:eng</t>
  </si>
  <si>
    <t>77896</t>
  </si>
  <si>
    <t>991000963519702656</t>
  </si>
  <si>
    <t>2256542560002656</t>
  </si>
  <si>
    <t>30001000210593</t>
  </si>
  <si>
    <t>893648807</t>
  </si>
  <si>
    <t>V. 2A</t>
  </si>
  <si>
    <t>30001000210569</t>
  </si>
  <si>
    <t>893648806</t>
  </si>
  <si>
    <t>V. 7</t>
  </si>
  <si>
    <t>30001000210601</t>
  </si>
  <si>
    <t>893632572</t>
  </si>
  <si>
    <t>30001000198830</t>
  </si>
  <si>
    <t>893648805</t>
  </si>
  <si>
    <t>V. 8</t>
  </si>
  <si>
    <t>1989-03-07</t>
  </si>
  <si>
    <t>30001000210619</t>
  </si>
  <si>
    <t>893648804</t>
  </si>
  <si>
    <t>30001000210551</t>
  </si>
  <si>
    <t>893632571</t>
  </si>
  <si>
    <t>30001000210577</t>
  </si>
  <si>
    <t>893643082</t>
  </si>
  <si>
    <t>30001000210585</t>
  </si>
  <si>
    <t>893648808</t>
  </si>
  <si>
    <t>QW 630 N494 1985</t>
  </si>
  <si>
    <t>0                      QW 0630000N  494         1985</t>
  </si>
  <si>
    <t>Neurotoxicity of industrial and commercial chemicals / editor, John L. O'Donoghue.</t>
  </si>
  <si>
    <t>Boca Raton, Fla. : CRC Press, c1985.</t>
  </si>
  <si>
    <t>1997-11-26</t>
  </si>
  <si>
    <t>3341282:eng</t>
  </si>
  <si>
    <t>10483513</t>
  </si>
  <si>
    <t>991000976629702656</t>
  </si>
  <si>
    <t>2263397920002656</t>
  </si>
  <si>
    <t>9780849364549</t>
  </si>
  <si>
    <t>30001000210627</t>
  </si>
  <si>
    <t>893374155</t>
  </si>
  <si>
    <t>30001000210635</t>
  </si>
  <si>
    <t>893368996</t>
  </si>
  <si>
    <t>QW 680 A188 1993</t>
  </si>
  <si>
    <t>0                      QW 0680000A  188         1993</t>
  </si>
  <si>
    <t>Activators and inhibitors of complement / edited by R.B. Sim.</t>
  </si>
  <si>
    <t>Dordrecht ; Boston : Kluwer Academic Publishers, c1993.</t>
  </si>
  <si>
    <t>1993-09-02</t>
  </si>
  <si>
    <t>350564:eng</t>
  </si>
  <si>
    <t>25872396</t>
  </si>
  <si>
    <t>991001511089702656</t>
  </si>
  <si>
    <t>2269056250002656</t>
  </si>
  <si>
    <t>9780792318194</t>
  </si>
  <si>
    <t>30001002600817</t>
  </si>
  <si>
    <t>893455866</t>
  </si>
  <si>
    <t>QW 690 AD636 1982 v.1</t>
  </si>
  <si>
    <t>0                      QW 0690000AD 636         1982                                        v.1</t>
  </si>
  <si>
    <t>Phagocytic cells / editors, John I. Gallin, Anthony S. Fauci.</t>
  </si>
  <si>
    <t>Advances in host defense mechanisms ; v. 1</t>
  </si>
  <si>
    <t>1989-04-26</t>
  </si>
  <si>
    <t>433471100:eng</t>
  </si>
  <si>
    <t>8171782</t>
  </si>
  <si>
    <t>991000976669702656</t>
  </si>
  <si>
    <t>2268756020002656</t>
  </si>
  <si>
    <t>9780890045749</t>
  </si>
  <si>
    <t>30001000210650</t>
  </si>
  <si>
    <t>893632619</t>
  </si>
  <si>
    <t>QW 690 AD636 1985 v.5</t>
  </si>
  <si>
    <t>0                      QW 0690000AD 636         1985                                        v.5</t>
  </si>
  <si>
    <t>Acquired immunodeficiency syndrome (AIDS) / editors, John I. Gallin, Anthony S. Fauci.</t>
  </si>
  <si>
    <t>V.5</t>
  </si>
  <si>
    <t>New York : Raven Press, c1985.</t>
  </si>
  <si>
    <t>Advances in host defense mechanisms ; v. 5</t>
  </si>
  <si>
    <t>1989-10-11</t>
  </si>
  <si>
    <t>356290028:eng</t>
  </si>
  <si>
    <t>11623198</t>
  </si>
  <si>
    <t>991000976929702656</t>
  </si>
  <si>
    <t>2258286130002656</t>
  </si>
  <si>
    <t>9780881670776</t>
  </si>
  <si>
    <t>30001000210692</t>
  </si>
  <si>
    <t>893557454</t>
  </si>
  <si>
    <t>QW 690 C311m 1973</t>
  </si>
  <si>
    <t>0                      QW 0690000C  311m        1973</t>
  </si>
  <si>
    <t>The macrophage : a review of ultrastructure and function / Ian Carr.</t>
  </si>
  <si>
    <t>Carr, Ian, MD, Ph D, FRCPath, FRCPC.</t>
  </si>
  <si>
    <t>London, New York : Academic Press, 1973.</t>
  </si>
  <si>
    <t>2006-07-23</t>
  </si>
  <si>
    <t>1988-03-24</t>
  </si>
  <si>
    <t>308881428:eng</t>
  </si>
  <si>
    <t>897415</t>
  </si>
  <si>
    <t>991000976999702656</t>
  </si>
  <si>
    <t>2257584090002656</t>
  </si>
  <si>
    <t>9780121605506</t>
  </si>
  <si>
    <t>30001000210700</t>
  </si>
  <si>
    <t>893731578</t>
  </si>
  <si>
    <t>QW 690 I61p 1977</t>
  </si>
  <si>
    <t>0                      QW 0690000I  61p         1977</t>
  </si>
  <si>
    <t>Phagocytosis, its physiology and pathology / edited by Yoshiyuki Kokubun, Noboru Kobayashi.</t>
  </si>
  <si>
    <t>International Symposium on Phagocytosis (1977 : Tokyo, Japan)</t>
  </si>
  <si>
    <t>Baltimore : University Park Press, c1979.</t>
  </si>
  <si>
    <t>1988-01-29</t>
  </si>
  <si>
    <t>14918895:eng</t>
  </si>
  <si>
    <t>4591309</t>
  </si>
  <si>
    <t>991001109329702656</t>
  </si>
  <si>
    <t>2265918910002656</t>
  </si>
  <si>
    <t>9780839114062</t>
  </si>
  <si>
    <t>30001000275786</t>
  </si>
  <si>
    <t>893557596</t>
  </si>
  <si>
    <t>QW 690 V543m 1972</t>
  </si>
  <si>
    <t>0                      QW 0690000V  543m        1972</t>
  </si>
  <si>
    <t>The macrophage / B. Vernon-Roberts.</t>
  </si>
  <si>
    <t>Vernon-Roberts, B.</t>
  </si>
  <si>
    <t>Cambridge [Eng.] : University Press, 1972.</t>
  </si>
  <si>
    <t>Biological structure and function ; 2</t>
  </si>
  <si>
    <t>1993-07-29</t>
  </si>
  <si>
    <t>1585539:eng</t>
  </si>
  <si>
    <t>447572</t>
  </si>
  <si>
    <t>991000977059702656</t>
  </si>
  <si>
    <t>2268609860002656</t>
  </si>
  <si>
    <t>9780521084819</t>
  </si>
  <si>
    <t>30001000210718</t>
  </si>
  <si>
    <t>893540878</t>
  </si>
  <si>
    <t>QW 700 I435 1992</t>
  </si>
  <si>
    <t>0                      QW 0700000I  435         1992</t>
  </si>
  <si>
    <t>Infections in immunocompromised infants and children / edited by Christian C. Patrick.</t>
  </si>
  <si>
    <t>New York : Churchill Livingstone, c1992.</t>
  </si>
  <si>
    <t>2000-11-06</t>
  </si>
  <si>
    <t>1993-12-06</t>
  </si>
  <si>
    <t>27713465:eng</t>
  </si>
  <si>
    <t>25554679</t>
  </si>
  <si>
    <t>991000550289702656</t>
  </si>
  <si>
    <t>2269721680002656</t>
  </si>
  <si>
    <t>9780443088575</t>
  </si>
  <si>
    <t>30001002671149</t>
  </si>
  <si>
    <t>893271518</t>
  </si>
  <si>
    <t>QW 700 K91 1981</t>
  </si>
  <si>
    <t>0                      QW 0700000K  91          1981</t>
  </si>
  <si>
    <t>The restless tide : the persistent challenge of the microbial world / Richard M. Krause.</t>
  </si>
  <si>
    <t>Krause, Richard M., 1925-2015.</t>
  </si>
  <si>
    <t>Washington, D.C. : National Foundation for Infectious Diseases, c1981.</t>
  </si>
  <si>
    <t>1993-07-05</t>
  </si>
  <si>
    <t>428792654:eng</t>
  </si>
  <si>
    <t>8315916</t>
  </si>
  <si>
    <t>991000977099702656</t>
  </si>
  <si>
    <t>2272206830002656</t>
  </si>
  <si>
    <t>30001000210759</t>
  </si>
  <si>
    <t>893267897</t>
  </si>
  <si>
    <t>QW 800 B6156 1986</t>
  </si>
  <si>
    <t>0                      QW 0800000B  6156        1986</t>
  </si>
  <si>
    <t>The Biology of the interferon system 1986 : proceedings of the 1986 ISIR-TNO meeting on the interferon system, 7-12 September 1986, Dipoli Congress Center, Espoo, Finland / edited by K. Cantell, H. Schellekens.</t>
  </si>
  <si>
    <t>Dordrecht ; Boston : Nijhoff Publishers, 1987.</t>
  </si>
  <si>
    <t>1999-10-03</t>
  </si>
  <si>
    <t>836699292:eng</t>
  </si>
  <si>
    <t>15016409</t>
  </si>
  <si>
    <t>991001266739702656</t>
  </si>
  <si>
    <t>2264350130002656</t>
  </si>
  <si>
    <t>9789024734689</t>
  </si>
  <si>
    <t>30001000353575</t>
  </si>
  <si>
    <t>893731799</t>
  </si>
  <si>
    <t>QW 800 I32 1982</t>
  </si>
  <si>
    <t>0                      QW 0800000I  32          1982</t>
  </si>
  <si>
    <t>Immunization in clinical practice : a useful guideline to vaccines, sera, and immune globulins in clinical practice / edited by Vincent A. Fulginiti ... [et al.].</t>
  </si>
  <si>
    <t>Philadelphia : Lippincott, c1982.</t>
  </si>
  <si>
    <t>28914885:eng</t>
  </si>
  <si>
    <t>7577294</t>
  </si>
  <si>
    <t>991000977219702656</t>
  </si>
  <si>
    <t>2257855410002656</t>
  </si>
  <si>
    <t>9780397505395</t>
  </si>
  <si>
    <t>30001000210890</t>
  </si>
  <si>
    <t>893826295</t>
  </si>
  <si>
    <t>QW 800 J29i 1988</t>
  </si>
  <si>
    <t>0                      QW 0800000J  29i         1988</t>
  </si>
  <si>
    <t>Immunization : the reality behind the myth / Walene James ; foreword by Robert S. Mendelsohn.</t>
  </si>
  <si>
    <t>James, Walene.</t>
  </si>
  <si>
    <t>South Hadley, Mass. : Bergin &amp; Garvey, c1988.</t>
  </si>
  <si>
    <t>1998-05-12</t>
  </si>
  <si>
    <t>2034474:eng</t>
  </si>
  <si>
    <t>17547956</t>
  </si>
  <si>
    <t>991001299449702656</t>
  </si>
  <si>
    <t>2265223190002656</t>
  </si>
  <si>
    <t>9780897891547</t>
  </si>
  <si>
    <t>30001002411298</t>
  </si>
  <si>
    <t>893168122</t>
  </si>
  <si>
    <t>QW 805 B298v 1994</t>
  </si>
  <si>
    <t>0                      QW 0805000B  298v        1994</t>
  </si>
  <si>
    <t>Vaccines and world health : science, policy, and practice / Paul F. Basch.</t>
  </si>
  <si>
    <t>Basch, Paul F. (Paul Frederick), 1933-2001.</t>
  </si>
  <si>
    <t>New York : Oxford University Press, c1994.</t>
  </si>
  <si>
    <t>1993-12-15</t>
  </si>
  <si>
    <t>31215009:eng</t>
  </si>
  <si>
    <t>28678598</t>
  </si>
  <si>
    <t>991000647249702656</t>
  </si>
  <si>
    <t>2267225000002656</t>
  </si>
  <si>
    <t>9780195085327</t>
  </si>
  <si>
    <t>30001002690511</t>
  </si>
  <si>
    <t>893373335</t>
  </si>
  <si>
    <t>QW 805 M942 1996</t>
  </si>
  <si>
    <t>0                      QW 0805000M  942         1996</t>
  </si>
  <si>
    <t>Mucosal vaccines / edited by Hiroshi Kiyono, Pearay L. Ogra, Jerry R. McGhee.</t>
  </si>
  <si>
    <t>1997-06-03</t>
  </si>
  <si>
    <t>1010727732:eng</t>
  </si>
  <si>
    <t>34721864</t>
  </si>
  <si>
    <t>991001243849702656</t>
  </si>
  <si>
    <t>22101749130002656</t>
  </si>
  <si>
    <t>9780124105805</t>
  </si>
  <si>
    <t>30001003680461</t>
  </si>
  <si>
    <t>893557719</t>
  </si>
  <si>
    <t>QW 805 N532 1976</t>
  </si>
  <si>
    <t>0                      QW 0805000N  532         1976</t>
  </si>
  <si>
    <t>New trends and developments in vaccines / edited by A. Voller, H.. Friedman.</t>
  </si>
  <si>
    <t>Baltimore : University Park Press, c1978.</t>
  </si>
  <si>
    <t>2005-03-29</t>
  </si>
  <si>
    <t>1987-12-28</t>
  </si>
  <si>
    <t>373720752:eng</t>
  </si>
  <si>
    <t>3844173</t>
  </si>
  <si>
    <t>991000977269702656</t>
  </si>
  <si>
    <t>2264781860002656</t>
  </si>
  <si>
    <t>9780839111542</t>
  </si>
  <si>
    <t>30001000210940</t>
  </si>
  <si>
    <t>893560796</t>
  </si>
  <si>
    <t>QW805 N9378 2004</t>
  </si>
  <si>
    <t>0                      QW 0805000N  9378        2004</t>
  </si>
  <si>
    <t>Novel vaccination strategies / edited by Stefan H.E. Kaufmann.</t>
  </si>
  <si>
    <t>Weinheim : Wiley-VCH, c2004.</t>
  </si>
  <si>
    <t>2005-03-22</t>
  </si>
  <si>
    <t>1039157229:eng</t>
  </si>
  <si>
    <t>52746661</t>
  </si>
  <si>
    <t>991000433789702656</t>
  </si>
  <si>
    <t>2266329620002656</t>
  </si>
  <si>
    <t>9783527305230</t>
  </si>
  <si>
    <t>30001004928802</t>
  </si>
  <si>
    <t>893123089</t>
  </si>
  <si>
    <t>QW 805 V1163 1999</t>
  </si>
  <si>
    <t>0                      QW 0805000V  1163        1999</t>
  </si>
  <si>
    <t>Vaccines / [edited by] Stanley A. Plotkin, Walter A. Orenstein.</t>
  </si>
  <si>
    <t>Philadelphia : W.B. Saunders Co., c1999.</t>
  </si>
  <si>
    <t>2000-06-10</t>
  </si>
  <si>
    <t>1999-09-24</t>
  </si>
  <si>
    <t>1017189354:eng</t>
  </si>
  <si>
    <t>40075804</t>
  </si>
  <si>
    <t>991000595609702656</t>
  </si>
  <si>
    <t>2265597510002656</t>
  </si>
  <si>
    <t>9780721674438</t>
  </si>
  <si>
    <t>30001004014942</t>
  </si>
  <si>
    <t>893454109</t>
  </si>
  <si>
    <t>QW805 V1163 2004</t>
  </si>
  <si>
    <t>0                      QW 0805000V  1163        2004</t>
  </si>
  <si>
    <t>Vaccines / [edited by] Stanley A. Plotkin, Walter A. Orenstein ; with assistance of Paul A. Offit.</t>
  </si>
  <si>
    <t>Philadelphia, Pa. : Saunders, c2004.</t>
  </si>
  <si>
    <t>2004-01-08</t>
  </si>
  <si>
    <t>51811284</t>
  </si>
  <si>
    <t>991000363459702656</t>
  </si>
  <si>
    <t>2255014890002656</t>
  </si>
  <si>
    <t>9780721696881</t>
  </si>
  <si>
    <t>30001004508208</t>
  </si>
  <si>
    <t>893359505</t>
  </si>
  <si>
    <t>QW 900 G586a 1962</t>
  </si>
  <si>
    <t>0                      QW 0900000G  586a        1962</t>
  </si>
  <si>
    <t>Allergy and anaphylaxis as metabolic error / Z.Z. Godlowski.</t>
  </si>
  <si>
    <t>Godlowski, Zbigniew Z., 1910-</t>
  </si>
  <si>
    <t>Chicago : Immuno-Metabolic Press, c1962.</t>
  </si>
  <si>
    <t>1997-10-18</t>
  </si>
  <si>
    <t>4580652:eng</t>
  </si>
  <si>
    <t>2360443</t>
  </si>
  <si>
    <t>991000977329702656</t>
  </si>
  <si>
    <t>2272692340002656</t>
  </si>
  <si>
    <t>30001000210973</t>
  </si>
  <si>
    <t>893134151</t>
  </si>
  <si>
    <t>30001000210965</t>
  </si>
  <si>
    <t>893134152</t>
  </si>
  <si>
    <t>QW900 I24 2002</t>
  </si>
  <si>
    <t>0                      QW 0900000I  24          2002</t>
  </si>
  <si>
    <t>IgE and anti-IgE therapy in asthma and allergic disease / edited by Robert B. Fick, Jr., Paula M. Jardieu.</t>
  </si>
  <si>
    <t>New York : Marcel Dekker, c2002.</t>
  </si>
  <si>
    <t>Lung biology in health and disease ; v. 164</t>
  </si>
  <si>
    <t>2005-01-31</t>
  </si>
  <si>
    <t>2003-06-12</t>
  </si>
  <si>
    <t>766810554:eng</t>
  </si>
  <si>
    <t>48958620</t>
  </si>
  <si>
    <t>991000350629702656</t>
  </si>
  <si>
    <t>2271832650002656</t>
  </si>
  <si>
    <t>9780824706630</t>
  </si>
  <si>
    <t>30001004500031</t>
  </si>
  <si>
    <t>893537083</t>
  </si>
  <si>
    <t>QW 940 I335 1994</t>
  </si>
  <si>
    <t>0                      QW 0940000I  335         1994</t>
  </si>
  <si>
    <t>Immunopharmacology of lymphocytes / edited by Marek Rola-Pleszczynski.</t>
  </si>
  <si>
    <t>Handbook of immunopharmacology. Cells and mediators</t>
  </si>
  <si>
    <t>1996-03-08</t>
  </si>
  <si>
    <t>1995-02-20</t>
  </si>
  <si>
    <t>33612633:eng</t>
  </si>
  <si>
    <t>31249362</t>
  </si>
  <si>
    <t>991001396509702656</t>
  </si>
  <si>
    <t>2269173050002656</t>
  </si>
  <si>
    <t>9780125933902</t>
  </si>
  <si>
    <t>30001003146158</t>
  </si>
  <si>
    <t>893649158</t>
  </si>
  <si>
    <t>QW 940 T355 1989</t>
  </si>
  <si>
    <t>0                      QW 0940000T  355         1989</t>
  </si>
  <si>
    <t>Textbook of immunopharmacology / edited by M. Maureen Dale, John C. Foreman.</t>
  </si>
  <si>
    <t>Oxford ; Boston : Blackwell Scientific Publications ; Chicago, Ill. : Distributors, USA, Year Book Medical Publishers, c1989.</t>
  </si>
  <si>
    <t>2002-10-04</t>
  </si>
  <si>
    <t>365339861:eng</t>
  </si>
  <si>
    <t>20897091</t>
  </si>
  <si>
    <t>991001385359702656</t>
  </si>
  <si>
    <t>2267725740002656</t>
  </si>
  <si>
    <t>9780632019489</t>
  </si>
  <si>
    <t>30001001799644</t>
  </si>
  <si>
    <t>893274065</t>
  </si>
  <si>
    <t>QW 940 T355 1994</t>
  </si>
  <si>
    <t>0                      QW 0940000T  355         1994</t>
  </si>
  <si>
    <t>Textbook of immunopharmacology / edited by M. Maureen Dale, John C. Foreman, Tai-Ping D. Fan.</t>
  </si>
  <si>
    <t>Oxford ; Boston : Blackwell Scientific Publications, c1994.</t>
  </si>
  <si>
    <t>2005-11-16</t>
  </si>
  <si>
    <t>1994-05-25</t>
  </si>
  <si>
    <t>27978556</t>
  </si>
  <si>
    <t>991001195049702656</t>
  </si>
  <si>
    <t>2259673170002656</t>
  </si>
  <si>
    <t>9780632030255</t>
  </si>
  <si>
    <t>30001002984278</t>
  </si>
  <si>
    <t>893816186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</si>
</sst>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9525</xdr:rowOff>
        </xdr:from>
        <xdr:to>
          <xdr:col>3</xdr:col>
          <xdr:colOff>95250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C5C0F85-08D7-43B5-A132-2284D5C65D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</xdr:row>
          <xdr:rowOff>9525</xdr:rowOff>
        </xdr:from>
        <xdr:to>
          <xdr:col>3</xdr:col>
          <xdr:colOff>95250</xdr:colOff>
          <xdr:row>2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5087838-17C1-4ED4-B307-0A7A261B12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</xdr:row>
          <xdr:rowOff>9525</xdr:rowOff>
        </xdr:from>
        <xdr:to>
          <xdr:col>3</xdr:col>
          <xdr:colOff>95250</xdr:colOff>
          <xdr:row>3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8687065-A1EA-4C28-BB89-647ACFD4B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</xdr:row>
          <xdr:rowOff>9525</xdr:rowOff>
        </xdr:from>
        <xdr:to>
          <xdr:col>3</xdr:col>
          <xdr:colOff>95250</xdr:colOff>
          <xdr:row>4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4355839-E274-4146-85BC-AC0EB47F1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9525</xdr:rowOff>
        </xdr:from>
        <xdr:to>
          <xdr:col>3</xdr:col>
          <xdr:colOff>95250</xdr:colOff>
          <xdr:row>5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07CB5B6-4010-4B4A-B171-AFF09A67B8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3</xdr:col>
          <xdr:colOff>95250</xdr:colOff>
          <xdr:row>6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AF76EA4-C255-45C0-B04B-A10E713AC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</xdr:row>
          <xdr:rowOff>9525</xdr:rowOff>
        </xdr:from>
        <xdr:to>
          <xdr:col>3</xdr:col>
          <xdr:colOff>95250</xdr:colOff>
          <xdr:row>7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4ADAFC9-492D-4CB4-AC0D-058001EE3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</xdr:row>
          <xdr:rowOff>9525</xdr:rowOff>
        </xdr:from>
        <xdr:to>
          <xdr:col>3</xdr:col>
          <xdr:colOff>95250</xdr:colOff>
          <xdr:row>8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D4AACF6F-834E-40C2-9C84-279070B898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</xdr:row>
          <xdr:rowOff>9525</xdr:rowOff>
        </xdr:from>
        <xdr:to>
          <xdr:col>3</xdr:col>
          <xdr:colOff>95250</xdr:colOff>
          <xdr:row>9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02BA4D7-BCF7-4C70-8B3D-8CCE4C819D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</xdr:row>
          <xdr:rowOff>9525</xdr:rowOff>
        </xdr:from>
        <xdr:to>
          <xdr:col>3</xdr:col>
          <xdr:colOff>95250</xdr:colOff>
          <xdr:row>10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B589B541-27F4-46DA-BF73-D35839673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</xdr:row>
          <xdr:rowOff>9525</xdr:rowOff>
        </xdr:from>
        <xdr:to>
          <xdr:col>3</xdr:col>
          <xdr:colOff>95250</xdr:colOff>
          <xdr:row>11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BCA443B6-27E9-4333-98A9-8E5B742B3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</xdr:row>
          <xdr:rowOff>9525</xdr:rowOff>
        </xdr:from>
        <xdr:to>
          <xdr:col>3</xdr:col>
          <xdr:colOff>95250</xdr:colOff>
          <xdr:row>12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F0B0E72-6EE7-49E5-9805-50946ECCD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9525</xdr:rowOff>
        </xdr:from>
        <xdr:to>
          <xdr:col>3</xdr:col>
          <xdr:colOff>95250</xdr:colOff>
          <xdr:row>13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3DF618E-FF2D-4653-BA18-FBB09266E6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3</xdr:col>
          <xdr:colOff>95250</xdr:colOff>
          <xdr:row>14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05C5118-605D-4D1D-A730-77307487D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9525</xdr:rowOff>
        </xdr:from>
        <xdr:to>
          <xdr:col>3</xdr:col>
          <xdr:colOff>95250</xdr:colOff>
          <xdr:row>15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219FBE9-494E-43B8-B88A-E8AF54122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</xdr:row>
          <xdr:rowOff>9525</xdr:rowOff>
        </xdr:from>
        <xdr:to>
          <xdr:col>3</xdr:col>
          <xdr:colOff>95250</xdr:colOff>
          <xdr:row>16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AD95CF0A-6D84-40D0-91AC-05DBE641A3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</xdr:row>
          <xdr:rowOff>9525</xdr:rowOff>
        </xdr:from>
        <xdr:to>
          <xdr:col>3</xdr:col>
          <xdr:colOff>95250</xdr:colOff>
          <xdr:row>17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F086FAFD-2B83-4D00-AA37-FB7EFFF13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</xdr:row>
          <xdr:rowOff>9525</xdr:rowOff>
        </xdr:from>
        <xdr:to>
          <xdr:col>3</xdr:col>
          <xdr:colOff>95250</xdr:colOff>
          <xdr:row>18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6D1062A2-D72F-4615-9EDB-98CE2966BB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</xdr:row>
          <xdr:rowOff>9525</xdr:rowOff>
        </xdr:from>
        <xdr:to>
          <xdr:col>3</xdr:col>
          <xdr:colOff>95250</xdr:colOff>
          <xdr:row>19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B7CC4EAC-3E30-4DA3-BB86-E704CDC31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</xdr:row>
          <xdr:rowOff>9525</xdr:rowOff>
        </xdr:from>
        <xdr:to>
          <xdr:col>3</xdr:col>
          <xdr:colOff>95250</xdr:colOff>
          <xdr:row>20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DFA0F8E5-FDA7-4D00-98F9-DEB6B1D80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</xdr:row>
          <xdr:rowOff>9525</xdr:rowOff>
        </xdr:from>
        <xdr:to>
          <xdr:col>3</xdr:col>
          <xdr:colOff>95250</xdr:colOff>
          <xdr:row>21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484E7043-3340-4665-9EAA-47132CFE0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</xdr:row>
          <xdr:rowOff>9525</xdr:rowOff>
        </xdr:from>
        <xdr:to>
          <xdr:col>3</xdr:col>
          <xdr:colOff>95250</xdr:colOff>
          <xdr:row>22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DEF5429-B3E7-4A7E-BA9B-A41F7279A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</xdr:row>
          <xdr:rowOff>9525</xdr:rowOff>
        </xdr:from>
        <xdr:to>
          <xdr:col>3</xdr:col>
          <xdr:colOff>95250</xdr:colOff>
          <xdr:row>23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5190FFC4-7229-4D30-BD3E-5A72200D1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</xdr:row>
          <xdr:rowOff>9525</xdr:rowOff>
        </xdr:from>
        <xdr:to>
          <xdr:col>3</xdr:col>
          <xdr:colOff>95250</xdr:colOff>
          <xdr:row>24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F07FA6E-8D3C-4617-9104-1B400CD82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</xdr:row>
          <xdr:rowOff>9525</xdr:rowOff>
        </xdr:from>
        <xdr:to>
          <xdr:col>3</xdr:col>
          <xdr:colOff>95250</xdr:colOff>
          <xdr:row>25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99AAC26C-457C-4A44-89F4-CC057870E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</xdr:row>
          <xdr:rowOff>9525</xdr:rowOff>
        </xdr:from>
        <xdr:to>
          <xdr:col>3</xdr:col>
          <xdr:colOff>95250</xdr:colOff>
          <xdr:row>26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4FD1A822-5D3A-4199-8924-B66625870F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</xdr:row>
          <xdr:rowOff>9525</xdr:rowOff>
        </xdr:from>
        <xdr:to>
          <xdr:col>3</xdr:col>
          <xdr:colOff>95250</xdr:colOff>
          <xdr:row>27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329E5B2-A302-42F3-8A1C-8ACB17B75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</xdr:row>
          <xdr:rowOff>9525</xdr:rowOff>
        </xdr:from>
        <xdr:to>
          <xdr:col>3</xdr:col>
          <xdr:colOff>95250</xdr:colOff>
          <xdr:row>28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E642CD54-0F0F-4DF4-9277-CB1D205B2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</xdr:row>
          <xdr:rowOff>9525</xdr:rowOff>
        </xdr:from>
        <xdr:to>
          <xdr:col>3</xdr:col>
          <xdr:colOff>95250</xdr:colOff>
          <xdr:row>29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58531415-D7CD-4553-BF86-378CE3B82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</xdr:row>
          <xdr:rowOff>9525</xdr:rowOff>
        </xdr:from>
        <xdr:to>
          <xdr:col>3</xdr:col>
          <xdr:colOff>95250</xdr:colOff>
          <xdr:row>30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BA5C77E9-CC9F-47F3-8619-013228355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</xdr:row>
          <xdr:rowOff>9525</xdr:rowOff>
        </xdr:from>
        <xdr:to>
          <xdr:col>3</xdr:col>
          <xdr:colOff>95250</xdr:colOff>
          <xdr:row>31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F4593F3-DFD3-4810-9032-3AE528A92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</xdr:row>
          <xdr:rowOff>9525</xdr:rowOff>
        </xdr:from>
        <xdr:to>
          <xdr:col>3</xdr:col>
          <xdr:colOff>95250</xdr:colOff>
          <xdr:row>32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F17457FC-CC04-4D13-A5AE-C40EC36785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</xdr:row>
          <xdr:rowOff>9525</xdr:rowOff>
        </xdr:from>
        <xdr:to>
          <xdr:col>3</xdr:col>
          <xdr:colOff>95250</xdr:colOff>
          <xdr:row>33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E35A136E-A9D7-4B6A-8EF7-ACEABCA40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</xdr:row>
          <xdr:rowOff>9525</xdr:rowOff>
        </xdr:from>
        <xdr:to>
          <xdr:col>3</xdr:col>
          <xdr:colOff>95250</xdr:colOff>
          <xdr:row>34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8C721421-664B-40CC-94AC-DB753B822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</xdr:row>
          <xdr:rowOff>9525</xdr:rowOff>
        </xdr:from>
        <xdr:to>
          <xdr:col>3</xdr:col>
          <xdr:colOff>95250</xdr:colOff>
          <xdr:row>35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627753A9-D300-4A3E-9CFA-3EECAA956A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</xdr:row>
          <xdr:rowOff>9525</xdr:rowOff>
        </xdr:from>
        <xdr:to>
          <xdr:col>3</xdr:col>
          <xdr:colOff>95250</xdr:colOff>
          <xdr:row>36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74B88552-A318-47D7-8B1F-C148F97E9B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</xdr:row>
          <xdr:rowOff>9525</xdr:rowOff>
        </xdr:from>
        <xdr:to>
          <xdr:col>3</xdr:col>
          <xdr:colOff>95250</xdr:colOff>
          <xdr:row>37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C0C89A4D-E997-498E-A16E-B533145349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</xdr:row>
          <xdr:rowOff>9525</xdr:rowOff>
        </xdr:from>
        <xdr:to>
          <xdr:col>3</xdr:col>
          <xdr:colOff>95250</xdr:colOff>
          <xdr:row>38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3FDB34F4-0CF5-4D15-9E1A-FBACC1DE0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</xdr:row>
          <xdr:rowOff>9525</xdr:rowOff>
        </xdr:from>
        <xdr:to>
          <xdr:col>3</xdr:col>
          <xdr:colOff>95250</xdr:colOff>
          <xdr:row>39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F76CAFE3-7A4B-4858-832C-9E3B7D1D8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</xdr:row>
          <xdr:rowOff>9525</xdr:rowOff>
        </xdr:from>
        <xdr:to>
          <xdr:col>3</xdr:col>
          <xdr:colOff>95250</xdr:colOff>
          <xdr:row>40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4BE8174-A6D7-4A93-B9C7-FDE4DBE28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</xdr:row>
          <xdr:rowOff>9525</xdr:rowOff>
        </xdr:from>
        <xdr:to>
          <xdr:col>3</xdr:col>
          <xdr:colOff>95250</xdr:colOff>
          <xdr:row>41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B41A0D9-D39D-4C1E-8B0A-0D2FBE4812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</xdr:row>
          <xdr:rowOff>9525</xdr:rowOff>
        </xdr:from>
        <xdr:to>
          <xdr:col>3</xdr:col>
          <xdr:colOff>95250</xdr:colOff>
          <xdr:row>42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95FA8735-3884-4B35-B0F4-4A653FFF72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9525</xdr:rowOff>
        </xdr:from>
        <xdr:to>
          <xdr:col>3</xdr:col>
          <xdr:colOff>95250</xdr:colOff>
          <xdr:row>43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75D5827F-A8E2-4A0C-B469-6A4913F59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</xdr:row>
          <xdr:rowOff>9525</xdr:rowOff>
        </xdr:from>
        <xdr:to>
          <xdr:col>3</xdr:col>
          <xdr:colOff>95250</xdr:colOff>
          <xdr:row>44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7BEF0373-DF21-4707-AF44-380C589AE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</xdr:row>
          <xdr:rowOff>9525</xdr:rowOff>
        </xdr:from>
        <xdr:to>
          <xdr:col>3</xdr:col>
          <xdr:colOff>95250</xdr:colOff>
          <xdr:row>45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1BD77EDE-99CD-4F1D-8E98-79F28F3A8A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</xdr:row>
          <xdr:rowOff>9525</xdr:rowOff>
        </xdr:from>
        <xdr:to>
          <xdr:col>3</xdr:col>
          <xdr:colOff>95250</xdr:colOff>
          <xdr:row>46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A3221090-7CF9-471D-A64C-80844B24A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</xdr:row>
          <xdr:rowOff>9525</xdr:rowOff>
        </xdr:from>
        <xdr:to>
          <xdr:col>3</xdr:col>
          <xdr:colOff>95250</xdr:colOff>
          <xdr:row>47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D6761F46-5AC8-4438-8186-83F16C2E3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</xdr:row>
          <xdr:rowOff>9525</xdr:rowOff>
        </xdr:from>
        <xdr:to>
          <xdr:col>3</xdr:col>
          <xdr:colOff>95250</xdr:colOff>
          <xdr:row>48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A69DB54B-B83C-4110-9817-5104382FB9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</xdr:row>
          <xdr:rowOff>9525</xdr:rowOff>
        </xdr:from>
        <xdr:to>
          <xdr:col>3</xdr:col>
          <xdr:colOff>95250</xdr:colOff>
          <xdr:row>49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7FE91A4B-A355-4FFD-8FB0-CF8DEF6F1E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</xdr:row>
          <xdr:rowOff>9525</xdr:rowOff>
        </xdr:from>
        <xdr:to>
          <xdr:col>3</xdr:col>
          <xdr:colOff>95250</xdr:colOff>
          <xdr:row>50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A70023E2-4AB5-4FC4-A646-745A5D464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</xdr:row>
          <xdr:rowOff>9525</xdr:rowOff>
        </xdr:from>
        <xdr:to>
          <xdr:col>3</xdr:col>
          <xdr:colOff>95250</xdr:colOff>
          <xdr:row>51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1BC730F2-A91A-4940-9EEE-FBDA05F3E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</xdr:row>
          <xdr:rowOff>9525</xdr:rowOff>
        </xdr:from>
        <xdr:to>
          <xdr:col>3</xdr:col>
          <xdr:colOff>95250</xdr:colOff>
          <xdr:row>52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E67AE4DA-B600-4C47-B549-86E11BA06F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</xdr:row>
          <xdr:rowOff>9525</xdr:rowOff>
        </xdr:from>
        <xdr:to>
          <xdr:col>3</xdr:col>
          <xdr:colOff>95250</xdr:colOff>
          <xdr:row>53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14CE62E1-54AE-4611-A566-AC85B43DC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</xdr:row>
          <xdr:rowOff>9525</xdr:rowOff>
        </xdr:from>
        <xdr:to>
          <xdr:col>3</xdr:col>
          <xdr:colOff>95250</xdr:colOff>
          <xdr:row>54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52676007-DEA1-41F2-9ECD-D0AE43C7B6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</xdr:row>
          <xdr:rowOff>9525</xdr:rowOff>
        </xdr:from>
        <xdr:to>
          <xdr:col>3</xdr:col>
          <xdr:colOff>95250</xdr:colOff>
          <xdr:row>55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99DB23AF-BB7B-4336-9131-06AD04919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</xdr:row>
          <xdr:rowOff>9525</xdr:rowOff>
        </xdr:from>
        <xdr:to>
          <xdr:col>3</xdr:col>
          <xdr:colOff>95250</xdr:colOff>
          <xdr:row>56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50FC868D-98DE-4ACA-8682-2295E74113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</xdr:row>
          <xdr:rowOff>9525</xdr:rowOff>
        </xdr:from>
        <xdr:to>
          <xdr:col>3</xdr:col>
          <xdr:colOff>95250</xdr:colOff>
          <xdr:row>57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1473D41A-5795-4066-8469-C62391456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</xdr:row>
          <xdr:rowOff>9525</xdr:rowOff>
        </xdr:from>
        <xdr:to>
          <xdr:col>3</xdr:col>
          <xdr:colOff>95250</xdr:colOff>
          <xdr:row>58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7A009D5-B1B3-4435-B95F-0F2FB1C1AD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</xdr:row>
          <xdr:rowOff>9525</xdr:rowOff>
        </xdr:from>
        <xdr:to>
          <xdr:col>3</xdr:col>
          <xdr:colOff>95250</xdr:colOff>
          <xdr:row>59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F755B60F-12E0-4E31-A3C9-B0F49E5BA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</xdr:row>
          <xdr:rowOff>9525</xdr:rowOff>
        </xdr:from>
        <xdr:to>
          <xdr:col>3</xdr:col>
          <xdr:colOff>95250</xdr:colOff>
          <xdr:row>60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33A03AFB-7F14-4A38-942B-E535704AC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</xdr:row>
          <xdr:rowOff>9525</xdr:rowOff>
        </xdr:from>
        <xdr:to>
          <xdr:col>3</xdr:col>
          <xdr:colOff>95250</xdr:colOff>
          <xdr:row>61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4887112-82BF-4E5E-9993-62E869ECE0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</xdr:row>
          <xdr:rowOff>9525</xdr:rowOff>
        </xdr:from>
        <xdr:to>
          <xdr:col>3</xdr:col>
          <xdr:colOff>95250</xdr:colOff>
          <xdr:row>62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57C253C-1D4E-48DC-AC66-B41C4611BD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</xdr:row>
          <xdr:rowOff>9525</xdr:rowOff>
        </xdr:from>
        <xdr:to>
          <xdr:col>3</xdr:col>
          <xdr:colOff>95250</xdr:colOff>
          <xdr:row>63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AD4A3F4F-1858-4C97-A2DB-EF020B9B0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</xdr:row>
          <xdr:rowOff>9525</xdr:rowOff>
        </xdr:from>
        <xdr:to>
          <xdr:col>3</xdr:col>
          <xdr:colOff>95250</xdr:colOff>
          <xdr:row>64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6748C122-8BA9-4B45-B03F-11334D370B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</xdr:row>
          <xdr:rowOff>9525</xdr:rowOff>
        </xdr:from>
        <xdr:to>
          <xdr:col>3</xdr:col>
          <xdr:colOff>95250</xdr:colOff>
          <xdr:row>65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AE8C6F6C-E8B4-461B-9D40-C05270915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</xdr:row>
          <xdr:rowOff>9525</xdr:rowOff>
        </xdr:from>
        <xdr:to>
          <xdr:col>3</xdr:col>
          <xdr:colOff>95250</xdr:colOff>
          <xdr:row>66</xdr:row>
          <xdr:rowOff>485775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A350C5B3-938A-4E39-99B7-07007EFC49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</xdr:row>
          <xdr:rowOff>9525</xdr:rowOff>
        </xdr:from>
        <xdr:to>
          <xdr:col>3</xdr:col>
          <xdr:colOff>95250</xdr:colOff>
          <xdr:row>67</xdr:row>
          <xdr:rowOff>485775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87AB35E5-C6A2-4B37-9A8B-045E47969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68</xdr:row>
          <xdr:rowOff>9525</xdr:rowOff>
        </xdr:from>
        <xdr:to>
          <xdr:col>3</xdr:col>
          <xdr:colOff>95250</xdr:colOff>
          <xdr:row>68</xdr:row>
          <xdr:rowOff>485775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A55459C0-1721-47C4-9FC2-21C3B47B93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69</xdr:row>
          <xdr:rowOff>9525</xdr:rowOff>
        </xdr:from>
        <xdr:to>
          <xdr:col>3</xdr:col>
          <xdr:colOff>95250</xdr:colOff>
          <xdr:row>69</xdr:row>
          <xdr:rowOff>485775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12AE5238-6C11-47D8-82BD-3CD33C4C0B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70</xdr:row>
          <xdr:rowOff>9525</xdr:rowOff>
        </xdr:from>
        <xdr:to>
          <xdr:col>3</xdr:col>
          <xdr:colOff>95250</xdr:colOff>
          <xdr:row>70</xdr:row>
          <xdr:rowOff>485775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D33E1570-5ABB-4C69-B051-19743B498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71</xdr:row>
          <xdr:rowOff>9525</xdr:rowOff>
        </xdr:from>
        <xdr:to>
          <xdr:col>3</xdr:col>
          <xdr:colOff>95250</xdr:colOff>
          <xdr:row>71</xdr:row>
          <xdr:rowOff>485775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DC7F8C62-3E4D-451D-BF5F-64904F144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72</xdr:row>
          <xdr:rowOff>9525</xdr:rowOff>
        </xdr:from>
        <xdr:to>
          <xdr:col>3</xdr:col>
          <xdr:colOff>95250</xdr:colOff>
          <xdr:row>72</xdr:row>
          <xdr:rowOff>485775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36FEF9EC-43D1-43DB-B506-78722F9D4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73</xdr:row>
          <xdr:rowOff>9525</xdr:rowOff>
        </xdr:from>
        <xdr:to>
          <xdr:col>3</xdr:col>
          <xdr:colOff>95250</xdr:colOff>
          <xdr:row>73</xdr:row>
          <xdr:rowOff>485775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8C7039E9-ABD4-4DBF-948E-8C400F4BE5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74</xdr:row>
          <xdr:rowOff>9525</xdr:rowOff>
        </xdr:from>
        <xdr:to>
          <xdr:col>3</xdr:col>
          <xdr:colOff>95250</xdr:colOff>
          <xdr:row>74</xdr:row>
          <xdr:rowOff>485775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A484A5B9-D6F3-4D2D-982C-AFBF8CE0B2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75</xdr:row>
          <xdr:rowOff>9525</xdr:rowOff>
        </xdr:from>
        <xdr:to>
          <xdr:col>3</xdr:col>
          <xdr:colOff>95250</xdr:colOff>
          <xdr:row>75</xdr:row>
          <xdr:rowOff>485775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43E478CD-3508-4849-AC32-B65E25FEE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76</xdr:row>
          <xdr:rowOff>9525</xdr:rowOff>
        </xdr:from>
        <xdr:to>
          <xdr:col>3</xdr:col>
          <xdr:colOff>95250</xdr:colOff>
          <xdr:row>76</xdr:row>
          <xdr:rowOff>485775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3F549EFD-3F10-49E0-BF48-A1C4F64F69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77</xdr:row>
          <xdr:rowOff>9525</xdr:rowOff>
        </xdr:from>
        <xdr:to>
          <xdr:col>3</xdr:col>
          <xdr:colOff>95250</xdr:colOff>
          <xdr:row>77</xdr:row>
          <xdr:rowOff>485775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87EFB9C2-2928-4ED5-8AFC-71744ABDE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78</xdr:row>
          <xdr:rowOff>9525</xdr:rowOff>
        </xdr:from>
        <xdr:to>
          <xdr:col>3</xdr:col>
          <xdr:colOff>95250</xdr:colOff>
          <xdr:row>78</xdr:row>
          <xdr:rowOff>485775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93C4FC48-36E3-46ED-9F3E-49197FD438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79</xdr:row>
          <xdr:rowOff>9525</xdr:rowOff>
        </xdr:from>
        <xdr:to>
          <xdr:col>3</xdr:col>
          <xdr:colOff>95250</xdr:colOff>
          <xdr:row>79</xdr:row>
          <xdr:rowOff>485775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E1FED110-3A0B-4F68-B322-D6C1AB63D8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80</xdr:row>
          <xdr:rowOff>9525</xdr:rowOff>
        </xdr:from>
        <xdr:to>
          <xdr:col>3</xdr:col>
          <xdr:colOff>95250</xdr:colOff>
          <xdr:row>80</xdr:row>
          <xdr:rowOff>485775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36461EAF-36D6-4D21-86F2-C61E69B344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81</xdr:row>
          <xdr:rowOff>9525</xdr:rowOff>
        </xdr:from>
        <xdr:to>
          <xdr:col>3</xdr:col>
          <xdr:colOff>95250</xdr:colOff>
          <xdr:row>81</xdr:row>
          <xdr:rowOff>485775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AA11B0F-610A-4844-BBAE-A3573A129C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82</xdr:row>
          <xdr:rowOff>9525</xdr:rowOff>
        </xdr:from>
        <xdr:to>
          <xdr:col>3</xdr:col>
          <xdr:colOff>95250</xdr:colOff>
          <xdr:row>82</xdr:row>
          <xdr:rowOff>485775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DC974015-7FE3-40E5-A8F9-0C75A260F4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83</xdr:row>
          <xdr:rowOff>9525</xdr:rowOff>
        </xdr:from>
        <xdr:to>
          <xdr:col>3</xdr:col>
          <xdr:colOff>95250</xdr:colOff>
          <xdr:row>83</xdr:row>
          <xdr:rowOff>485775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D7B00B8-C259-4C1E-BD64-6B9CBDE66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84</xdr:row>
          <xdr:rowOff>9525</xdr:rowOff>
        </xdr:from>
        <xdr:to>
          <xdr:col>3</xdr:col>
          <xdr:colOff>95250</xdr:colOff>
          <xdr:row>84</xdr:row>
          <xdr:rowOff>485775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7FA93DC1-F9F2-4BAC-85F4-B199D41424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85</xdr:row>
          <xdr:rowOff>9525</xdr:rowOff>
        </xdr:from>
        <xdr:to>
          <xdr:col>3</xdr:col>
          <xdr:colOff>95250</xdr:colOff>
          <xdr:row>85</xdr:row>
          <xdr:rowOff>485775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AB8FC3FC-6CF5-45A2-AE87-3692F8A5E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86</xdr:row>
          <xdr:rowOff>9525</xdr:rowOff>
        </xdr:from>
        <xdr:to>
          <xdr:col>3</xdr:col>
          <xdr:colOff>95250</xdr:colOff>
          <xdr:row>86</xdr:row>
          <xdr:rowOff>485775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39E42F81-9FA2-4308-9B72-53582DB14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87</xdr:row>
          <xdr:rowOff>9525</xdr:rowOff>
        </xdr:from>
        <xdr:to>
          <xdr:col>3</xdr:col>
          <xdr:colOff>95250</xdr:colOff>
          <xdr:row>87</xdr:row>
          <xdr:rowOff>485775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6FA9C16F-0DAD-4B30-9208-EC96C7130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88</xdr:row>
          <xdr:rowOff>9525</xdr:rowOff>
        </xdr:from>
        <xdr:to>
          <xdr:col>3</xdr:col>
          <xdr:colOff>95250</xdr:colOff>
          <xdr:row>88</xdr:row>
          <xdr:rowOff>485775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585D360B-F458-4103-A315-384C7E080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89</xdr:row>
          <xdr:rowOff>9525</xdr:rowOff>
        </xdr:from>
        <xdr:to>
          <xdr:col>3</xdr:col>
          <xdr:colOff>95250</xdr:colOff>
          <xdr:row>89</xdr:row>
          <xdr:rowOff>485775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31C29640-8AD6-4416-9094-C422BCFA1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90</xdr:row>
          <xdr:rowOff>9525</xdr:rowOff>
        </xdr:from>
        <xdr:to>
          <xdr:col>3</xdr:col>
          <xdr:colOff>95250</xdr:colOff>
          <xdr:row>90</xdr:row>
          <xdr:rowOff>485775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C7574D55-D7D1-49C4-973B-D2C6776EF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91</xdr:row>
          <xdr:rowOff>9525</xdr:rowOff>
        </xdr:from>
        <xdr:to>
          <xdr:col>3</xdr:col>
          <xdr:colOff>95250</xdr:colOff>
          <xdr:row>91</xdr:row>
          <xdr:rowOff>485775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64D76B05-F0F5-4904-A658-F6ACD0C0CA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92</xdr:row>
          <xdr:rowOff>9525</xdr:rowOff>
        </xdr:from>
        <xdr:to>
          <xdr:col>3</xdr:col>
          <xdr:colOff>95250</xdr:colOff>
          <xdr:row>92</xdr:row>
          <xdr:rowOff>485775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CB725973-2EA4-4A35-B60B-98545B0042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93</xdr:row>
          <xdr:rowOff>9525</xdr:rowOff>
        </xdr:from>
        <xdr:to>
          <xdr:col>3</xdr:col>
          <xdr:colOff>95250</xdr:colOff>
          <xdr:row>93</xdr:row>
          <xdr:rowOff>485775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254D24A2-F07E-4B62-AEFF-4469E7A59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94</xdr:row>
          <xdr:rowOff>9525</xdr:rowOff>
        </xdr:from>
        <xdr:to>
          <xdr:col>3</xdr:col>
          <xdr:colOff>95250</xdr:colOff>
          <xdr:row>94</xdr:row>
          <xdr:rowOff>485775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D73E758-AA16-4F09-B736-30DE4E05B4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95</xdr:row>
          <xdr:rowOff>9525</xdr:rowOff>
        </xdr:from>
        <xdr:to>
          <xdr:col>3</xdr:col>
          <xdr:colOff>95250</xdr:colOff>
          <xdr:row>95</xdr:row>
          <xdr:rowOff>485775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2C5AAA31-8A68-4BC6-AD1A-DB74ED5256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96</xdr:row>
          <xdr:rowOff>9525</xdr:rowOff>
        </xdr:from>
        <xdr:to>
          <xdr:col>3</xdr:col>
          <xdr:colOff>95250</xdr:colOff>
          <xdr:row>96</xdr:row>
          <xdr:rowOff>485775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BFABD436-F82E-4FA0-B45D-DEFE99440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97</xdr:row>
          <xdr:rowOff>9525</xdr:rowOff>
        </xdr:from>
        <xdr:to>
          <xdr:col>3</xdr:col>
          <xdr:colOff>95250</xdr:colOff>
          <xdr:row>97</xdr:row>
          <xdr:rowOff>485775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381D684F-3B1D-42BE-BBF5-D543FF37E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98</xdr:row>
          <xdr:rowOff>9525</xdr:rowOff>
        </xdr:from>
        <xdr:to>
          <xdr:col>3</xdr:col>
          <xdr:colOff>95250</xdr:colOff>
          <xdr:row>98</xdr:row>
          <xdr:rowOff>485775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30E2608B-FE74-4405-A244-DA4FC37A6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99</xdr:row>
          <xdr:rowOff>9525</xdr:rowOff>
        </xdr:from>
        <xdr:to>
          <xdr:col>3</xdr:col>
          <xdr:colOff>95250</xdr:colOff>
          <xdr:row>99</xdr:row>
          <xdr:rowOff>485775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5A777194-CB72-41F9-98EC-DCCF234C6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100</xdr:row>
          <xdr:rowOff>9525</xdr:rowOff>
        </xdr:from>
        <xdr:to>
          <xdr:col>3</xdr:col>
          <xdr:colOff>95250</xdr:colOff>
          <xdr:row>100</xdr:row>
          <xdr:rowOff>485775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9DF35087-575E-48AF-98E2-9E7065CEE8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101</xdr:row>
          <xdr:rowOff>9525</xdr:rowOff>
        </xdr:from>
        <xdr:to>
          <xdr:col>3</xdr:col>
          <xdr:colOff>95250</xdr:colOff>
          <xdr:row>101</xdr:row>
          <xdr:rowOff>485775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4C3A4066-2049-43E6-8905-230C704C3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102</xdr:row>
          <xdr:rowOff>9525</xdr:rowOff>
        </xdr:from>
        <xdr:to>
          <xdr:col>3</xdr:col>
          <xdr:colOff>95250</xdr:colOff>
          <xdr:row>102</xdr:row>
          <xdr:rowOff>485775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94958E66-401E-466D-B236-C8D45137E9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103</xdr:row>
          <xdr:rowOff>9525</xdr:rowOff>
        </xdr:from>
        <xdr:to>
          <xdr:col>3</xdr:col>
          <xdr:colOff>95250</xdr:colOff>
          <xdr:row>103</xdr:row>
          <xdr:rowOff>485775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1E66B6E-A3F8-4BD4-A3B4-8A967ACB39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104</xdr:row>
          <xdr:rowOff>9525</xdr:rowOff>
        </xdr:from>
        <xdr:to>
          <xdr:col>3</xdr:col>
          <xdr:colOff>95250</xdr:colOff>
          <xdr:row>104</xdr:row>
          <xdr:rowOff>485775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5A88848C-5D1B-44C5-94DF-9ECBF9021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105</xdr:row>
          <xdr:rowOff>9525</xdr:rowOff>
        </xdr:from>
        <xdr:to>
          <xdr:col>3</xdr:col>
          <xdr:colOff>95250</xdr:colOff>
          <xdr:row>105</xdr:row>
          <xdr:rowOff>485775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6619090E-840C-4026-8100-E9E47227F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106</xdr:row>
          <xdr:rowOff>9525</xdr:rowOff>
        </xdr:from>
        <xdr:to>
          <xdr:col>3</xdr:col>
          <xdr:colOff>95250</xdr:colOff>
          <xdr:row>106</xdr:row>
          <xdr:rowOff>485775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818A99F3-0F57-477E-AEC6-9DCF0C08F3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107</xdr:row>
          <xdr:rowOff>9525</xdr:rowOff>
        </xdr:from>
        <xdr:to>
          <xdr:col>3</xdr:col>
          <xdr:colOff>95250</xdr:colOff>
          <xdr:row>107</xdr:row>
          <xdr:rowOff>485775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AC8FF6E0-0019-4A13-8905-F79009921D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108</xdr:row>
          <xdr:rowOff>9525</xdr:rowOff>
        </xdr:from>
        <xdr:to>
          <xdr:col>3</xdr:col>
          <xdr:colOff>95250</xdr:colOff>
          <xdr:row>108</xdr:row>
          <xdr:rowOff>485775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52D10B9D-554E-4C17-8460-F457F58D7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109</xdr:row>
          <xdr:rowOff>9525</xdr:rowOff>
        </xdr:from>
        <xdr:to>
          <xdr:col>3</xdr:col>
          <xdr:colOff>95250</xdr:colOff>
          <xdr:row>109</xdr:row>
          <xdr:rowOff>485775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4965F96B-8A8A-473C-AED4-07C09FDFF2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110</xdr:row>
          <xdr:rowOff>9525</xdr:rowOff>
        </xdr:from>
        <xdr:to>
          <xdr:col>3</xdr:col>
          <xdr:colOff>95250</xdr:colOff>
          <xdr:row>110</xdr:row>
          <xdr:rowOff>485775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355AF0A-59ED-4AB6-A56D-3894618E4B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111</xdr:row>
          <xdr:rowOff>9525</xdr:rowOff>
        </xdr:from>
        <xdr:to>
          <xdr:col>3</xdr:col>
          <xdr:colOff>95250</xdr:colOff>
          <xdr:row>111</xdr:row>
          <xdr:rowOff>485775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5E605E04-18BD-4EC2-9806-F54FA4DABB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112</xdr:row>
          <xdr:rowOff>9525</xdr:rowOff>
        </xdr:from>
        <xdr:to>
          <xdr:col>3</xdr:col>
          <xdr:colOff>95250</xdr:colOff>
          <xdr:row>112</xdr:row>
          <xdr:rowOff>485775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FC4DA6F-CDA3-4768-B977-8C2EFC1E81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113</xdr:row>
          <xdr:rowOff>9525</xdr:rowOff>
        </xdr:from>
        <xdr:to>
          <xdr:col>3</xdr:col>
          <xdr:colOff>95250</xdr:colOff>
          <xdr:row>113</xdr:row>
          <xdr:rowOff>485775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BD290377-1C4A-449E-B78B-EBEB551E0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114</xdr:row>
          <xdr:rowOff>9525</xdr:rowOff>
        </xdr:from>
        <xdr:to>
          <xdr:col>3</xdr:col>
          <xdr:colOff>95250</xdr:colOff>
          <xdr:row>114</xdr:row>
          <xdr:rowOff>485775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F7340CA7-3AE9-448A-B894-A09A69021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115</xdr:row>
          <xdr:rowOff>9525</xdr:rowOff>
        </xdr:from>
        <xdr:to>
          <xdr:col>3</xdr:col>
          <xdr:colOff>95250</xdr:colOff>
          <xdr:row>115</xdr:row>
          <xdr:rowOff>485775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DABE9F52-FF3D-4B86-AFBA-C9419ADCB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116</xdr:row>
          <xdr:rowOff>9525</xdr:rowOff>
        </xdr:from>
        <xdr:to>
          <xdr:col>3</xdr:col>
          <xdr:colOff>95250</xdr:colOff>
          <xdr:row>116</xdr:row>
          <xdr:rowOff>485775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98CA1-64CF-4966-A4D6-5EDA432E6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117</xdr:row>
          <xdr:rowOff>9525</xdr:rowOff>
        </xdr:from>
        <xdr:to>
          <xdr:col>3</xdr:col>
          <xdr:colOff>95250</xdr:colOff>
          <xdr:row>117</xdr:row>
          <xdr:rowOff>485775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19A3863D-CA75-4A5A-A1EF-221DCDC56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118</xdr:row>
          <xdr:rowOff>9525</xdr:rowOff>
        </xdr:from>
        <xdr:to>
          <xdr:col>3</xdr:col>
          <xdr:colOff>95250</xdr:colOff>
          <xdr:row>118</xdr:row>
          <xdr:rowOff>485775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D6E1A073-D2EB-4814-8C99-38D0741554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119</xdr:row>
          <xdr:rowOff>9525</xdr:rowOff>
        </xdr:from>
        <xdr:to>
          <xdr:col>3</xdr:col>
          <xdr:colOff>95250</xdr:colOff>
          <xdr:row>119</xdr:row>
          <xdr:rowOff>485775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5304F31D-B685-47A3-886E-041322581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120</xdr:row>
          <xdr:rowOff>9525</xdr:rowOff>
        </xdr:from>
        <xdr:to>
          <xdr:col>3</xdr:col>
          <xdr:colOff>95250</xdr:colOff>
          <xdr:row>120</xdr:row>
          <xdr:rowOff>485775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7EE47E14-A4CA-48B3-B031-DB6E38636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121</xdr:row>
          <xdr:rowOff>9525</xdr:rowOff>
        </xdr:from>
        <xdr:to>
          <xdr:col>3</xdr:col>
          <xdr:colOff>95250</xdr:colOff>
          <xdr:row>121</xdr:row>
          <xdr:rowOff>485775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3695C4BA-B0C4-4B11-BE03-5EE978559A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122</xdr:row>
          <xdr:rowOff>9525</xdr:rowOff>
        </xdr:from>
        <xdr:to>
          <xdr:col>3</xdr:col>
          <xdr:colOff>95250</xdr:colOff>
          <xdr:row>122</xdr:row>
          <xdr:rowOff>485775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4D2EF974-6F83-4612-B780-AE801C5CD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123</xdr:row>
          <xdr:rowOff>9525</xdr:rowOff>
        </xdr:from>
        <xdr:to>
          <xdr:col>3</xdr:col>
          <xdr:colOff>95250</xdr:colOff>
          <xdr:row>123</xdr:row>
          <xdr:rowOff>485775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F7D10BDD-7F24-4AE7-8E1B-AC2B7D4113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124</xdr:row>
          <xdr:rowOff>9525</xdr:rowOff>
        </xdr:from>
        <xdr:to>
          <xdr:col>3</xdr:col>
          <xdr:colOff>95250</xdr:colOff>
          <xdr:row>124</xdr:row>
          <xdr:rowOff>485775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1345F6EA-61A5-4C21-A2A6-78E65DC736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125</xdr:row>
          <xdr:rowOff>9525</xdr:rowOff>
        </xdr:from>
        <xdr:to>
          <xdr:col>3</xdr:col>
          <xdr:colOff>95250</xdr:colOff>
          <xdr:row>125</xdr:row>
          <xdr:rowOff>485775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6A3CC283-B876-4459-8565-C0B4874D3B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126</xdr:row>
          <xdr:rowOff>9525</xdr:rowOff>
        </xdr:from>
        <xdr:to>
          <xdr:col>3</xdr:col>
          <xdr:colOff>95250</xdr:colOff>
          <xdr:row>126</xdr:row>
          <xdr:rowOff>485775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7B13E10B-F96B-4BDD-A0AD-3753BB9EB6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127</xdr:row>
          <xdr:rowOff>9525</xdr:rowOff>
        </xdr:from>
        <xdr:to>
          <xdr:col>3</xdr:col>
          <xdr:colOff>95250</xdr:colOff>
          <xdr:row>127</xdr:row>
          <xdr:rowOff>485775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BF40C1A1-72DF-483C-88D5-9E01C343CC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128</xdr:row>
          <xdr:rowOff>9525</xdr:rowOff>
        </xdr:from>
        <xdr:to>
          <xdr:col>3</xdr:col>
          <xdr:colOff>95250</xdr:colOff>
          <xdr:row>128</xdr:row>
          <xdr:rowOff>485775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D8D6369F-5E0E-4CB4-BE46-B056F395F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129</xdr:row>
          <xdr:rowOff>9525</xdr:rowOff>
        </xdr:from>
        <xdr:to>
          <xdr:col>3</xdr:col>
          <xdr:colOff>95250</xdr:colOff>
          <xdr:row>129</xdr:row>
          <xdr:rowOff>485775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16B2FE8F-CA49-4A9B-A1A4-393ABDB80B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130</xdr:row>
          <xdr:rowOff>9525</xdr:rowOff>
        </xdr:from>
        <xdr:to>
          <xdr:col>3</xdr:col>
          <xdr:colOff>95250</xdr:colOff>
          <xdr:row>130</xdr:row>
          <xdr:rowOff>485775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8EED7E65-4F30-4778-9E88-EEAC17C00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131</xdr:row>
          <xdr:rowOff>9525</xdr:rowOff>
        </xdr:from>
        <xdr:to>
          <xdr:col>3</xdr:col>
          <xdr:colOff>95250</xdr:colOff>
          <xdr:row>131</xdr:row>
          <xdr:rowOff>485775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AADD181A-E9F1-436D-909E-6B6C343EF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132</xdr:row>
          <xdr:rowOff>9525</xdr:rowOff>
        </xdr:from>
        <xdr:to>
          <xdr:col>3</xdr:col>
          <xdr:colOff>95250</xdr:colOff>
          <xdr:row>132</xdr:row>
          <xdr:rowOff>485775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B052BB08-BD1E-4711-A626-ADEA9F69E2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133</xdr:row>
          <xdr:rowOff>9525</xdr:rowOff>
        </xdr:from>
        <xdr:to>
          <xdr:col>3</xdr:col>
          <xdr:colOff>95250</xdr:colOff>
          <xdr:row>133</xdr:row>
          <xdr:rowOff>485775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8D3AE2FD-6407-403C-83B2-E4A3F8B90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134</xdr:row>
          <xdr:rowOff>9525</xdr:rowOff>
        </xdr:from>
        <xdr:to>
          <xdr:col>3</xdr:col>
          <xdr:colOff>95250</xdr:colOff>
          <xdr:row>134</xdr:row>
          <xdr:rowOff>485775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A1F8EF26-433B-496B-9E6C-223D90694E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135</xdr:row>
          <xdr:rowOff>9525</xdr:rowOff>
        </xdr:from>
        <xdr:to>
          <xdr:col>3</xdr:col>
          <xdr:colOff>95250</xdr:colOff>
          <xdr:row>135</xdr:row>
          <xdr:rowOff>485775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3814F0E1-B476-4EB7-86C4-FF7225B1F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136</xdr:row>
          <xdr:rowOff>9525</xdr:rowOff>
        </xdr:from>
        <xdr:to>
          <xdr:col>3</xdr:col>
          <xdr:colOff>95250</xdr:colOff>
          <xdr:row>136</xdr:row>
          <xdr:rowOff>485775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4C4F5DE6-FEE3-42C5-B6E9-50158194BC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137</xdr:row>
          <xdr:rowOff>9525</xdr:rowOff>
        </xdr:from>
        <xdr:to>
          <xdr:col>3</xdr:col>
          <xdr:colOff>95250</xdr:colOff>
          <xdr:row>137</xdr:row>
          <xdr:rowOff>485775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AD48B0B-E806-4DFB-8047-A4297D7184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138</xdr:row>
          <xdr:rowOff>9525</xdr:rowOff>
        </xdr:from>
        <xdr:to>
          <xdr:col>3</xdr:col>
          <xdr:colOff>95250</xdr:colOff>
          <xdr:row>138</xdr:row>
          <xdr:rowOff>485775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A08A797C-43DB-4917-B852-47594109E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139</xdr:row>
          <xdr:rowOff>9525</xdr:rowOff>
        </xdr:from>
        <xdr:to>
          <xdr:col>3</xdr:col>
          <xdr:colOff>95250</xdr:colOff>
          <xdr:row>139</xdr:row>
          <xdr:rowOff>485775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933C30A-3C5A-412E-8828-61CD643D43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140</xdr:row>
          <xdr:rowOff>9525</xdr:rowOff>
        </xdr:from>
        <xdr:to>
          <xdr:col>3</xdr:col>
          <xdr:colOff>95250</xdr:colOff>
          <xdr:row>140</xdr:row>
          <xdr:rowOff>485775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D2593903-F966-448B-BFDF-B7C68F3FB3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141</xdr:row>
          <xdr:rowOff>9525</xdr:rowOff>
        </xdr:from>
        <xdr:to>
          <xdr:col>3</xdr:col>
          <xdr:colOff>95250</xdr:colOff>
          <xdr:row>141</xdr:row>
          <xdr:rowOff>485775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51B6FF13-0478-48D4-ABD6-726C26A43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142</xdr:row>
          <xdr:rowOff>9525</xdr:rowOff>
        </xdr:from>
        <xdr:to>
          <xdr:col>3</xdr:col>
          <xdr:colOff>95250</xdr:colOff>
          <xdr:row>142</xdr:row>
          <xdr:rowOff>485775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90BF1507-55F7-405D-AD2A-58DBED59A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143</xdr:row>
          <xdr:rowOff>9525</xdr:rowOff>
        </xdr:from>
        <xdr:to>
          <xdr:col>3</xdr:col>
          <xdr:colOff>95250</xdr:colOff>
          <xdr:row>143</xdr:row>
          <xdr:rowOff>485775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7EA6EFE8-E67F-4214-A22A-B011DF900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144</xdr:row>
          <xdr:rowOff>9525</xdr:rowOff>
        </xdr:from>
        <xdr:to>
          <xdr:col>3</xdr:col>
          <xdr:colOff>95250</xdr:colOff>
          <xdr:row>144</xdr:row>
          <xdr:rowOff>485775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DE8FD29B-72FE-44C0-B6CF-8E41CF042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145</xdr:row>
          <xdr:rowOff>9525</xdr:rowOff>
        </xdr:from>
        <xdr:to>
          <xdr:col>3</xdr:col>
          <xdr:colOff>95250</xdr:colOff>
          <xdr:row>145</xdr:row>
          <xdr:rowOff>485775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524B6F05-5A9D-4278-A25C-640E9B77C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146</xdr:row>
          <xdr:rowOff>9525</xdr:rowOff>
        </xdr:from>
        <xdr:to>
          <xdr:col>3</xdr:col>
          <xdr:colOff>95250</xdr:colOff>
          <xdr:row>146</xdr:row>
          <xdr:rowOff>485775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5F3F66F6-FB39-4FCB-AD9D-A5383E59A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147</xdr:row>
          <xdr:rowOff>9525</xdr:rowOff>
        </xdr:from>
        <xdr:to>
          <xdr:col>3</xdr:col>
          <xdr:colOff>95250</xdr:colOff>
          <xdr:row>147</xdr:row>
          <xdr:rowOff>485775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D558E7E5-FD6C-4933-8F99-F61898E8B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148</xdr:row>
          <xdr:rowOff>9525</xdr:rowOff>
        </xdr:from>
        <xdr:to>
          <xdr:col>3</xdr:col>
          <xdr:colOff>95250</xdr:colOff>
          <xdr:row>148</xdr:row>
          <xdr:rowOff>485775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F0FA0ECF-99DC-4FF4-B0D3-1CBFAA9C8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149</xdr:row>
          <xdr:rowOff>9525</xdr:rowOff>
        </xdr:from>
        <xdr:to>
          <xdr:col>3</xdr:col>
          <xdr:colOff>95250</xdr:colOff>
          <xdr:row>149</xdr:row>
          <xdr:rowOff>485775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BB0360B4-402D-4442-A9FB-355DD2C4C7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150</xdr:row>
          <xdr:rowOff>9525</xdr:rowOff>
        </xdr:from>
        <xdr:to>
          <xdr:col>3</xdr:col>
          <xdr:colOff>95250</xdr:colOff>
          <xdr:row>150</xdr:row>
          <xdr:rowOff>485775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782B68E5-9655-49A8-84C5-D31CF0B76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151</xdr:row>
          <xdr:rowOff>9525</xdr:rowOff>
        </xdr:from>
        <xdr:to>
          <xdr:col>3</xdr:col>
          <xdr:colOff>95250</xdr:colOff>
          <xdr:row>151</xdr:row>
          <xdr:rowOff>485775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7FD42B79-5B63-43E4-8706-C640F105B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152</xdr:row>
          <xdr:rowOff>9525</xdr:rowOff>
        </xdr:from>
        <xdr:to>
          <xdr:col>3</xdr:col>
          <xdr:colOff>95250</xdr:colOff>
          <xdr:row>152</xdr:row>
          <xdr:rowOff>485775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1B489BF1-E4FE-428E-9EB0-42A33A58D3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153</xdr:row>
          <xdr:rowOff>9525</xdr:rowOff>
        </xdr:from>
        <xdr:to>
          <xdr:col>3</xdr:col>
          <xdr:colOff>95250</xdr:colOff>
          <xdr:row>153</xdr:row>
          <xdr:rowOff>485775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AB5AD1E5-923C-468C-9B54-982ABB3CD6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154</xdr:row>
          <xdr:rowOff>9525</xdr:rowOff>
        </xdr:from>
        <xdr:to>
          <xdr:col>3</xdr:col>
          <xdr:colOff>95250</xdr:colOff>
          <xdr:row>154</xdr:row>
          <xdr:rowOff>485775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DDDE78F2-4E91-40F3-8CD0-3849A49048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155</xdr:row>
          <xdr:rowOff>9525</xdr:rowOff>
        </xdr:from>
        <xdr:to>
          <xdr:col>3</xdr:col>
          <xdr:colOff>95250</xdr:colOff>
          <xdr:row>155</xdr:row>
          <xdr:rowOff>485775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AC6CABBE-A5E9-4EE5-8695-5A12C60F40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156</xdr:row>
          <xdr:rowOff>9525</xdr:rowOff>
        </xdr:from>
        <xdr:to>
          <xdr:col>3</xdr:col>
          <xdr:colOff>95250</xdr:colOff>
          <xdr:row>156</xdr:row>
          <xdr:rowOff>485775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88D7771E-BC56-4B40-B257-B00B308882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157</xdr:row>
          <xdr:rowOff>9525</xdr:rowOff>
        </xdr:from>
        <xdr:to>
          <xdr:col>3</xdr:col>
          <xdr:colOff>95250</xdr:colOff>
          <xdr:row>157</xdr:row>
          <xdr:rowOff>485775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BA47B646-0137-4864-9C46-9B2218494A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158</xdr:row>
          <xdr:rowOff>9525</xdr:rowOff>
        </xdr:from>
        <xdr:to>
          <xdr:col>3</xdr:col>
          <xdr:colOff>95250</xdr:colOff>
          <xdr:row>158</xdr:row>
          <xdr:rowOff>485775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C0A2A31F-6921-4827-8D23-30C166BC3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159</xdr:row>
          <xdr:rowOff>9525</xdr:rowOff>
        </xdr:from>
        <xdr:to>
          <xdr:col>3</xdr:col>
          <xdr:colOff>95250</xdr:colOff>
          <xdr:row>159</xdr:row>
          <xdr:rowOff>485775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8C60990E-E9BA-4BAC-ABFE-466F86C452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160</xdr:row>
          <xdr:rowOff>9525</xdr:rowOff>
        </xdr:from>
        <xdr:to>
          <xdr:col>3</xdr:col>
          <xdr:colOff>95250</xdr:colOff>
          <xdr:row>160</xdr:row>
          <xdr:rowOff>485775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9A7CF92F-A862-4E1F-97B1-70E15A56A7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161</xdr:row>
          <xdr:rowOff>9525</xdr:rowOff>
        </xdr:from>
        <xdr:to>
          <xdr:col>3</xdr:col>
          <xdr:colOff>95250</xdr:colOff>
          <xdr:row>161</xdr:row>
          <xdr:rowOff>485775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BAF78033-8A54-4657-B8FB-E2E14F641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162</xdr:row>
          <xdr:rowOff>9525</xdr:rowOff>
        </xdr:from>
        <xdr:to>
          <xdr:col>3</xdr:col>
          <xdr:colOff>95250</xdr:colOff>
          <xdr:row>162</xdr:row>
          <xdr:rowOff>485775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A66E07DB-ECD7-426A-A8B6-EB2D4B83A1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163</xdr:row>
          <xdr:rowOff>9525</xdr:rowOff>
        </xdr:from>
        <xdr:to>
          <xdr:col>3</xdr:col>
          <xdr:colOff>95250</xdr:colOff>
          <xdr:row>163</xdr:row>
          <xdr:rowOff>485775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4ADD19EA-58B4-47E7-A6AE-FB438DACF8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164</xdr:row>
          <xdr:rowOff>9525</xdr:rowOff>
        </xdr:from>
        <xdr:to>
          <xdr:col>3</xdr:col>
          <xdr:colOff>95250</xdr:colOff>
          <xdr:row>164</xdr:row>
          <xdr:rowOff>485775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74D65FCC-CADD-4E1B-8B7C-5E011C2FC8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165</xdr:row>
          <xdr:rowOff>9525</xdr:rowOff>
        </xdr:from>
        <xdr:to>
          <xdr:col>3</xdr:col>
          <xdr:colOff>95250</xdr:colOff>
          <xdr:row>165</xdr:row>
          <xdr:rowOff>485775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84ACEB1E-C013-40BD-8747-5F66E9414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166</xdr:row>
          <xdr:rowOff>9525</xdr:rowOff>
        </xdr:from>
        <xdr:to>
          <xdr:col>3</xdr:col>
          <xdr:colOff>95250</xdr:colOff>
          <xdr:row>166</xdr:row>
          <xdr:rowOff>485775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954388C0-A541-4410-AC63-C41240FBEB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167</xdr:row>
          <xdr:rowOff>9525</xdr:rowOff>
        </xdr:from>
        <xdr:to>
          <xdr:col>3</xdr:col>
          <xdr:colOff>95250</xdr:colOff>
          <xdr:row>167</xdr:row>
          <xdr:rowOff>485775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D3E8F9D3-2D13-4259-9821-3E06CA075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168</xdr:row>
          <xdr:rowOff>9525</xdr:rowOff>
        </xdr:from>
        <xdr:to>
          <xdr:col>3</xdr:col>
          <xdr:colOff>95250</xdr:colOff>
          <xdr:row>168</xdr:row>
          <xdr:rowOff>485775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3341875D-A1E3-4465-BC3A-9BCBE03219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169</xdr:row>
          <xdr:rowOff>9525</xdr:rowOff>
        </xdr:from>
        <xdr:to>
          <xdr:col>3</xdr:col>
          <xdr:colOff>95250</xdr:colOff>
          <xdr:row>169</xdr:row>
          <xdr:rowOff>485775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D20CE979-ECE6-4C6F-8A3A-8A64ABAA0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170</xdr:row>
          <xdr:rowOff>9525</xdr:rowOff>
        </xdr:from>
        <xdr:to>
          <xdr:col>3</xdr:col>
          <xdr:colOff>95250</xdr:colOff>
          <xdr:row>170</xdr:row>
          <xdr:rowOff>485775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4ABCBA04-7EB8-42A2-A6DD-F42C267FF1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171</xdr:row>
          <xdr:rowOff>9525</xdr:rowOff>
        </xdr:from>
        <xdr:to>
          <xdr:col>3</xdr:col>
          <xdr:colOff>95250</xdr:colOff>
          <xdr:row>171</xdr:row>
          <xdr:rowOff>485775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2024F585-74A7-4374-BC19-63ACBCC84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172</xdr:row>
          <xdr:rowOff>9525</xdr:rowOff>
        </xdr:from>
        <xdr:to>
          <xdr:col>3</xdr:col>
          <xdr:colOff>95250</xdr:colOff>
          <xdr:row>172</xdr:row>
          <xdr:rowOff>485775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2840529F-64F7-4252-9EAC-1C9094CE5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173</xdr:row>
          <xdr:rowOff>9525</xdr:rowOff>
        </xdr:from>
        <xdr:to>
          <xdr:col>3</xdr:col>
          <xdr:colOff>95250</xdr:colOff>
          <xdr:row>173</xdr:row>
          <xdr:rowOff>485775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51240491-6E1A-4038-A8A6-A22303BCE0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174</xdr:row>
          <xdr:rowOff>9525</xdr:rowOff>
        </xdr:from>
        <xdr:to>
          <xdr:col>3</xdr:col>
          <xdr:colOff>95250</xdr:colOff>
          <xdr:row>174</xdr:row>
          <xdr:rowOff>485775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4290740B-7CF0-431C-BBAD-5A6149BD1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175</xdr:row>
          <xdr:rowOff>9525</xdr:rowOff>
        </xdr:from>
        <xdr:to>
          <xdr:col>3</xdr:col>
          <xdr:colOff>95250</xdr:colOff>
          <xdr:row>175</xdr:row>
          <xdr:rowOff>485775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3045774E-ADD9-4B4F-9966-04D069D3C9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176</xdr:row>
          <xdr:rowOff>9525</xdr:rowOff>
        </xdr:from>
        <xdr:to>
          <xdr:col>3</xdr:col>
          <xdr:colOff>95250</xdr:colOff>
          <xdr:row>176</xdr:row>
          <xdr:rowOff>485775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F94324D1-0716-4A99-ACED-8C18794E2B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177</xdr:row>
          <xdr:rowOff>9525</xdr:rowOff>
        </xdr:from>
        <xdr:to>
          <xdr:col>3</xdr:col>
          <xdr:colOff>95250</xdr:colOff>
          <xdr:row>177</xdr:row>
          <xdr:rowOff>485775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3BE069D-0AB0-450F-9768-28286E80C5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178</xdr:row>
          <xdr:rowOff>9525</xdr:rowOff>
        </xdr:from>
        <xdr:to>
          <xdr:col>3</xdr:col>
          <xdr:colOff>95250</xdr:colOff>
          <xdr:row>178</xdr:row>
          <xdr:rowOff>485775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2059C1E6-15C2-4E0A-9D7E-680776D9BA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179</xdr:row>
          <xdr:rowOff>9525</xdr:rowOff>
        </xdr:from>
        <xdr:to>
          <xdr:col>3</xdr:col>
          <xdr:colOff>95250</xdr:colOff>
          <xdr:row>179</xdr:row>
          <xdr:rowOff>485775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420B8E38-7E2D-4FB6-97FF-FB5C454A2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180</xdr:row>
          <xdr:rowOff>9525</xdr:rowOff>
        </xdr:from>
        <xdr:to>
          <xdr:col>3</xdr:col>
          <xdr:colOff>95250</xdr:colOff>
          <xdr:row>180</xdr:row>
          <xdr:rowOff>485775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EF3D62ED-F1A9-46FB-B401-68542BDF4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181</xdr:row>
          <xdr:rowOff>9525</xdr:rowOff>
        </xdr:from>
        <xdr:to>
          <xdr:col>3</xdr:col>
          <xdr:colOff>95250</xdr:colOff>
          <xdr:row>181</xdr:row>
          <xdr:rowOff>485775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4B4235C8-CB5F-4E5B-B1CD-D1B5E1923D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182</xdr:row>
          <xdr:rowOff>9525</xdr:rowOff>
        </xdr:from>
        <xdr:to>
          <xdr:col>3</xdr:col>
          <xdr:colOff>95250</xdr:colOff>
          <xdr:row>182</xdr:row>
          <xdr:rowOff>485775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5A21DD1B-11F1-4AEB-AC1D-C8A10B2BE9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183</xdr:row>
          <xdr:rowOff>9525</xdr:rowOff>
        </xdr:from>
        <xdr:to>
          <xdr:col>3</xdr:col>
          <xdr:colOff>95250</xdr:colOff>
          <xdr:row>183</xdr:row>
          <xdr:rowOff>485775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A1996BD1-AB4A-44D0-B64A-23EE3ABD9E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184</xdr:row>
          <xdr:rowOff>9525</xdr:rowOff>
        </xdr:from>
        <xdr:to>
          <xdr:col>3</xdr:col>
          <xdr:colOff>95250</xdr:colOff>
          <xdr:row>184</xdr:row>
          <xdr:rowOff>485775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117905FE-A40C-4467-8432-2A00679B10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185</xdr:row>
          <xdr:rowOff>9525</xdr:rowOff>
        </xdr:from>
        <xdr:to>
          <xdr:col>3</xdr:col>
          <xdr:colOff>95250</xdr:colOff>
          <xdr:row>185</xdr:row>
          <xdr:rowOff>485775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598C8B8F-63A6-4A85-91D3-F13E97A9F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186</xdr:row>
          <xdr:rowOff>9525</xdr:rowOff>
        </xdr:from>
        <xdr:to>
          <xdr:col>3</xdr:col>
          <xdr:colOff>95250</xdr:colOff>
          <xdr:row>186</xdr:row>
          <xdr:rowOff>485775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F4D00622-BDDC-4FA3-AD83-8F5FCBA73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187</xdr:row>
          <xdr:rowOff>9525</xdr:rowOff>
        </xdr:from>
        <xdr:to>
          <xdr:col>3</xdr:col>
          <xdr:colOff>95250</xdr:colOff>
          <xdr:row>187</xdr:row>
          <xdr:rowOff>485775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2E0EB73B-717C-40F0-9850-16802727D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188</xdr:row>
          <xdr:rowOff>9525</xdr:rowOff>
        </xdr:from>
        <xdr:to>
          <xdr:col>3</xdr:col>
          <xdr:colOff>95250</xdr:colOff>
          <xdr:row>188</xdr:row>
          <xdr:rowOff>485775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97E0C105-F0BC-4E4A-ACCC-9DBA21AC09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189</xdr:row>
          <xdr:rowOff>9525</xdr:rowOff>
        </xdr:from>
        <xdr:to>
          <xdr:col>3</xdr:col>
          <xdr:colOff>95250</xdr:colOff>
          <xdr:row>189</xdr:row>
          <xdr:rowOff>485775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953CCBC4-4526-496A-8D38-DF239735C3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190</xdr:row>
          <xdr:rowOff>9525</xdr:rowOff>
        </xdr:from>
        <xdr:to>
          <xdr:col>3</xdr:col>
          <xdr:colOff>95250</xdr:colOff>
          <xdr:row>190</xdr:row>
          <xdr:rowOff>485775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990E5BB7-275E-4C49-85F6-3FAD65D54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191</xdr:row>
          <xdr:rowOff>9525</xdr:rowOff>
        </xdr:from>
        <xdr:to>
          <xdr:col>3</xdr:col>
          <xdr:colOff>95250</xdr:colOff>
          <xdr:row>191</xdr:row>
          <xdr:rowOff>485775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2AB4CACC-F190-4666-96DB-0D84A6EF2F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192</xdr:row>
          <xdr:rowOff>9525</xdr:rowOff>
        </xdr:from>
        <xdr:to>
          <xdr:col>3</xdr:col>
          <xdr:colOff>95250</xdr:colOff>
          <xdr:row>192</xdr:row>
          <xdr:rowOff>485775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2D7D6CA-93F1-4820-BE32-C1B549C64A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193</xdr:row>
          <xdr:rowOff>9525</xdr:rowOff>
        </xdr:from>
        <xdr:to>
          <xdr:col>3</xdr:col>
          <xdr:colOff>95250</xdr:colOff>
          <xdr:row>193</xdr:row>
          <xdr:rowOff>485775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202BD685-CC35-4BFF-BA57-E567702E4A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194</xdr:row>
          <xdr:rowOff>9525</xdr:rowOff>
        </xdr:from>
        <xdr:to>
          <xdr:col>3</xdr:col>
          <xdr:colOff>95250</xdr:colOff>
          <xdr:row>194</xdr:row>
          <xdr:rowOff>485775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C0673048-F406-47AF-B7D8-2052CC5926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195</xdr:row>
          <xdr:rowOff>9525</xdr:rowOff>
        </xdr:from>
        <xdr:to>
          <xdr:col>3</xdr:col>
          <xdr:colOff>95250</xdr:colOff>
          <xdr:row>195</xdr:row>
          <xdr:rowOff>485775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98DECA47-B421-4D41-878F-860674DF6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196</xdr:row>
          <xdr:rowOff>9525</xdr:rowOff>
        </xdr:from>
        <xdr:to>
          <xdr:col>3</xdr:col>
          <xdr:colOff>95250</xdr:colOff>
          <xdr:row>196</xdr:row>
          <xdr:rowOff>485775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97F07A9-E70C-4E16-8087-5A24CFDC8D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197</xdr:row>
          <xdr:rowOff>9525</xdr:rowOff>
        </xdr:from>
        <xdr:to>
          <xdr:col>3</xdr:col>
          <xdr:colOff>95250</xdr:colOff>
          <xdr:row>197</xdr:row>
          <xdr:rowOff>485775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997C86B2-E960-4669-85FC-80AED37D3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198</xdr:row>
          <xdr:rowOff>9525</xdr:rowOff>
        </xdr:from>
        <xdr:to>
          <xdr:col>3</xdr:col>
          <xdr:colOff>95250</xdr:colOff>
          <xdr:row>198</xdr:row>
          <xdr:rowOff>485775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45C7F046-5B19-48F2-958A-EF6D11345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199</xdr:row>
          <xdr:rowOff>9525</xdr:rowOff>
        </xdr:from>
        <xdr:to>
          <xdr:col>3</xdr:col>
          <xdr:colOff>95250</xdr:colOff>
          <xdr:row>199</xdr:row>
          <xdr:rowOff>485775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33E733B6-C562-4825-88A8-574F3E728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200</xdr:row>
          <xdr:rowOff>9525</xdr:rowOff>
        </xdr:from>
        <xdr:to>
          <xdr:col>3</xdr:col>
          <xdr:colOff>95250</xdr:colOff>
          <xdr:row>200</xdr:row>
          <xdr:rowOff>485775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619400BA-9918-4847-8516-304B05FE81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201</xdr:row>
          <xdr:rowOff>9525</xdr:rowOff>
        </xdr:from>
        <xdr:to>
          <xdr:col>3</xdr:col>
          <xdr:colOff>95250</xdr:colOff>
          <xdr:row>201</xdr:row>
          <xdr:rowOff>485775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A371C017-8862-4575-8B81-09A9152E89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202</xdr:row>
          <xdr:rowOff>9525</xdr:rowOff>
        </xdr:from>
        <xdr:to>
          <xdr:col>3</xdr:col>
          <xdr:colOff>95250</xdr:colOff>
          <xdr:row>202</xdr:row>
          <xdr:rowOff>485775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49A3AB58-3314-42A4-8356-ACB6DC669E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203</xdr:row>
          <xdr:rowOff>9525</xdr:rowOff>
        </xdr:from>
        <xdr:to>
          <xdr:col>3</xdr:col>
          <xdr:colOff>95250</xdr:colOff>
          <xdr:row>203</xdr:row>
          <xdr:rowOff>485775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16213DF1-2E9C-47C9-AAC4-9D99D0570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204</xdr:row>
          <xdr:rowOff>9525</xdr:rowOff>
        </xdr:from>
        <xdr:to>
          <xdr:col>3</xdr:col>
          <xdr:colOff>95250</xdr:colOff>
          <xdr:row>204</xdr:row>
          <xdr:rowOff>485775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8EEF591E-12D3-45B7-A55D-25740C79E3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205</xdr:row>
          <xdr:rowOff>9525</xdr:rowOff>
        </xdr:from>
        <xdr:to>
          <xdr:col>3</xdr:col>
          <xdr:colOff>95250</xdr:colOff>
          <xdr:row>205</xdr:row>
          <xdr:rowOff>485775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5D694DDE-45C2-46B6-8CAD-D72E2071F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206</xdr:row>
          <xdr:rowOff>9525</xdr:rowOff>
        </xdr:from>
        <xdr:to>
          <xdr:col>3</xdr:col>
          <xdr:colOff>95250</xdr:colOff>
          <xdr:row>206</xdr:row>
          <xdr:rowOff>485775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2677A196-F850-4598-95A7-820EE1B46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207</xdr:row>
          <xdr:rowOff>9525</xdr:rowOff>
        </xdr:from>
        <xdr:to>
          <xdr:col>3</xdr:col>
          <xdr:colOff>95250</xdr:colOff>
          <xdr:row>207</xdr:row>
          <xdr:rowOff>485775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C0B969F3-B7CA-4FFA-961F-CB6FE42B63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208</xdr:row>
          <xdr:rowOff>9525</xdr:rowOff>
        </xdr:from>
        <xdr:to>
          <xdr:col>3</xdr:col>
          <xdr:colOff>95250</xdr:colOff>
          <xdr:row>208</xdr:row>
          <xdr:rowOff>485775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167AEE20-2669-4F2E-9125-6E0BA57126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209</xdr:row>
          <xdr:rowOff>9525</xdr:rowOff>
        </xdr:from>
        <xdr:to>
          <xdr:col>3</xdr:col>
          <xdr:colOff>95250</xdr:colOff>
          <xdr:row>209</xdr:row>
          <xdr:rowOff>485775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61E04F20-D961-41CB-B3AE-BE2B1F649F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210</xdr:row>
          <xdr:rowOff>9525</xdr:rowOff>
        </xdr:from>
        <xdr:to>
          <xdr:col>3</xdr:col>
          <xdr:colOff>95250</xdr:colOff>
          <xdr:row>210</xdr:row>
          <xdr:rowOff>485775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4729EF99-4BE2-4027-81A1-ACD4EE8C3D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211</xdr:row>
          <xdr:rowOff>9525</xdr:rowOff>
        </xdr:from>
        <xdr:to>
          <xdr:col>3</xdr:col>
          <xdr:colOff>95250</xdr:colOff>
          <xdr:row>211</xdr:row>
          <xdr:rowOff>485775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365EDD70-B35F-4284-9512-879652CE90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212</xdr:row>
          <xdr:rowOff>9525</xdr:rowOff>
        </xdr:from>
        <xdr:to>
          <xdr:col>3</xdr:col>
          <xdr:colOff>95250</xdr:colOff>
          <xdr:row>212</xdr:row>
          <xdr:rowOff>485775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A8A9249C-8C50-4297-A53B-6EA18430E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213</xdr:row>
          <xdr:rowOff>9525</xdr:rowOff>
        </xdr:from>
        <xdr:to>
          <xdr:col>3</xdr:col>
          <xdr:colOff>95250</xdr:colOff>
          <xdr:row>213</xdr:row>
          <xdr:rowOff>485775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6DD2392E-26B8-471C-8FC5-069B23DAE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214</xdr:row>
          <xdr:rowOff>9525</xdr:rowOff>
        </xdr:from>
        <xdr:to>
          <xdr:col>3</xdr:col>
          <xdr:colOff>95250</xdr:colOff>
          <xdr:row>214</xdr:row>
          <xdr:rowOff>485775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B644E816-7600-4EC8-9D3B-FE49FAEC7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215</xdr:row>
          <xdr:rowOff>9525</xdr:rowOff>
        </xdr:from>
        <xdr:to>
          <xdr:col>3</xdr:col>
          <xdr:colOff>95250</xdr:colOff>
          <xdr:row>215</xdr:row>
          <xdr:rowOff>485775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85CA429D-8F3B-4FD3-94C5-B2C9AD3E95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216</xdr:row>
          <xdr:rowOff>9525</xdr:rowOff>
        </xdr:from>
        <xdr:to>
          <xdr:col>3</xdr:col>
          <xdr:colOff>95250</xdr:colOff>
          <xdr:row>216</xdr:row>
          <xdr:rowOff>485775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A55DAB8C-5741-42CB-BBC9-419FCCF972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217</xdr:row>
          <xdr:rowOff>9525</xdr:rowOff>
        </xdr:from>
        <xdr:to>
          <xdr:col>3</xdr:col>
          <xdr:colOff>95250</xdr:colOff>
          <xdr:row>217</xdr:row>
          <xdr:rowOff>485775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1A93F98D-8E89-4299-8331-470EA1509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218</xdr:row>
          <xdr:rowOff>9525</xdr:rowOff>
        </xdr:from>
        <xdr:to>
          <xdr:col>3</xdr:col>
          <xdr:colOff>95250</xdr:colOff>
          <xdr:row>218</xdr:row>
          <xdr:rowOff>485775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8F1A1577-E43C-42DC-8CC6-3D3AC99B9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219</xdr:row>
          <xdr:rowOff>9525</xdr:rowOff>
        </xdr:from>
        <xdr:to>
          <xdr:col>3</xdr:col>
          <xdr:colOff>95250</xdr:colOff>
          <xdr:row>219</xdr:row>
          <xdr:rowOff>485775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AE8C7C75-9678-4AB7-8444-CB6F3609F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220</xdr:row>
          <xdr:rowOff>9525</xdr:rowOff>
        </xdr:from>
        <xdr:to>
          <xdr:col>3</xdr:col>
          <xdr:colOff>95250</xdr:colOff>
          <xdr:row>220</xdr:row>
          <xdr:rowOff>485775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356FF5F5-F80A-4080-BAB0-B34D5FC3E8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221</xdr:row>
          <xdr:rowOff>9525</xdr:rowOff>
        </xdr:from>
        <xdr:to>
          <xdr:col>3</xdr:col>
          <xdr:colOff>95250</xdr:colOff>
          <xdr:row>221</xdr:row>
          <xdr:rowOff>485775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695A0913-5E88-498F-A93A-6CE4EFF64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222</xdr:row>
          <xdr:rowOff>9525</xdr:rowOff>
        </xdr:from>
        <xdr:to>
          <xdr:col>3</xdr:col>
          <xdr:colOff>95250</xdr:colOff>
          <xdr:row>222</xdr:row>
          <xdr:rowOff>485775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8307845D-7D2E-41BE-9C84-D77EA9857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223</xdr:row>
          <xdr:rowOff>9525</xdr:rowOff>
        </xdr:from>
        <xdr:to>
          <xdr:col>3</xdr:col>
          <xdr:colOff>95250</xdr:colOff>
          <xdr:row>223</xdr:row>
          <xdr:rowOff>485775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71FD2C39-E5A8-423D-958D-B744EDA0D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224</xdr:row>
          <xdr:rowOff>9525</xdr:rowOff>
        </xdr:from>
        <xdr:to>
          <xdr:col>3</xdr:col>
          <xdr:colOff>95250</xdr:colOff>
          <xdr:row>224</xdr:row>
          <xdr:rowOff>485775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3BD44C25-5185-4CE1-AD49-B8913D920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225</xdr:row>
          <xdr:rowOff>9525</xdr:rowOff>
        </xdr:from>
        <xdr:to>
          <xdr:col>3</xdr:col>
          <xdr:colOff>95250</xdr:colOff>
          <xdr:row>225</xdr:row>
          <xdr:rowOff>485775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60DB4903-0AA9-439D-B516-2A6A2C9BC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226</xdr:row>
          <xdr:rowOff>9525</xdr:rowOff>
        </xdr:from>
        <xdr:to>
          <xdr:col>3</xdr:col>
          <xdr:colOff>95250</xdr:colOff>
          <xdr:row>226</xdr:row>
          <xdr:rowOff>485775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F8C34E59-4DBF-4E22-93BC-001AF703C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227</xdr:row>
          <xdr:rowOff>9525</xdr:rowOff>
        </xdr:from>
        <xdr:to>
          <xdr:col>3</xdr:col>
          <xdr:colOff>95250</xdr:colOff>
          <xdr:row>227</xdr:row>
          <xdr:rowOff>485775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8A3A4091-6BA9-4681-A28A-B743251C6A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228</xdr:row>
          <xdr:rowOff>9525</xdr:rowOff>
        </xdr:from>
        <xdr:to>
          <xdr:col>3</xdr:col>
          <xdr:colOff>95250</xdr:colOff>
          <xdr:row>228</xdr:row>
          <xdr:rowOff>485775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25770A2F-75F8-44E0-9A64-0A5FBB3BD8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229</xdr:row>
          <xdr:rowOff>9525</xdr:rowOff>
        </xdr:from>
        <xdr:to>
          <xdr:col>3</xdr:col>
          <xdr:colOff>95250</xdr:colOff>
          <xdr:row>229</xdr:row>
          <xdr:rowOff>485775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DE0486CB-64C4-405F-A240-9460328E0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230</xdr:row>
          <xdr:rowOff>9525</xdr:rowOff>
        </xdr:from>
        <xdr:to>
          <xdr:col>3</xdr:col>
          <xdr:colOff>95250</xdr:colOff>
          <xdr:row>230</xdr:row>
          <xdr:rowOff>485775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DB5983BA-2E4A-4E6A-AA2B-7ADE9D7C6A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231</xdr:row>
          <xdr:rowOff>9525</xdr:rowOff>
        </xdr:from>
        <xdr:to>
          <xdr:col>3</xdr:col>
          <xdr:colOff>95250</xdr:colOff>
          <xdr:row>231</xdr:row>
          <xdr:rowOff>485775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F8ED7A91-ABDA-4EE0-B0FD-76560CD802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232</xdr:row>
          <xdr:rowOff>9525</xdr:rowOff>
        </xdr:from>
        <xdr:to>
          <xdr:col>3</xdr:col>
          <xdr:colOff>95250</xdr:colOff>
          <xdr:row>232</xdr:row>
          <xdr:rowOff>485775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219FD4EE-9276-4E4C-A21F-F98849EC41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233</xdr:row>
          <xdr:rowOff>9525</xdr:rowOff>
        </xdr:from>
        <xdr:to>
          <xdr:col>3</xdr:col>
          <xdr:colOff>95250</xdr:colOff>
          <xdr:row>233</xdr:row>
          <xdr:rowOff>485775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62FE3DB4-B343-4EFF-8855-D6A48DFD4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234</xdr:row>
          <xdr:rowOff>9525</xdr:rowOff>
        </xdr:from>
        <xdr:to>
          <xdr:col>3</xdr:col>
          <xdr:colOff>95250</xdr:colOff>
          <xdr:row>234</xdr:row>
          <xdr:rowOff>485775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FA1BB3CB-F8EE-4B09-AF07-4D2773DE06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235</xdr:row>
          <xdr:rowOff>9525</xdr:rowOff>
        </xdr:from>
        <xdr:to>
          <xdr:col>3</xdr:col>
          <xdr:colOff>95250</xdr:colOff>
          <xdr:row>235</xdr:row>
          <xdr:rowOff>485775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E86AB37A-E913-4C47-ADEC-2ECD8CEE4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236</xdr:row>
          <xdr:rowOff>9525</xdr:rowOff>
        </xdr:from>
        <xdr:to>
          <xdr:col>3</xdr:col>
          <xdr:colOff>95250</xdr:colOff>
          <xdr:row>236</xdr:row>
          <xdr:rowOff>485775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BFA0A044-E04A-4FF8-BC02-942FF653EB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237</xdr:row>
          <xdr:rowOff>9525</xdr:rowOff>
        </xdr:from>
        <xdr:to>
          <xdr:col>3</xdr:col>
          <xdr:colOff>95250</xdr:colOff>
          <xdr:row>237</xdr:row>
          <xdr:rowOff>485775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FDDE0C0D-B641-4063-8CB0-9FEDA5806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238</xdr:row>
          <xdr:rowOff>9525</xdr:rowOff>
        </xdr:from>
        <xdr:to>
          <xdr:col>3</xdr:col>
          <xdr:colOff>95250</xdr:colOff>
          <xdr:row>238</xdr:row>
          <xdr:rowOff>485775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936A0E96-610E-4644-9A07-67CB61F2D5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239</xdr:row>
          <xdr:rowOff>9525</xdr:rowOff>
        </xdr:from>
        <xdr:to>
          <xdr:col>3</xdr:col>
          <xdr:colOff>95250</xdr:colOff>
          <xdr:row>239</xdr:row>
          <xdr:rowOff>485775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36FF7DE9-FB57-4D09-B6FB-F1EAE0CF49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240</xdr:row>
          <xdr:rowOff>9525</xdr:rowOff>
        </xdr:from>
        <xdr:to>
          <xdr:col>3</xdr:col>
          <xdr:colOff>95250</xdr:colOff>
          <xdr:row>240</xdr:row>
          <xdr:rowOff>485775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B0C6D844-8B9C-4B03-BAFC-26D25592C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241</xdr:row>
          <xdr:rowOff>9525</xdr:rowOff>
        </xdr:from>
        <xdr:to>
          <xdr:col>3</xdr:col>
          <xdr:colOff>95250</xdr:colOff>
          <xdr:row>241</xdr:row>
          <xdr:rowOff>485775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CA0908C-55A3-414E-9158-121456A12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242</xdr:row>
          <xdr:rowOff>9525</xdr:rowOff>
        </xdr:from>
        <xdr:to>
          <xdr:col>3</xdr:col>
          <xdr:colOff>95250</xdr:colOff>
          <xdr:row>242</xdr:row>
          <xdr:rowOff>485775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A82B12C9-AFC0-4614-A1DA-6F16B11D6A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243</xdr:row>
          <xdr:rowOff>9525</xdr:rowOff>
        </xdr:from>
        <xdr:to>
          <xdr:col>3</xdr:col>
          <xdr:colOff>95250</xdr:colOff>
          <xdr:row>243</xdr:row>
          <xdr:rowOff>485775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D066BE29-BB4E-483E-8C7F-B3E0E9909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244</xdr:row>
          <xdr:rowOff>9525</xdr:rowOff>
        </xdr:from>
        <xdr:to>
          <xdr:col>3</xdr:col>
          <xdr:colOff>95250</xdr:colOff>
          <xdr:row>244</xdr:row>
          <xdr:rowOff>485775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92A9883E-F8BA-4C66-87A4-BBD474D84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245</xdr:row>
          <xdr:rowOff>9525</xdr:rowOff>
        </xdr:from>
        <xdr:to>
          <xdr:col>3</xdr:col>
          <xdr:colOff>95250</xdr:colOff>
          <xdr:row>245</xdr:row>
          <xdr:rowOff>485775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281B0678-D4B1-476D-BAA4-90B49EA3CB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246</xdr:row>
          <xdr:rowOff>9525</xdr:rowOff>
        </xdr:from>
        <xdr:to>
          <xdr:col>3</xdr:col>
          <xdr:colOff>95250</xdr:colOff>
          <xdr:row>246</xdr:row>
          <xdr:rowOff>485775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8B90DC1D-9D6C-4363-8139-6E99509FA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247</xdr:row>
          <xdr:rowOff>9525</xdr:rowOff>
        </xdr:from>
        <xdr:to>
          <xdr:col>3</xdr:col>
          <xdr:colOff>95250</xdr:colOff>
          <xdr:row>247</xdr:row>
          <xdr:rowOff>485775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504E33B2-34BB-4896-BC21-FEA9C01126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248</xdr:row>
          <xdr:rowOff>9525</xdr:rowOff>
        </xdr:from>
        <xdr:to>
          <xdr:col>3</xdr:col>
          <xdr:colOff>95250</xdr:colOff>
          <xdr:row>248</xdr:row>
          <xdr:rowOff>485775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33979725-5BAE-46DC-A30C-FA67A8255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249</xdr:row>
          <xdr:rowOff>9525</xdr:rowOff>
        </xdr:from>
        <xdr:to>
          <xdr:col>3</xdr:col>
          <xdr:colOff>95250</xdr:colOff>
          <xdr:row>249</xdr:row>
          <xdr:rowOff>485775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AD20BF8F-B9B7-4AB2-BE4F-174E63493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250</xdr:row>
          <xdr:rowOff>9525</xdr:rowOff>
        </xdr:from>
        <xdr:to>
          <xdr:col>3</xdr:col>
          <xdr:colOff>95250</xdr:colOff>
          <xdr:row>250</xdr:row>
          <xdr:rowOff>485775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C1C9B95D-B675-4E95-974D-A2C30224F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251</xdr:row>
          <xdr:rowOff>9525</xdr:rowOff>
        </xdr:from>
        <xdr:to>
          <xdr:col>3</xdr:col>
          <xdr:colOff>95250</xdr:colOff>
          <xdr:row>251</xdr:row>
          <xdr:rowOff>485775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19754BA6-D7A3-41C3-B1D4-C4FACC55B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252</xdr:row>
          <xdr:rowOff>9525</xdr:rowOff>
        </xdr:from>
        <xdr:to>
          <xdr:col>3</xdr:col>
          <xdr:colOff>95250</xdr:colOff>
          <xdr:row>252</xdr:row>
          <xdr:rowOff>485775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5E2D3CF3-A20D-451C-A178-147506EA4E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253</xdr:row>
          <xdr:rowOff>9525</xdr:rowOff>
        </xdr:from>
        <xdr:to>
          <xdr:col>3</xdr:col>
          <xdr:colOff>95250</xdr:colOff>
          <xdr:row>253</xdr:row>
          <xdr:rowOff>485775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3D4DAE7A-D20B-47BB-9170-4212F81E16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254</xdr:row>
          <xdr:rowOff>9525</xdr:rowOff>
        </xdr:from>
        <xdr:to>
          <xdr:col>3</xdr:col>
          <xdr:colOff>95250</xdr:colOff>
          <xdr:row>254</xdr:row>
          <xdr:rowOff>485775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BE0CD545-C046-4B3A-B07F-48A776111D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255</xdr:row>
          <xdr:rowOff>9525</xdr:rowOff>
        </xdr:from>
        <xdr:to>
          <xdr:col>3</xdr:col>
          <xdr:colOff>95250</xdr:colOff>
          <xdr:row>255</xdr:row>
          <xdr:rowOff>485775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8F7CC0DA-CC2F-4850-BBCF-BB0EC1E28C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256</xdr:row>
          <xdr:rowOff>9525</xdr:rowOff>
        </xdr:from>
        <xdr:to>
          <xdr:col>3</xdr:col>
          <xdr:colOff>95250</xdr:colOff>
          <xdr:row>256</xdr:row>
          <xdr:rowOff>485775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7334E533-9E0B-4538-8D6A-F357785D66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257</xdr:row>
          <xdr:rowOff>9525</xdr:rowOff>
        </xdr:from>
        <xdr:to>
          <xdr:col>3</xdr:col>
          <xdr:colOff>95250</xdr:colOff>
          <xdr:row>257</xdr:row>
          <xdr:rowOff>485775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55296C6B-2953-42B5-8F54-0EBA89AA8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258</xdr:row>
          <xdr:rowOff>9525</xdr:rowOff>
        </xdr:from>
        <xdr:to>
          <xdr:col>3</xdr:col>
          <xdr:colOff>95250</xdr:colOff>
          <xdr:row>258</xdr:row>
          <xdr:rowOff>485775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59257B2F-8EEC-401C-AFD7-27484FC18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259</xdr:row>
          <xdr:rowOff>9525</xdr:rowOff>
        </xdr:from>
        <xdr:to>
          <xdr:col>3</xdr:col>
          <xdr:colOff>95250</xdr:colOff>
          <xdr:row>259</xdr:row>
          <xdr:rowOff>485775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2016774D-615B-4402-9FAF-19E319D9D5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260</xdr:row>
          <xdr:rowOff>9525</xdr:rowOff>
        </xdr:from>
        <xdr:to>
          <xdr:col>3</xdr:col>
          <xdr:colOff>95250</xdr:colOff>
          <xdr:row>260</xdr:row>
          <xdr:rowOff>485775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DDCB1871-B6CC-4250-9589-05D3ED31D1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261</xdr:row>
          <xdr:rowOff>9525</xdr:rowOff>
        </xdr:from>
        <xdr:to>
          <xdr:col>3</xdr:col>
          <xdr:colOff>95250</xdr:colOff>
          <xdr:row>261</xdr:row>
          <xdr:rowOff>485775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CAACB51F-17DC-4703-855E-23F2E8C373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262</xdr:row>
          <xdr:rowOff>9525</xdr:rowOff>
        </xdr:from>
        <xdr:to>
          <xdr:col>3</xdr:col>
          <xdr:colOff>95250</xdr:colOff>
          <xdr:row>262</xdr:row>
          <xdr:rowOff>485775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2B574E17-1CBD-4ABD-B146-C76CE13474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263</xdr:row>
          <xdr:rowOff>9525</xdr:rowOff>
        </xdr:from>
        <xdr:to>
          <xdr:col>3</xdr:col>
          <xdr:colOff>95250</xdr:colOff>
          <xdr:row>263</xdr:row>
          <xdr:rowOff>485775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BCE6F6FC-3BAE-472E-B8E2-37710FC95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264</xdr:row>
          <xdr:rowOff>9525</xdr:rowOff>
        </xdr:from>
        <xdr:to>
          <xdr:col>3</xdr:col>
          <xdr:colOff>95250</xdr:colOff>
          <xdr:row>264</xdr:row>
          <xdr:rowOff>485775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E184F99F-3798-4619-B0A3-3925DB6BD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265</xdr:row>
          <xdr:rowOff>9525</xdr:rowOff>
        </xdr:from>
        <xdr:to>
          <xdr:col>3</xdr:col>
          <xdr:colOff>95250</xdr:colOff>
          <xdr:row>265</xdr:row>
          <xdr:rowOff>485775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AD349712-07BD-4847-BA7D-07E98479A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266</xdr:row>
          <xdr:rowOff>9525</xdr:rowOff>
        </xdr:from>
        <xdr:to>
          <xdr:col>3</xdr:col>
          <xdr:colOff>95250</xdr:colOff>
          <xdr:row>266</xdr:row>
          <xdr:rowOff>485775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43A17EFD-4955-4A47-A916-117150C58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267</xdr:row>
          <xdr:rowOff>9525</xdr:rowOff>
        </xdr:from>
        <xdr:to>
          <xdr:col>3</xdr:col>
          <xdr:colOff>95250</xdr:colOff>
          <xdr:row>267</xdr:row>
          <xdr:rowOff>485775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B4106347-8CFA-4D38-95EE-D9081BF2F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268</xdr:row>
          <xdr:rowOff>9525</xdr:rowOff>
        </xdr:from>
        <xdr:to>
          <xdr:col>3</xdr:col>
          <xdr:colOff>95250</xdr:colOff>
          <xdr:row>268</xdr:row>
          <xdr:rowOff>485775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F09E0731-2863-4121-8009-C8F7F5C27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269</xdr:row>
          <xdr:rowOff>9525</xdr:rowOff>
        </xdr:from>
        <xdr:to>
          <xdr:col>3</xdr:col>
          <xdr:colOff>95250</xdr:colOff>
          <xdr:row>269</xdr:row>
          <xdr:rowOff>485775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D9D4863B-DC2A-4791-8A75-C102B79B1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270</xdr:row>
          <xdr:rowOff>9525</xdr:rowOff>
        </xdr:from>
        <xdr:to>
          <xdr:col>3</xdr:col>
          <xdr:colOff>95250</xdr:colOff>
          <xdr:row>270</xdr:row>
          <xdr:rowOff>485775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C67B15D2-03A6-4BC8-B38D-24C8E725E8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271</xdr:row>
          <xdr:rowOff>9525</xdr:rowOff>
        </xdr:from>
        <xdr:to>
          <xdr:col>3</xdr:col>
          <xdr:colOff>95250</xdr:colOff>
          <xdr:row>271</xdr:row>
          <xdr:rowOff>485775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421282D7-52B3-46E0-8D59-2BB9D2817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272</xdr:row>
          <xdr:rowOff>9525</xdr:rowOff>
        </xdr:from>
        <xdr:to>
          <xdr:col>3</xdr:col>
          <xdr:colOff>95250</xdr:colOff>
          <xdr:row>272</xdr:row>
          <xdr:rowOff>485775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D356A7E1-BC34-4985-B4C1-5D5BB10533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273</xdr:row>
          <xdr:rowOff>9525</xdr:rowOff>
        </xdr:from>
        <xdr:to>
          <xdr:col>3</xdr:col>
          <xdr:colOff>95250</xdr:colOff>
          <xdr:row>273</xdr:row>
          <xdr:rowOff>485775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C36D29A6-E4E8-46F6-BDCC-5A984C155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274</xdr:row>
          <xdr:rowOff>9525</xdr:rowOff>
        </xdr:from>
        <xdr:to>
          <xdr:col>3</xdr:col>
          <xdr:colOff>95250</xdr:colOff>
          <xdr:row>274</xdr:row>
          <xdr:rowOff>485775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1FF6076A-F75D-4E6E-B471-E566F3562E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275</xdr:row>
          <xdr:rowOff>9525</xdr:rowOff>
        </xdr:from>
        <xdr:to>
          <xdr:col>3</xdr:col>
          <xdr:colOff>95250</xdr:colOff>
          <xdr:row>275</xdr:row>
          <xdr:rowOff>485775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B0B28498-B086-4E39-AD83-411231B945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276</xdr:row>
          <xdr:rowOff>9525</xdr:rowOff>
        </xdr:from>
        <xdr:to>
          <xdr:col>3</xdr:col>
          <xdr:colOff>95250</xdr:colOff>
          <xdr:row>276</xdr:row>
          <xdr:rowOff>485775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DF5731D3-B92B-4098-B0FC-9170588051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277</xdr:row>
          <xdr:rowOff>9525</xdr:rowOff>
        </xdr:from>
        <xdr:to>
          <xdr:col>3</xdr:col>
          <xdr:colOff>95250</xdr:colOff>
          <xdr:row>277</xdr:row>
          <xdr:rowOff>485775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AD5D8768-EE54-4CDA-A8D6-50886D28A6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278</xdr:row>
          <xdr:rowOff>9525</xdr:rowOff>
        </xdr:from>
        <xdr:to>
          <xdr:col>3</xdr:col>
          <xdr:colOff>95250</xdr:colOff>
          <xdr:row>278</xdr:row>
          <xdr:rowOff>485775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44ADCC27-FE52-4F0C-BC56-3FAE93FA6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279</xdr:row>
          <xdr:rowOff>9525</xdr:rowOff>
        </xdr:from>
        <xdr:to>
          <xdr:col>3</xdr:col>
          <xdr:colOff>95250</xdr:colOff>
          <xdr:row>279</xdr:row>
          <xdr:rowOff>485775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AEEB06F6-16E4-4C66-91F7-1743EE545B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280</xdr:row>
          <xdr:rowOff>9525</xdr:rowOff>
        </xdr:from>
        <xdr:to>
          <xdr:col>3</xdr:col>
          <xdr:colOff>95250</xdr:colOff>
          <xdr:row>280</xdr:row>
          <xdr:rowOff>485775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BE37AC43-F0EF-432B-B0FD-EFDCA95977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281</xdr:row>
          <xdr:rowOff>9525</xdr:rowOff>
        </xdr:from>
        <xdr:to>
          <xdr:col>3</xdr:col>
          <xdr:colOff>95250</xdr:colOff>
          <xdr:row>281</xdr:row>
          <xdr:rowOff>485775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8F69C2AF-ECAE-4F8E-B0FA-A2CFCF236B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282</xdr:row>
          <xdr:rowOff>9525</xdr:rowOff>
        </xdr:from>
        <xdr:to>
          <xdr:col>3</xdr:col>
          <xdr:colOff>95250</xdr:colOff>
          <xdr:row>282</xdr:row>
          <xdr:rowOff>485775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6146A36C-72C7-40B0-947C-736327E25F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283</xdr:row>
          <xdr:rowOff>9525</xdr:rowOff>
        </xdr:from>
        <xdr:to>
          <xdr:col>3</xdr:col>
          <xdr:colOff>95250</xdr:colOff>
          <xdr:row>283</xdr:row>
          <xdr:rowOff>485775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9576591C-8C36-4FF9-9D8C-A9C8410A4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284</xdr:row>
          <xdr:rowOff>9525</xdr:rowOff>
        </xdr:from>
        <xdr:to>
          <xdr:col>3</xdr:col>
          <xdr:colOff>95250</xdr:colOff>
          <xdr:row>284</xdr:row>
          <xdr:rowOff>485775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BF369464-28D7-4DBF-83E4-72194532A3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285</xdr:row>
          <xdr:rowOff>9525</xdr:rowOff>
        </xdr:from>
        <xdr:to>
          <xdr:col>3</xdr:col>
          <xdr:colOff>95250</xdr:colOff>
          <xdr:row>285</xdr:row>
          <xdr:rowOff>485775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74B9B637-9B44-4B44-B880-958E4DA49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286</xdr:row>
          <xdr:rowOff>9525</xdr:rowOff>
        </xdr:from>
        <xdr:to>
          <xdr:col>3</xdr:col>
          <xdr:colOff>95250</xdr:colOff>
          <xdr:row>286</xdr:row>
          <xdr:rowOff>485775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14B64EC-1301-4E9B-AC40-D1D3F6092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287</xdr:row>
          <xdr:rowOff>9525</xdr:rowOff>
        </xdr:from>
        <xdr:to>
          <xdr:col>3</xdr:col>
          <xdr:colOff>95250</xdr:colOff>
          <xdr:row>287</xdr:row>
          <xdr:rowOff>485775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425C3345-D4BB-4585-8CCA-4BC4DAB4E2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288</xdr:row>
          <xdr:rowOff>9525</xdr:rowOff>
        </xdr:from>
        <xdr:to>
          <xdr:col>3</xdr:col>
          <xdr:colOff>95250</xdr:colOff>
          <xdr:row>288</xdr:row>
          <xdr:rowOff>485775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E0187CCB-1164-42EC-97F0-A71C677FD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289</xdr:row>
          <xdr:rowOff>9525</xdr:rowOff>
        </xdr:from>
        <xdr:to>
          <xdr:col>3</xdr:col>
          <xdr:colOff>95250</xdr:colOff>
          <xdr:row>289</xdr:row>
          <xdr:rowOff>485775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91695B15-82D5-48AB-8CB5-34DDB1D0D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290</xdr:row>
          <xdr:rowOff>9525</xdr:rowOff>
        </xdr:from>
        <xdr:to>
          <xdr:col>3</xdr:col>
          <xdr:colOff>95250</xdr:colOff>
          <xdr:row>290</xdr:row>
          <xdr:rowOff>485775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32DB612B-4D90-4138-BE56-3E781DBBB2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291</xdr:row>
          <xdr:rowOff>9525</xdr:rowOff>
        </xdr:from>
        <xdr:to>
          <xdr:col>3</xdr:col>
          <xdr:colOff>95250</xdr:colOff>
          <xdr:row>291</xdr:row>
          <xdr:rowOff>485775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CA1AE93A-8051-47AA-97AC-2B5E36322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292</xdr:row>
          <xdr:rowOff>9525</xdr:rowOff>
        </xdr:from>
        <xdr:to>
          <xdr:col>3</xdr:col>
          <xdr:colOff>95250</xdr:colOff>
          <xdr:row>292</xdr:row>
          <xdr:rowOff>485775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33106E42-F9C8-46E0-8595-3C246BE466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293</xdr:row>
          <xdr:rowOff>9525</xdr:rowOff>
        </xdr:from>
        <xdr:to>
          <xdr:col>3</xdr:col>
          <xdr:colOff>95250</xdr:colOff>
          <xdr:row>293</xdr:row>
          <xdr:rowOff>485775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AF5C1EEE-F0E3-46FC-9A64-39188FCF7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294</xdr:row>
          <xdr:rowOff>9525</xdr:rowOff>
        </xdr:from>
        <xdr:to>
          <xdr:col>3</xdr:col>
          <xdr:colOff>95250</xdr:colOff>
          <xdr:row>294</xdr:row>
          <xdr:rowOff>485775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C8A709AD-993C-4F7E-B9EB-BC72A87F6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295</xdr:row>
          <xdr:rowOff>9525</xdr:rowOff>
        </xdr:from>
        <xdr:to>
          <xdr:col>3</xdr:col>
          <xdr:colOff>95250</xdr:colOff>
          <xdr:row>295</xdr:row>
          <xdr:rowOff>485775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F8F67AD7-F831-4613-8F7E-E99648DF4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296</xdr:row>
          <xdr:rowOff>9525</xdr:rowOff>
        </xdr:from>
        <xdr:to>
          <xdr:col>3</xdr:col>
          <xdr:colOff>95250</xdr:colOff>
          <xdr:row>296</xdr:row>
          <xdr:rowOff>485775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72D90429-EAD1-4951-BD8B-7D11008E61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297</xdr:row>
          <xdr:rowOff>9525</xdr:rowOff>
        </xdr:from>
        <xdr:to>
          <xdr:col>3</xdr:col>
          <xdr:colOff>95250</xdr:colOff>
          <xdr:row>297</xdr:row>
          <xdr:rowOff>485775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C5E0463D-5396-4BC8-911B-A3ABD1DDB4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298</xdr:row>
          <xdr:rowOff>9525</xdr:rowOff>
        </xdr:from>
        <xdr:to>
          <xdr:col>3</xdr:col>
          <xdr:colOff>95250</xdr:colOff>
          <xdr:row>298</xdr:row>
          <xdr:rowOff>485775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B4637363-D74D-46BC-A3C2-92C0C25DA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299</xdr:row>
          <xdr:rowOff>9525</xdr:rowOff>
        </xdr:from>
        <xdr:to>
          <xdr:col>3</xdr:col>
          <xdr:colOff>95250</xdr:colOff>
          <xdr:row>299</xdr:row>
          <xdr:rowOff>485775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D2579413-0E53-4700-85E7-D7A5259BB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300</xdr:row>
          <xdr:rowOff>9525</xdr:rowOff>
        </xdr:from>
        <xdr:to>
          <xdr:col>3</xdr:col>
          <xdr:colOff>95250</xdr:colOff>
          <xdr:row>300</xdr:row>
          <xdr:rowOff>485775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12E70DB8-7E1E-4BD2-A105-B2D6C51D2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301</xdr:row>
          <xdr:rowOff>9525</xdr:rowOff>
        </xdr:from>
        <xdr:to>
          <xdr:col>3</xdr:col>
          <xdr:colOff>95250</xdr:colOff>
          <xdr:row>301</xdr:row>
          <xdr:rowOff>485775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13151AC7-BC80-472A-A862-437A3BF9C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302</xdr:row>
          <xdr:rowOff>9525</xdr:rowOff>
        </xdr:from>
        <xdr:to>
          <xdr:col>3</xdr:col>
          <xdr:colOff>95250</xdr:colOff>
          <xdr:row>302</xdr:row>
          <xdr:rowOff>485775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E7F51BE3-43D2-4FE7-AC07-92417F62B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303</xdr:row>
          <xdr:rowOff>9525</xdr:rowOff>
        </xdr:from>
        <xdr:to>
          <xdr:col>3</xdr:col>
          <xdr:colOff>95250</xdr:colOff>
          <xdr:row>303</xdr:row>
          <xdr:rowOff>485775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F131568B-2274-4DB9-BCCC-7CA8B161E5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304</xdr:row>
          <xdr:rowOff>9525</xdr:rowOff>
        </xdr:from>
        <xdr:to>
          <xdr:col>3</xdr:col>
          <xdr:colOff>95250</xdr:colOff>
          <xdr:row>304</xdr:row>
          <xdr:rowOff>485775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A87B026C-BB28-4C5B-9842-783A90547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305</xdr:row>
          <xdr:rowOff>9525</xdr:rowOff>
        </xdr:from>
        <xdr:to>
          <xdr:col>3</xdr:col>
          <xdr:colOff>95250</xdr:colOff>
          <xdr:row>305</xdr:row>
          <xdr:rowOff>485775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FBB8562F-E953-41F4-8977-2411B3863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306</xdr:row>
          <xdr:rowOff>9525</xdr:rowOff>
        </xdr:from>
        <xdr:to>
          <xdr:col>3</xdr:col>
          <xdr:colOff>95250</xdr:colOff>
          <xdr:row>306</xdr:row>
          <xdr:rowOff>485775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CBDA0552-BCE6-41AE-8628-92DA3DCFEF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307</xdr:row>
          <xdr:rowOff>9525</xdr:rowOff>
        </xdr:from>
        <xdr:to>
          <xdr:col>3</xdr:col>
          <xdr:colOff>95250</xdr:colOff>
          <xdr:row>307</xdr:row>
          <xdr:rowOff>485775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AD440E03-5280-47D6-A984-3378CC130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308</xdr:row>
          <xdr:rowOff>9525</xdr:rowOff>
        </xdr:from>
        <xdr:to>
          <xdr:col>3</xdr:col>
          <xdr:colOff>95250</xdr:colOff>
          <xdr:row>308</xdr:row>
          <xdr:rowOff>485775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8BD9C1A5-D842-48B4-8AC5-F8EAC734C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309</xdr:row>
          <xdr:rowOff>9525</xdr:rowOff>
        </xdr:from>
        <xdr:to>
          <xdr:col>3</xdr:col>
          <xdr:colOff>95250</xdr:colOff>
          <xdr:row>309</xdr:row>
          <xdr:rowOff>485775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B725C918-7A86-450D-9C18-CF707D91F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310</xdr:row>
          <xdr:rowOff>9525</xdr:rowOff>
        </xdr:from>
        <xdr:to>
          <xdr:col>3</xdr:col>
          <xdr:colOff>95250</xdr:colOff>
          <xdr:row>310</xdr:row>
          <xdr:rowOff>485775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203561D9-06D8-4DB8-BBAE-640F3AEE5D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311</xdr:row>
          <xdr:rowOff>9525</xdr:rowOff>
        </xdr:from>
        <xdr:to>
          <xdr:col>3</xdr:col>
          <xdr:colOff>95250</xdr:colOff>
          <xdr:row>311</xdr:row>
          <xdr:rowOff>485775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3A8832B2-C151-41B5-9CD6-5D6F6DFCAF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312</xdr:row>
          <xdr:rowOff>9525</xdr:rowOff>
        </xdr:from>
        <xdr:to>
          <xdr:col>3</xdr:col>
          <xdr:colOff>95250</xdr:colOff>
          <xdr:row>312</xdr:row>
          <xdr:rowOff>485775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99BAFB7-F574-4088-BFF1-34CCC8F79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313</xdr:row>
          <xdr:rowOff>9525</xdr:rowOff>
        </xdr:from>
        <xdr:to>
          <xdr:col>3</xdr:col>
          <xdr:colOff>95250</xdr:colOff>
          <xdr:row>313</xdr:row>
          <xdr:rowOff>485775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7753F070-3E00-40DE-956F-831840EEA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314</xdr:row>
          <xdr:rowOff>9525</xdr:rowOff>
        </xdr:from>
        <xdr:to>
          <xdr:col>3</xdr:col>
          <xdr:colOff>95250</xdr:colOff>
          <xdr:row>314</xdr:row>
          <xdr:rowOff>485775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52C051BC-6F58-4770-BECC-F27829573C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315</xdr:row>
          <xdr:rowOff>9525</xdr:rowOff>
        </xdr:from>
        <xdr:to>
          <xdr:col>3</xdr:col>
          <xdr:colOff>95250</xdr:colOff>
          <xdr:row>315</xdr:row>
          <xdr:rowOff>485775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D041E1B0-7C4F-455C-B86F-4637FE4A6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316</xdr:row>
          <xdr:rowOff>9525</xdr:rowOff>
        </xdr:from>
        <xdr:to>
          <xdr:col>3</xdr:col>
          <xdr:colOff>95250</xdr:colOff>
          <xdr:row>316</xdr:row>
          <xdr:rowOff>485775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ADEEBEA0-B6DF-45A6-983D-ABCF01BDBE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317</xdr:row>
          <xdr:rowOff>9525</xdr:rowOff>
        </xdr:from>
        <xdr:to>
          <xdr:col>3</xdr:col>
          <xdr:colOff>95250</xdr:colOff>
          <xdr:row>317</xdr:row>
          <xdr:rowOff>485775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23AF450B-D5C8-42CC-912B-F12ED8BA7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318</xdr:row>
          <xdr:rowOff>9525</xdr:rowOff>
        </xdr:from>
        <xdr:to>
          <xdr:col>3</xdr:col>
          <xdr:colOff>95250</xdr:colOff>
          <xdr:row>318</xdr:row>
          <xdr:rowOff>485775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76DA31F6-3913-4314-A086-E3265DD5E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319</xdr:row>
          <xdr:rowOff>9525</xdr:rowOff>
        </xdr:from>
        <xdr:to>
          <xdr:col>3</xdr:col>
          <xdr:colOff>95250</xdr:colOff>
          <xdr:row>319</xdr:row>
          <xdr:rowOff>485775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2FDEFFA3-5BB5-4A03-8FAE-E4AB6A7AAF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320</xdr:row>
          <xdr:rowOff>9525</xdr:rowOff>
        </xdr:from>
        <xdr:to>
          <xdr:col>3</xdr:col>
          <xdr:colOff>95250</xdr:colOff>
          <xdr:row>320</xdr:row>
          <xdr:rowOff>485775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92929D82-5F5B-499D-899E-CDFBA7CB6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321</xdr:row>
          <xdr:rowOff>9525</xdr:rowOff>
        </xdr:from>
        <xdr:to>
          <xdr:col>3</xdr:col>
          <xdr:colOff>95250</xdr:colOff>
          <xdr:row>321</xdr:row>
          <xdr:rowOff>485775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CCFF480-6583-46EE-8501-7C2F675A90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322</xdr:row>
          <xdr:rowOff>9525</xdr:rowOff>
        </xdr:from>
        <xdr:to>
          <xdr:col>3</xdr:col>
          <xdr:colOff>95250</xdr:colOff>
          <xdr:row>322</xdr:row>
          <xdr:rowOff>485775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955F7E1E-32C2-4A1B-9C7B-AB9DFDFFA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323</xdr:row>
          <xdr:rowOff>9525</xdr:rowOff>
        </xdr:from>
        <xdr:to>
          <xdr:col>3</xdr:col>
          <xdr:colOff>95250</xdr:colOff>
          <xdr:row>323</xdr:row>
          <xdr:rowOff>485775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71504FB4-04D2-4BD6-85D9-AAE47460B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324</xdr:row>
          <xdr:rowOff>9525</xdr:rowOff>
        </xdr:from>
        <xdr:to>
          <xdr:col>3</xdr:col>
          <xdr:colOff>95250</xdr:colOff>
          <xdr:row>324</xdr:row>
          <xdr:rowOff>485775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97EDC400-89F3-4D4B-B386-E097F0125C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325</xdr:row>
          <xdr:rowOff>9525</xdr:rowOff>
        </xdr:from>
        <xdr:to>
          <xdr:col>3</xdr:col>
          <xdr:colOff>95250</xdr:colOff>
          <xdr:row>325</xdr:row>
          <xdr:rowOff>485775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2D70BD36-AD1E-4D5A-B4F6-7F0FAC6FA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326</xdr:row>
          <xdr:rowOff>9525</xdr:rowOff>
        </xdr:from>
        <xdr:to>
          <xdr:col>3</xdr:col>
          <xdr:colOff>95250</xdr:colOff>
          <xdr:row>326</xdr:row>
          <xdr:rowOff>485775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EFCD59E5-DCEF-4AD1-BC8E-380C36E795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327</xdr:row>
          <xdr:rowOff>9525</xdr:rowOff>
        </xdr:from>
        <xdr:to>
          <xdr:col>3</xdr:col>
          <xdr:colOff>95250</xdr:colOff>
          <xdr:row>327</xdr:row>
          <xdr:rowOff>485775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CF3B377-D6F1-490D-851D-6B47695407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328</xdr:row>
          <xdr:rowOff>9525</xdr:rowOff>
        </xdr:from>
        <xdr:to>
          <xdr:col>3</xdr:col>
          <xdr:colOff>95250</xdr:colOff>
          <xdr:row>328</xdr:row>
          <xdr:rowOff>485775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492101F3-E631-4F41-A8FB-419FC7198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329</xdr:row>
          <xdr:rowOff>9525</xdr:rowOff>
        </xdr:from>
        <xdr:to>
          <xdr:col>3</xdr:col>
          <xdr:colOff>95250</xdr:colOff>
          <xdr:row>329</xdr:row>
          <xdr:rowOff>485775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73A71A18-7CFB-4A92-A0C5-62861CF98D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330</xdr:row>
          <xdr:rowOff>9525</xdr:rowOff>
        </xdr:from>
        <xdr:to>
          <xdr:col>3</xdr:col>
          <xdr:colOff>95250</xdr:colOff>
          <xdr:row>330</xdr:row>
          <xdr:rowOff>485775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A29F2709-6F79-4F1B-AE62-5198527B0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331</xdr:row>
          <xdr:rowOff>9525</xdr:rowOff>
        </xdr:from>
        <xdr:to>
          <xdr:col>3</xdr:col>
          <xdr:colOff>95250</xdr:colOff>
          <xdr:row>331</xdr:row>
          <xdr:rowOff>485775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D1109E4C-9597-4E75-91A7-952E9A782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332</xdr:row>
          <xdr:rowOff>9525</xdr:rowOff>
        </xdr:from>
        <xdr:to>
          <xdr:col>3</xdr:col>
          <xdr:colOff>95250</xdr:colOff>
          <xdr:row>332</xdr:row>
          <xdr:rowOff>485775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12C48FA0-40E9-4E6D-B6C3-7BE4D19EA7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333</xdr:row>
          <xdr:rowOff>9525</xdr:rowOff>
        </xdr:from>
        <xdr:to>
          <xdr:col>3</xdr:col>
          <xdr:colOff>95250</xdr:colOff>
          <xdr:row>333</xdr:row>
          <xdr:rowOff>485775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E3ACB707-9240-42A4-91ED-2DD39632F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334</xdr:row>
          <xdr:rowOff>9525</xdr:rowOff>
        </xdr:from>
        <xdr:to>
          <xdr:col>3</xdr:col>
          <xdr:colOff>95250</xdr:colOff>
          <xdr:row>334</xdr:row>
          <xdr:rowOff>485775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4C71750F-873A-48D1-8CE9-3C47955BD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335</xdr:row>
          <xdr:rowOff>9525</xdr:rowOff>
        </xdr:from>
        <xdr:to>
          <xdr:col>3</xdr:col>
          <xdr:colOff>95250</xdr:colOff>
          <xdr:row>335</xdr:row>
          <xdr:rowOff>485775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E904D8A1-03F0-42E8-8698-61503CE73C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336</xdr:row>
          <xdr:rowOff>9525</xdr:rowOff>
        </xdr:from>
        <xdr:to>
          <xdr:col>3</xdr:col>
          <xdr:colOff>95250</xdr:colOff>
          <xdr:row>336</xdr:row>
          <xdr:rowOff>485775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F6483684-FD1F-4A1E-9198-526361E83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337</xdr:row>
          <xdr:rowOff>9525</xdr:rowOff>
        </xdr:from>
        <xdr:to>
          <xdr:col>3</xdr:col>
          <xdr:colOff>95250</xdr:colOff>
          <xdr:row>337</xdr:row>
          <xdr:rowOff>485775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CBEA0CCF-1863-4ADC-BB39-896D81634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259" Type="http://schemas.openxmlformats.org/officeDocument/2006/relationships/ctrlProp" Target="../ctrlProps/ctrlProp257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52" Type="http://schemas.openxmlformats.org/officeDocument/2006/relationships/ctrlProp" Target="../ctrlProps/ctrlProp150.xml"/><Relationship Id="rId173" Type="http://schemas.openxmlformats.org/officeDocument/2006/relationships/ctrlProp" Target="../ctrlProps/ctrlProp171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229" Type="http://schemas.openxmlformats.org/officeDocument/2006/relationships/ctrlProp" Target="../ctrlProps/ctrlProp227.xml"/><Relationship Id="rId240" Type="http://schemas.openxmlformats.org/officeDocument/2006/relationships/ctrlProp" Target="../ctrlProps/ctrlProp238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17" Type="http://schemas.openxmlformats.org/officeDocument/2006/relationships/ctrlProp" Target="../ctrlProps/ctrlProp315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184" Type="http://schemas.openxmlformats.org/officeDocument/2006/relationships/ctrlProp" Target="../ctrlProps/ctrlProp182.xml"/><Relationship Id="rId219" Type="http://schemas.openxmlformats.org/officeDocument/2006/relationships/ctrlProp" Target="../ctrlProps/ctrlProp217.xml"/><Relationship Id="rId230" Type="http://schemas.openxmlformats.org/officeDocument/2006/relationships/ctrlProp" Target="../ctrlProps/ctrlProp228.xml"/><Relationship Id="rId251" Type="http://schemas.openxmlformats.org/officeDocument/2006/relationships/ctrlProp" Target="../ctrlProps/ctrlProp249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28" Type="http://schemas.openxmlformats.org/officeDocument/2006/relationships/ctrlProp" Target="../ctrlProps/ctrlProp326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220" Type="http://schemas.openxmlformats.org/officeDocument/2006/relationships/ctrlProp" Target="../ctrlProps/ctrlProp218.xml"/><Relationship Id="rId241" Type="http://schemas.openxmlformats.org/officeDocument/2006/relationships/ctrlProp" Target="../ctrlProps/ctrlProp239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283" Type="http://schemas.openxmlformats.org/officeDocument/2006/relationships/ctrlProp" Target="../ctrlProps/ctrlProp281.xml"/><Relationship Id="rId318" Type="http://schemas.openxmlformats.org/officeDocument/2006/relationships/ctrlProp" Target="../ctrlProps/ctrlProp316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64" Type="http://schemas.openxmlformats.org/officeDocument/2006/relationships/ctrlProp" Target="../ctrlProps/ctrlProp162.xml"/><Relationship Id="rId185" Type="http://schemas.openxmlformats.org/officeDocument/2006/relationships/ctrlProp" Target="../ctrlProps/ctrlProp183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52" Type="http://schemas.openxmlformats.org/officeDocument/2006/relationships/ctrlProp" Target="../ctrlProps/ctrlProp250.xml"/><Relationship Id="rId273" Type="http://schemas.openxmlformats.org/officeDocument/2006/relationships/ctrlProp" Target="../ctrlProps/ctrlProp271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329" Type="http://schemas.openxmlformats.org/officeDocument/2006/relationships/ctrlProp" Target="../ctrlProps/ctrlProp327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75" Type="http://schemas.openxmlformats.org/officeDocument/2006/relationships/ctrlProp" Target="../ctrlProps/ctrlProp173.xml"/><Relationship Id="rId196" Type="http://schemas.openxmlformats.org/officeDocument/2006/relationships/ctrlProp" Target="../ctrlProps/ctrlProp194.xml"/><Relationship Id="rId200" Type="http://schemas.openxmlformats.org/officeDocument/2006/relationships/ctrlProp" Target="../ctrlProps/ctrlProp198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42" Type="http://schemas.openxmlformats.org/officeDocument/2006/relationships/ctrlProp" Target="../ctrlProps/ctrlProp240.xml"/><Relationship Id="rId263" Type="http://schemas.openxmlformats.org/officeDocument/2006/relationships/ctrlProp" Target="../ctrlProps/ctrlProp261.xml"/><Relationship Id="rId284" Type="http://schemas.openxmlformats.org/officeDocument/2006/relationships/ctrlProp" Target="../ctrlProps/ctrlProp282.xml"/><Relationship Id="rId319" Type="http://schemas.openxmlformats.org/officeDocument/2006/relationships/ctrlProp" Target="../ctrlProps/ctrlProp317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330" Type="http://schemas.openxmlformats.org/officeDocument/2006/relationships/ctrlProp" Target="../ctrlProps/ctrlProp328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186" Type="http://schemas.openxmlformats.org/officeDocument/2006/relationships/ctrlProp" Target="../ctrlProps/ctrlProp184.xml"/><Relationship Id="rId211" Type="http://schemas.openxmlformats.org/officeDocument/2006/relationships/ctrlProp" Target="../ctrlProps/ctrlProp209.xml"/><Relationship Id="rId232" Type="http://schemas.openxmlformats.org/officeDocument/2006/relationships/ctrlProp" Target="../ctrlProps/ctrlProp230.xml"/><Relationship Id="rId253" Type="http://schemas.openxmlformats.org/officeDocument/2006/relationships/ctrlProp" Target="../ctrlProps/ctrlProp251.xml"/><Relationship Id="rId274" Type="http://schemas.openxmlformats.org/officeDocument/2006/relationships/ctrlProp" Target="../ctrlProps/ctrlProp272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320" Type="http://schemas.openxmlformats.org/officeDocument/2006/relationships/ctrlProp" Target="../ctrlProps/ctrlProp318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Relationship Id="rId176" Type="http://schemas.openxmlformats.org/officeDocument/2006/relationships/ctrlProp" Target="../ctrlProps/ctrlProp174.xml"/><Relationship Id="rId197" Type="http://schemas.openxmlformats.org/officeDocument/2006/relationships/ctrlProp" Target="../ctrlProps/ctrlProp195.xml"/><Relationship Id="rId201" Type="http://schemas.openxmlformats.org/officeDocument/2006/relationships/ctrlProp" Target="../ctrlProps/ctrlProp199.xml"/><Relationship Id="rId222" Type="http://schemas.openxmlformats.org/officeDocument/2006/relationships/ctrlProp" Target="../ctrlProps/ctrlProp220.xml"/><Relationship Id="rId243" Type="http://schemas.openxmlformats.org/officeDocument/2006/relationships/ctrlProp" Target="../ctrlProps/ctrlProp241.xml"/><Relationship Id="rId264" Type="http://schemas.openxmlformats.org/officeDocument/2006/relationships/ctrlProp" Target="../ctrlProps/ctrlProp262.xml"/><Relationship Id="rId285" Type="http://schemas.openxmlformats.org/officeDocument/2006/relationships/ctrlProp" Target="../ctrlProps/ctrlProp283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310" Type="http://schemas.openxmlformats.org/officeDocument/2006/relationships/ctrlProp" Target="../ctrlProps/ctrlProp308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331" Type="http://schemas.openxmlformats.org/officeDocument/2006/relationships/ctrlProp" Target="../ctrlProps/ctrlProp329.xml"/><Relationship Id="rId1" Type="http://schemas.openxmlformats.org/officeDocument/2006/relationships/drawing" Target="../drawings/drawing1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Relationship Id="rId296" Type="http://schemas.openxmlformats.org/officeDocument/2006/relationships/ctrlProp" Target="../ctrlProps/ctrlProp294.xml"/><Relationship Id="rId300" Type="http://schemas.openxmlformats.org/officeDocument/2006/relationships/ctrlProp" Target="../ctrlProps/ctrlProp298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21D8-F16E-41DE-8E6C-7648F895AD3E}">
  <dimension ref="A1:BF338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42" customHeight="1"/>
  <cols>
    <col min="1" max="1" width="14.7109375" customWidth="1"/>
    <col min="2" max="3" width="0" hidden="1" customWidth="1"/>
    <col min="4" max="4" width="21.42578125" customWidth="1"/>
    <col min="5" max="5" width="0" hidden="1" customWidth="1"/>
    <col min="6" max="6" width="33.5703125" customWidth="1"/>
    <col min="8" max="12" width="0" hidden="1" customWidth="1"/>
    <col min="13" max="14" width="1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4" max="43" width="0" hidden="1" customWidth="1"/>
    <col min="44" max="46" width="10" customWidth="1"/>
    <col min="49" max="58" width="0" hidden="1" customWidth="1"/>
  </cols>
  <sheetData>
    <row r="1" spans="1:58" ht="42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ht="42" customHeight="1">
      <c r="A2" s="1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H2" s="2" t="s">
        <v>63</v>
      </c>
      <c r="I2" s="2" t="s">
        <v>64</v>
      </c>
      <c r="J2" s="2" t="s">
        <v>63</v>
      </c>
      <c r="K2" s="2" t="s">
        <v>63</v>
      </c>
      <c r="L2" s="2" t="s">
        <v>65</v>
      </c>
      <c r="M2" s="1" t="s">
        <v>66</v>
      </c>
      <c r="N2" s="1" t="s">
        <v>67</v>
      </c>
      <c r="O2" s="2" t="s">
        <v>68</v>
      </c>
      <c r="P2" s="1" t="s">
        <v>69</v>
      </c>
      <c r="Q2" s="2" t="s">
        <v>70</v>
      </c>
      <c r="R2" s="2" t="s">
        <v>71</v>
      </c>
      <c r="S2" s="1" t="s">
        <v>72</v>
      </c>
      <c r="T2" s="2" t="s">
        <v>73</v>
      </c>
      <c r="U2" s="3">
        <v>52</v>
      </c>
      <c r="V2" s="3">
        <v>52</v>
      </c>
      <c r="W2" s="4" t="s">
        <v>74</v>
      </c>
      <c r="X2" s="4" t="s">
        <v>74</v>
      </c>
      <c r="Y2" s="4" t="s">
        <v>75</v>
      </c>
      <c r="Z2" s="4" t="s">
        <v>75</v>
      </c>
      <c r="AA2" s="3">
        <v>162</v>
      </c>
      <c r="AB2" s="3">
        <v>94</v>
      </c>
      <c r="AC2" s="3">
        <v>418</v>
      </c>
      <c r="AD2" s="3">
        <v>1</v>
      </c>
      <c r="AE2" s="3">
        <v>1</v>
      </c>
      <c r="AF2" s="3">
        <v>1</v>
      </c>
      <c r="AG2" s="3">
        <v>10</v>
      </c>
      <c r="AH2" s="3">
        <v>1</v>
      </c>
      <c r="AI2" s="3">
        <v>4</v>
      </c>
      <c r="AJ2" s="3">
        <v>0</v>
      </c>
      <c r="AK2" s="3">
        <v>3</v>
      </c>
      <c r="AL2" s="3">
        <v>0</v>
      </c>
      <c r="AM2" s="3">
        <v>4</v>
      </c>
      <c r="AN2" s="3">
        <v>0</v>
      </c>
      <c r="AO2" s="3">
        <v>0</v>
      </c>
      <c r="AP2" s="3">
        <v>0</v>
      </c>
      <c r="AQ2" s="3">
        <v>0</v>
      </c>
      <c r="AR2" s="2" t="s">
        <v>63</v>
      </c>
      <c r="AS2" s="2" t="s">
        <v>76</v>
      </c>
      <c r="AT2" s="5" t="str">
        <f>HYPERLINK("http://catalog.hathitrust.org/Record/002812163","HathiTrust Record")</f>
        <v>HathiTrust Record</v>
      </c>
      <c r="AU2" s="5" t="str">
        <f>HYPERLINK("https://creighton-primo.hosted.exlibrisgroup.com/primo-explore/search?tab=default_tab&amp;search_scope=EVERYTHING&amp;vid=01CRU&amp;lang=en_US&amp;offset=0&amp;query=any,contains,991001395409702656","Catalog Record")</f>
        <v>Catalog Record</v>
      </c>
      <c r="AV2" s="5" t="str">
        <f>HYPERLINK("http://www.worldcat.org/oclc/29517617","WorldCat Record")</f>
        <v>WorldCat Record</v>
      </c>
      <c r="AW2" s="2" t="s">
        <v>77</v>
      </c>
      <c r="AX2" s="2" t="s">
        <v>78</v>
      </c>
      <c r="AY2" s="2" t="s">
        <v>79</v>
      </c>
      <c r="AZ2" s="2" t="s">
        <v>79</v>
      </c>
      <c r="BA2" s="2" t="s">
        <v>80</v>
      </c>
      <c r="BB2" s="2" t="s">
        <v>81</v>
      </c>
      <c r="BD2" s="2" t="s">
        <v>82</v>
      </c>
      <c r="BE2" s="2" t="s">
        <v>83</v>
      </c>
      <c r="BF2" s="2" t="s">
        <v>84</v>
      </c>
    </row>
    <row r="3" spans="1:58" ht="42" customHeight="1">
      <c r="A3" s="1"/>
      <c r="B3" s="1" t="s">
        <v>58</v>
      </c>
      <c r="C3" s="1" t="s">
        <v>59</v>
      </c>
      <c r="D3" s="1" t="s">
        <v>85</v>
      </c>
      <c r="E3" s="1" t="s">
        <v>86</v>
      </c>
      <c r="F3" s="1" t="s">
        <v>87</v>
      </c>
      <c r="H3" s="2" t="s">
        <v>63</v>
      </c>
      <c r="I3" s="2" t="s">
        <v>64</v>
      </c>
      <c r="J3" s="2" t="s">
        <v>63</v>
      </c>
      <c r="K3" s="2" t="s">
        <v>76</v>
      </c>
      <c r="L3" s="2" t="s">
        <v>65</v>
      </c>
      <c r="M3" s="1" t="s">
        <v>88</v>
      </c>
      <c r="N3" s="1" t="s">
        <v>89</v>
      </c>
      <c r="O3" s="2" t="s">
        <v>90</v>
      </c>
      <c r="P3" s="1" t="s">
        <v>91</v>
      </c>
      <c r="Q3" s="2" t="s">
        <v>70</v>
      </c>
      <c r="R3" s="2" t="s">
        <v>92</v>
      </c>
      <c r="T3" s="2" t="s">
        <v>73</v>
      </c>
      <c r="U3" s="3">
        <v>147</v>
      </c>
      <c r="V3" s="3">
        <v>147</v>
      </c>
      <c r="W3" s="4" t="s">
        <v>93</v>
      </c>
      <c r="X3" s="4" t="s">
        <v>93</v>
      </c>
      <c r="Y3" s="4" t="s">
        <v>94</v>
      </c>
      <c r="Z3" s="4" t="s">
        <v>94</v>
      </c>
      <c r="AA3" s="3">
        <v>186</v>
      </c>
      <c r="AB3" s="3">
        <v>135</v>
      </c>
      <c r="AC3" s="3">
        <v>470</v>
      </c>
      <c r="AD3" s="3">
        <v>1</v>
      </c>
      <c r="AE3" s="3">
        <v>3</v>
      </c>
      <c r="AF3" s="3">
        <v>3</v>
      </c>
      <c r="AG3" s="3">
        <v>15</v>
      </c>
      <c r="AH3" s="3">
        <v>0</v>
      </c>
      <c r="AI3" s="3">
        <v>5</v>
      </c>
      <c r="AJ3" s="3">
        <v>2</v>
      </c>
      <c r="AK3" s="3">
        <v>3</v>
      </c>
      <c r="AL3" s="3">
        <v>2</v>
      </c>
      <c r="AM3" s="3">
        <v>7</v>
      </c>
      <c r="AN3" s="3">
        <v>0</v>
      </c>
      <c r="AO3" s="3">
        <v>2</v>
      </c>
      <c r="AP3" s="3">
        <v>0</v>
      </c>
      <c r="AQ3" s="3">
        <v>0</v>
      </c>
      <c r="AR3" s="2" t="s">
        <v>63</v>
      </c>
      <c r="AS3" s="2" t="s">
        <v>76</v>
      </c>
      <c r="AT3" s="5" t="str">
        <f>HYPERLINK("http://catalog.hathitrust.org/Record/002468215","HathiTrust Record")</f>
        <v>HathiTrust Record</v>
      </c>
      <c r="AU3" s="5" t="str">
        <f>HYPERLINK("https://creighton-primo.hosted.exlibrisgroup.com/primo-explore/search?tab=default_tab&amp;search_scope=EVERYTHING&amp;vid=01CRU&amp;lang=en_US&amp;offset=0&amp;query=any,contains,991000827079702656","Catalog Record")</f>
        <v>Catalog Record</v>
      </c>
      <c r="AV3" s="5" t="str">
        <f>HYPERLINK("http://www.worldcat.org/oclc/24106523","WorldCat Record")</f>
        <v>WorldCat Record</v>
      </c>
      <c r="AW3" s="2" t="s">
        <v>95</v>
      </c>
      <c r="AX3" s="2" t="s">
        <v>96</v>
      </c>
      <c r="AY3" s="2" t="s">
        <v>97</v>
      </c>
      <c r="AZ3" s="2" t="s">
        <v>97</v>
      </c>
      <c r="BA3" s="2" t="s">
        <v>98</v>
      </c>
      <c r="BB3" s="2" t="s">
        <v>81</v>
      </c>
      <c r="BD3" s="2" t="s">
        <v>99</v>
      </c>
      <c r="BE3" s="2" t="s">
        <v>100</v>
      </c>
      <c r="BF3" s="2" t="s">
        <v>101</v>
      </c>
    </row>
    <row r="4" spans="1:58" ht="42" customHeight="1">
      <c r="A4" s="1"/>
      <c r="B4" s="1" t="s">
        <v>58</v>
      </c>
      <c r="C4" s="1" t="s">
        <v>59</v>
      </c>
      <c r="D4" s="1" t="s">
        <v>102</v>
      </c>
      <c r="E4" s="1" t="s">
        <v>103</v>
      </c>
      <c r="F4" s="1" t="s">
        <v>104</v>
      </c>
      <c r="H4" s="2" t="s">
        <v>63</v>
      </c>
      <c r="I4" s="2" t="s">
        <v>64</v>
      </c>
      <c r="J4" s="2" t="s">
        <v>63</v>
      </c>
      <c r="K4" s="2" t="s">
        <v>63</v>
      </c>
      <c r="L4" s="2" t="s">
        <v>65</v>
      </c>
      <c r="M4" s="1" t="s">
        <v>88</v>
      </c>
      <c r="N4" s="1" t="s">
        <v>105</v>
      </c>
      <c r="O4" s="2" t="s">
        <v>106</v>
      </c>
      <c r="Q4" s="2" t="s">
        <v>70</v>
      </c>
      <c r="R4" s="2" t="s">
        <v>107</v>
      </c>
      <c r="T4" s="2" t="s">
        <v>73</v>
      </c>
      <c r="U4" s="3">
        <v>18</v>
      </c>
      <c r="V4" s="3">
        <v>18</v>
      </c>
      <c r="W4" s="4" t="s">
        <v>108</v>
      </c>
      <c r="X4" s="4" t="s">
        <v>108</v>
      </c>
      <c r="Y4" s="4" t="s">
        <v>109</v>
      </c>
      <c r="Z4" s="4" t="s">
        <v>109</v>
      </c>
      <c r="AA4" s="3">
        <v>261</v>
      </c>
      <c r="AB4" s="3">
        <v>165</v>
      </c>
      <c r="AC4" s="3">
        <v>237</v>
      </c>
      <c r="AD4" s="3">
        <v>1</v>
      </c>
      <c r="AE4" s="3">
        <v>1</v>
      </c>
      <c r="AF4" s="3">
        <v>5</v>
      </c>
      <c r="AG4" s="3">
        <v>8</v>
      </c>
      <c r="AH4" s="3">
        <v>2</v>
      </c>
      <c r="AI4" s="3">
        <v>4</v>
      </c>
      <c r="AJ4" s="3">
        <v>1</v>
      </c>
      <c r="AK4" s="3">
        <v>2</v>
      </c>
      <c r="AL4" s="3">
        <v>4</v>
      </c>
      <c r="AM4" s="3">
        <v>4</v>
      </c>
      <c r="AN4" s="3">
        <v>0</v>
      </c>
      <c r="AO4" s="3">
        <v>0</v>
      </c>
      <c r="AP4" s="3">
        <v>0</v>
      </c>
      <c r="AQ4" s="3">
        <v>0</v>
      </c>
      <c r="AR4" s="2" t="s">
        <v>63</v>
      </c>
      <c r="AS4" s="2" t="s">
        <v>76</v>
      </c>
      <c r="AT4" s="5" t="str">
        <f>HYPERLINK("http://catalog.hathitrust.org/Record/002707737","HathiTrust Record")</f>
        <v>HathiTrust Record</v>
      </c>
      <c r="AU4" s="5" t="str">
        <f>HYPERLINK("https://creighton-primo.hosted.exlibrisgroup.com/primo-explore/search?tab=default_tab&amp;search_scope=EVERYTHING&amp;vid=01CRU&amp;lang=en_US&amp;offset=0&amp;query=any,contains,991000994189702656","Catalog Record")</f>
        <v>Catalog Record</v>
      </c>
      <c r="AV4" s="5" t="str">
        <f>HYPERLINK("http://www.worldcat.org/oclc/9945894","WorldCat Record")</f>
        <v>WorldCat Record</v>
      </c>
      <c r="AW4" s="2" t="s">
        <v>110</v>
      </c>
      <c r="AX4" s="2" t="s">
        <v>111</v>
      </c>
      <c r="AY4" s="2" t="s">
        <v>112</v>
      </c>
      <c r="AZ4" s="2" t="s">
        <v>112</v>
      </c>
      <c r="BA4" s="2" t="s">
        <v>113</v>
      </c>
      <c r="BB4" s="2" t="s">
        <v>81</v>
      </c>
      <c r="BD4" s="2" t="s">
        <v>114</v>
      </c>
      <c r="BE4" s="2" t="s">
        <v>115</v>
      </c>
      <c r="BF4" s="2" t="s">
        <v>116</v>
      </c>
    </row>
    <row r="5" spans="1:58" ht="42" customHeight="1">
      <c r="A5" s="1"/>
      <c r="B5" s="1" t="s">
        <v>58</v>
      </c>
      <c r="C5" s="1" t="s">
        <v>59</v>
      </c>
      <c r="D5" s="1" t="s">
        <v>117</v>
      </c>
      <c r="E5" s="1" t="s">
        <v>118</v>
      </c>
      <c r="F5" s="1" t="s">
        <v>119</v>
      </c>
      <c r="H5" s="2" t="s">
        <v>63</v>
      </c>
      <c r="I5" s="2" t="s">
        <v>64</v>
      </c>
      <c r="J5" s="2" t="s">
        <v>63</v>
      </c>
      <c r="K5" s="2" t="s">
        <v>63</v>
      </c>
      <c r="L5" s="2" t="s">
        <v>65</v>
      </c>
      <c r="M5" s="1" t="s">
        <v>88</v>
      </c>
      <c r="N5" s="1" t="s">
        <v>120</v>
      </c>
      <c r="O5" s="2" t="s">
        <v>121</v>
      </c>
      <c r="P5" s="1" t="s">
        <v>122</v>
      </c>
      <c r="Q5" s="2" t="s">
        <v>70</v>
      </c>
      <c r="R5" s="2" t="s">
        <v>92</v>
      </c>
      <c r="T5" s="2" t="s">
        <v>73</v>
      </c>
      <c r="U5" s="3">
        <v>15</v>
      </c>
      <c r="V5" s="3">
        <v>15</v>
      </c>
      <c r="W5" s="4" t="s">
        <v>123</v>
      </c>
      <c r="X5" s="4" t="s">
        <v>123</v>
      </c>
      <c r="Y5" s="4" t="s">
        <v>109</v>
      </c>
      <c r="Z5" s="4" t="s">
        <v>109</v>
      </c>
      <c r="AA5" s="3">
        <v>135</v>
      </c>
      <c r="AB5" s="3">
        <v>98</v>
      </c>
      <c r="AC5" s="3">
        <v>98</v>
      </c>
      <c r="AD5" s="3">
        <v>1</v>
      </c>
      <c r="AE5" s="3">
        <v>1</v>
      </c>
      <c r="AF5" s="3">
        <v>3</v>
      </c>
      <c r="AG5" s="3">
        <v>3</v>
      </c>
      <c r="AH5" s="3">
        <v>1</v>
      </c>
      <c r="AI5" s="3">
        <v>1</v>
      </c>
      <c r="AJ5" s="3">
        <v>0</v>
      </c>
      <c r="AK5" s="3">
        <v>0</v>
      </c>
      <c r="AL5" s="3">
        <v>2</v>
      </c>
      <c r="AM5" s="3">
        <v>2</v>
      </c>
      <c r="AN5" s="3">
        <v>0</v>
      </c>
      <c r="AO5" s="3">
        <v>0</v>
      </c>
      <c r="AP5" s="3">
        <v>0</v>
      </c>
      <c r="AQ5" s="3">
        <v>0</v>
      </c>
      <c r="AR5" s="2" t="s">
        <v>63</v>
      </c>
      <c r="AS5" s="2" t="s">
        <v>63</v>
      </c>
      <c r="AU5" s="5" t="str">
        <f>HYPERLINK("https://creighton-primo.hosted.exlibrisgroup.com/primo-explore/search?tab=default_tab&amp;search_scope=EVERYTHING&amp;vid=01CRU&amp;lang=en_US&amp;offset=0&amp;query=any,contains,991000994239702656","Catalog Record")</f>
        <v>Catalog Record</v>
      </c>
      <c r="AV5" s="5" t="str">
        <f>HYPERLINK("http://www.worldcat.org/oclc/6834553","WorldCat Record")</f>
        <v>WorldCat Record</v>
      </c>
      <c r="AW5" s="2" t="s">
        <v>124</v>
      </c>
      <c r="AX5" s="2" t="s">
        <v>125</v>
      </c>
      <c r="AY5" s="2" t="s">
        <v>126</v>
      </c>
      <c r="AZ5" s="2" t="s">
        <v>126</v>
      </c>
      <c r="BA5" s="2" t="s">
        <v>127</v>
      </c>
      <c r="BB5" s="2" t="s">
        <v>81</v>
      </c>
      <c r="BD5" s="2" t="s">
        <v>128</v>
      </c>
      <c r="BE5" s="2" t="s">
        <v>129</v>
      </c>
      <c r="BF5" s="2" t="s">
        <v>130</v>
      </c>
    </row>
    <row r="6" spans="1:58" ht="42" customHeight="1">
      <c r="A6" s="1"/>
      <c r="B6" s="1" t="s">
        <v>58</v>
      </c>
      <c r="C6" s="1" t="s">
        <v>59</v>
      </c>
      <c r="D6" s="1" t="s">
        <v>131</v>
      </c>
      <c r="E6" s="1" t="s">
        <v>132</v>
      </c>
      <c r="F6" s="1" t="s">
        <v>133</v>
      </c>
      <c r="H6" s="2" t="s">
        <v>63</v>
      </c>
      <c r="I6" s="2" t="s">
        <v>64</v>
      </c>
      <c r="J6" s="2" t="s">
        <v>63</v>
      </c>
      <c r="K6" s="2" t="s">
        <v>63</v>
      </c>
      <c r="L6" s="2" t="s">
        <v>65</v>
      </c>
      <c r="M6" s="1" t="s">
        <v>134</v>
      </c>
      <c r="N6" s="1" t="s">
        <v>135</v>
      </c>
      <c r="O6" s="2" t="s">
        <v>136</v>
      </c>
      <c r="Q6" s="2" t="s">
        <v>70</v>
      </c>
      <c r="R6" s="2" t="s">
        <v>107</v>
      </c>
      <c r="S6" s="1" t="s">
        <v>137</v>
      </c>
      <c r="T6" s="2" t="s">
        <v>73</v>
      </c>
      <c r="U6" s="3">
        <v>7</v>
      </c>
      <c r="V6" s="3">
        <v>7</v>
      </c>
      <c r="W6" s="4" t="s">
        <v>138</v>
      </c>
      <c r="X6" s="4" t="s">
        <v>138</v>
      </c>
      <c r="Y6" s="4" t="s">
        <v>109</v>
      </c>
      <c r="Z6" s="4" t="s">
        <v>109</v>
      </c>
      <c r="AA6" s="3">
        <v>305</v>
      </c>
      <c r="AB6" s="3">
        <v>252</v>
      </c>
      <c r="AC6" s="3">
        <v>257</v>
      </c>
      <c r="AD6" s="3">
        <v>1</v>
      </c>
      <c r="AE6" s="3">
        <v>1</v>
      </c>
      <c r="AF6" s="3">
        <v>10</v>
      </c>
      <c r="AG6" s="3">
        <v>10</v>
      </c>
      <c r="AH6" s="3">
        <v>4</v>
      </c>
      <c r="AI6" s="3">
        <v>4</v>
      </c>
      <c r="AJ6" s="3">
        <v>2</v>
      </c>
      <c r="AK6" s="3">
        <v>2</v>
      </c>
      <c r="AL6" s="3">
        <v>7</v>
      </c>
      <c r="AM6" s="3">
        <v>7</v>
      </c>
      <c r="AN6" s="3">
        <v>0</v>
      </c>
      <c r="AO6" s="3">
        <v>0</v>
      </c>
      <c r="AP6" s="3">
        <v>0</v>
      </c>
      <c r="AQ6" s="3">
        <v>0</v>
      </c>
      <c r="AR6" s="2" t="s">
        <v>63</v>
      </c>
      <c r="AS6" s="2" t="s">
        <v>63</v>
      </c>
      <c r="AU6" s="5" t="str">
        <f>HYPERLINK("https://creighton-primo.hosted.exlibrisgroup.com/primo-explore/search?tab=default_tab&amp;search_scope=EVERYTHING&amp;vid=01CRU&amp;lang=en_US&amp;offset=0&amp;query=any,contains,991000994129702656","Catalog Record")</f>
        <v>Catalog Record</v>
      </c>
      <c r="AV6" s="5" t="str">
        <f>HYPERLINK("http://www.worldcat.org/oclc/6357248","WorldCat Record")</f>
        <v>WorldCat Record</v>
      </c>
      <c r="AW6" s="2" t="s">
        <v>139</v>
      </c>
      <c r="AX6" s="2" t="s">
        <v>140</v>
      </c>
      <c r="AY6" s="2" t="s">
        <v>141</v>
      </c>
      <c r="AZ6" s="2" t="s">
        <v>141</v>
      </c>
      <c r="BA6" s="2" t="s">
        <v>142</v>
      </c>
      <c r="BB6" s="2" t="s">
        <v>81</v>
      </c>
      <c r="BD6" s="2" t="s">
        <v>143</v>
      </c>
      <c r="BE6" s="2" t="s">
        <v>144</v>
      </c>
      <c r="BF6" s="2" t="s">
        <v>145</v>
      </c>
    </row>
    <row r="7" spans="1:58" ht="42" customHeight="1">
      <c r="A7" s="1"/>
      <c r="B7" s="1" t="s">
        <v>58</v>
      </c>
      <c r="C7" s="1" t="s">
        <v>59</v>
      </c>
      <c r="D7" s="1" t="s">
        <v>146</v>
      </c>
      <c r="E7" s="1" t="s">
        <v>147</v>
      </c>
      <c r="F7" s="1" t="s">
        <v>148</v>
      </c>
      <c r="H7" s="2" t="s">
        <v>63</v>
      </c>
      <c r="I7" s="2" t="s">
        <v>64</v>
      </c>
      <c r="J7" s="2" t="s">
        <v>63</v>
      </c>
      <c r="K7" s="2" t="s">
        <v>76</v>
      </c>
      <c r="L7" s="2" t="s">
        <v>65</v>
      </c>
      <c r="M7" s="1" t="s">
        <v>149</v>
      </c>
      <c r="N7" s="1" t="s">
        <v>150</v>
      </c>
      <c r="O7" s="2" t="s">
        <v>151</v>
      </c>
      <c r="P7" s="1" t="s">
        <v>152</v>
      </c>
      <c r="Q7" s="2" t="s">
        <v>70</v>
      </c>
      <c r="R7" s="2" t="s">
        <v>153</v>
      </c>
      <c r="T7" s="2" t="s">
        <v>73</v>
      </c>
      <c r="U7" s="3">
        <v>3</v>
      </c>
      <c r="V7" s="3">
        <v>3</v>
      </c>
      <c r="W7" s="4" t="s">
        <v>154</v>
      </c>
      <c r="X7" s="4" t="s">
        <v>154</v>
      </c>
      <c r="Y7" s="4" t="s">
        <v>155</v>
      </c>
      <c r="Z7" s="4" t="s">
        <v>155</v>
      </c>
      <c r="AA7" s="3">
        <v>640</v>
      </c>
      <c r="AB7" s="3">
        <v>526</v>
      </c>
      <c r="AC7" s="3">
        <v>1918</v>
      </c>
      <c r="AD7" s="3">
        <v>5</v>
      </c>
      <c r="AE7" s="3">
        <v>17</v>
      </c>
      <c r="AF7" s="3">
        <v>17</v>
      </c>
      <c r="AG7" s="3">
        <v>58</v>
      </c>
      <c r="AH7" s="3">
        <v>5</v>
      </c>
      <c r="AI7" s="3">
        <v>23</v>
      </c>
      <c r="AJ7" s="3">
        <v>4</v>
      </c>
      <c r="AK7" s="3">
        <v>9</v>
      </c>
      <c r="AL7" s="3">
        <v>9</v>
      </c>
      <c r="AM7" s="3">
        <v>25</v>
      </c>
      <c r="AN7" s="3">
        <v>4</v>
      </c>
      <c r="AO7" s="3">
        <v>13</v>
      </c>
      <c r="AP7" s="3">
        <v>0</v>
      </c>
      <c r="AQ7" s="3">
        <v>0</v>
      </c>
      <c r="AR7" s="2" t="s">
        <v>63</v>
      </c>
      <c r="AS7" s="2" t="s">
        <v>63</v>
      </c>
      <c r="AT7" s="5" t="str">
        <f>HYPERLINK("http://catalog.hathitrust.org/Record/010067626","HathiTrust Record")</f>
        <v>HathiTrust Record</v>
      </c>
      <c r="AU7" s="5" t="str">
        <f>HYPERLINK("https://creighton-primo.hosted.exlibrisgroup.com/primo-explore/search?tab=default_tab&amp;search_scope=EVERYTHING&amp;vid=01CRU&amp;lang=en_US&amp;offset=0&amp;query=any,contains,991000994029702656","Catalog Record")</f>
        <v>Catalog Record</v>
      </c>
      <c r="AV7" s="5" t="str">
        <f>HYPERLINK("http://www.worldcat.org/oclc/168720","WorldCat Record")</f>
        <v>WorldCat Record</v>
      </c>
      <c r="AW7" s="2" t="s">
        <v>156</v>
      </c>
      <c r="AX7" s="2" t="s">
        <v>157</v>
      </c>
      <c r="AY7" s="2" t="s">
        <v>158</v>
      </c>
      <c r="AZ7" s="2" t="s">
        <v>158</v>
      </c>
      <c r="BA7" s="2" t="s">
        <v>159</v>
      </c>
      <c r="BB7" s="2" t="s">
        <v>81</v>
      </c>
      <c r="BE7" s="2" t="s">
        <v>160</v>
      </c>
      <c r="BF7" s="2" t="s">
        <v>161</v>
      </c>
    </row>
    <row r="8" spans="1:58" ht="42" customHeight="1">
      <c r="A8" s="1"/>
      <c r="B8" s="1" t="s">
        <v>58</v>
      </c>
      <c r="C8" s="1" t="s">
        <v>59</v>
      </c>
      <c r="D8" s="1" t="s">
        <v>162</v>
      </c>
      <c r="E8" s="1" t="s">
        <v>163</v>
      </c>
      <c r="F8" s="1" t="s">
        <v>164</v>
      </c>
      <c r="G8" s="2" t="s">
        <v>165</v>
      </c>
      <c r="H8" s="2" t="s">
        <v>76</v>
      </c>
      <c r="I8" s="2" t="s">
        <v>64</v>
      </c>
      <c r="J8" s="2" t="s">
        <v>63</v>
      </c>
      <c r="K8" s="2" t="s">
        <v>63</v>
      </c>
      <c r="L8" s="2" t="s">
        <v>166</v>
      </c>
      <c r="N8" s="1" t="s">
        <v>167</v>
      </c>
      <c r="O8" s="2" t="s">
        <v>106</v>
      </c>
      <c r="Q8" s="2" t="s">
        <v>70</v>
      </c>
      <c r="R8" s="2" t="s">
        <v>168</v>
      </c>
      <c r="T8" s="2" t="s">
        <v>73</v>
      </c>
      <c r="U8" s="3">
        <v>9</v>
      </c>
      <c r="V8" s="3">
        <v>18</v>
      </c>
      <c r="W8" s="4" t="s">
        <v>169</v>
      </c>
      <c r="X8" s="4" t="s">
        <v>169</v>
      </c>
      <c r="Y8" s="4" t="s">
        <v>170</v>
      </c>
      <c r="Z8" s="4" t="s">
        <v>170</v>
      </c>
      <c r="AA8" s="3">
        <v>1388</v>
      </c>
      <c r="AB8" s="3">
        <v>1183</v>
      </c>
      <c r="AC8" s="3">
        <v>1248</v>
      </c>
      <c r="AD8" s="3">
        <v>13</v>
      </c>
      <c r="AE8" s="3">
        <v>13</v>
      </c>
      <c r="AF8" s="3">
        <v>40</v>
      </c>
      <c r="AG8" s="3">
        <v>44</v>
      </c>
      <c r="AH8" s="3">
        <v>15</v>
      </c>
      <c r="AI8" s="3">
        <v>17</v>
      </c>
      <c r="AJ8" s="3">
        <v>5</v>
      </c>
      <c r="AK8" s="3">
        <v>7</v>
      </c>
      <c r="AL8" s="3">
        <v>17</v>
      </c>
      <c r="AM8" s="3">
        <v>20</v>
      </c>
      <c r="AN8" s="3">
        <v>11</v>
      </c>
      <c r="AO8" s="3">
        <v>11</v>
      </c>
      <c r="AP8" s="3">
        <v>0</v>
      </c>
      <c r="AQ8" s="3">
        <v>0</v>
      </c>
      <c r="AR8" s="2" t="s">
        <v>63</v>
      </c>
      <c r="AS8" s="2" t="s">
        <v>76</v>
      </c>
      <c r="AT8" s="5" t="str">
        <f>HYPERLINK("http://catalog.hathitrust.org/Record/000284557","HathiTrust Record")</f>
        <v>HathiTrust Record</v>
      </c>
      <c r="AU8" s="5" t="str">
        <f>HYPERLINK("https://creighton-primo.hosted.exlibrisgroup.com/primo-explore/search?tab=default_tab&amp;search_scope=EVERYTHING&amp;vid=01CRU&amp;lang=en_US&amp;offset=0&amp;query=any,contains,991001415209702656","Catalog Record")</f>
        <v>Catalog Record</v>
      </c>
      <c r="AV8" s="5" t="str">
        <f>HYPERLINK("http://www.worldcat.org/oclc/9042846","WorldCat Record")</f>
        <v>WorldCat Record</v>
      </c>
      <c r="AW8" s="2" t="s">
        <v>171</v>
      </c>
      <c r="AX8" s="2" t="s">
        <v>172</v>
      </c>
      <c r="AY8" s="2" t="s">
        <v>173</v>
      </c>
      <c r="AZ8" s="2" t="s">
        <v>173</v>
      </c>
      <c r="BA8" s="2" t="s">
        <v>174</v>
      </c>
      <c r="BB8" s="2" t="s">
        <v>81</v>
      </c>
      <c r="BD8" s="2" t="s">
        <v>175</v>
      </c>
      <c r="BE8" s="2" t="s">
        <v>176</v>
      </c>
      <c r="BF8" s="2" t="s">
        <v>177</v>
      </c>
    </row>
    <row r="9" spans="1:58" ht="42" customHeight="1">
      <c r="A9" s="1"/>
      <c r="B9" s="1" t="s">
        <v>58</v>
      </c>
      <c r="C9" s="1" t="s">
        <v>59</v>
      </c>
      <c r="D9" s="1" t="s">
        <v>162</v>
      </c>
      <c r="E9" s="1" t="s">
        <v>163</v>
      </c>
      <c r="F9" s="1" t="s">
        <v>164</v>
      </c>
      <c r="G9" s="2" t="s">
        <v>178</v>
      </c>
      <c r="H9" s="2" t="s">
        <v>76</v>
      </c>
      <c r="I9" s="2" t="s">
        <v>64</v>
      </c>
      <c r="J9" s="2" t="s">
        <v>63</v>
      </c>
      <c r="K9" s="2" t="s">
        <v>63</v>
      </c>
      <c r="L9" s="2" t="s">
        <v>166</v>
      </c>
      <c r="N9" s="1" t="s">
        <v>167</v>
      </c>
      <c r="O9" s="2" t="s">
        <v>106</v>
      </c>
      <c r="Q9" s="2" t="s">
        <v>70</v>
      </c>
      <c r="R9" s="2" t="s">
        <v>168</v>
      </c>
      <c r="T9" s="2" t="s">
        <v>73</v>
      </c>
      <c r="U9" s="3">
        <v>9</v>
      </c>
      <c r="V9" s="3">
        <v>18</v>
      </c>
      <c r="W9" s="4" t="s">
        <v>169</v>
      </c>
      <c r="X9" s="4" t="s">
        <v>169</v>
      </c>
      <c r="Y9" s="4" t="s">
        <v>170</v>
      </c>
      <c r="Z9" s="4" t="s">
        <v>170</v>
      </c>
      <c r="AA9" s="3">
        <v>1388</v>
      </c>
      <c r="AB9" s="3">
        <v>1183</v>
      </c>
      <c r="AC9" s="3">
        <v>1248</v>
      </c>
      <c r="AD9" s="3">
        <v>13</v>
      </c>
      <c r="AE9" s="3">
        <v>13</v>
      </c>
      <c r="AF9" s="3">
        <v>40</v>
      </c>
      <c r="AG9" s="3">
        <v>44</v>
      </c>
      <c r="AH9" s="3">
        <v>15</v>
      </c>
      <c r="AI9" s="3">
        <v>17</v>
      </c>
      <c r="AJ9" s="3">
        <v>5</v>
      </c>
      <c r="AK9" s="3">
        <v>7</v>
      </c>
      <c r="AL9" s="3">
        <v>17</v>
      </c>
      <c r="AM9" s="3">
        <v>20</v>
      </c>
      <c r="AN9" s="3">
        <v>11</v>
      </c>
      <c r="AO9" s="3">
        <v>11</v>
      </c>
      <c r="AP9" s="3">
        <v>0</v>
      </c>
      <c r="AQ9" s="3">
        <v>0</v>
      </c>
      <c r="AR9" s="2" t="s">
        <v>63</v>
      </c>
      <c r="AS9" s="2" t="s">
        <v>76</v>
      </c>
      <c r="AT9" s="5" t="str">
        <f>HYPERLINK("http://catalog.hathitrust.org/Record/000284557","HathiTrust Record")</f>
        <v>HathiTrust Record</v>
      </c>
      <c r="AU9" s="5" t="str">
        <f>HYPERLINK("https://creighton-primo.hosted.exlibrisgroup.com/primo-explore/search?tab=default_tab&amp;search_scope=EVERYTHING&amp;vid=01CRU&amp;lang=en_US&amp;offset=0&amp;query=any,contains,991001415209702656","Catalog Record")</f>
        <v>Catalog Record</v>
      </c>
      <c r="AV9" s="5" t="str">
        <f>HYPERLINK("http://www.worldcat.org/oclc/9042846","WorldCat Record")</f>
        <v>WorldCat Record</v>
      </c>
      <c r="AW9" s="2" t="s">
        <v>171</v>
      </c>
      <c r="AX9" s="2" t="s">
        <v>172</v>
      </c>
      <c r="AY9" s="2" t="s">
        <v>173</v>
      </c>
      <c r="AZ9" s="2" t="s">
        <v>173</v>
      </c>
      <c r="BA9" s="2" t="s">
        <v>174</v>
      </c>
      <c r="BB9" s="2" t="s">
        <v>81</v>
      </c>
      <c r="BD9" s="2" t="s">
        <v>175</v>
      </c>
      <c r="BE9" s="2" t="s">
        <v>179</v>
      </c>
      <c r="BF9" s="2" t="s">
        <v>180</v>
      </c>
    </row>
    <row r="10" spans="1:58" ht="42" customHeight="1">
      <c r="A10" s="1"/>
      <c r="B10" s="1" t="s">
        <v>58</v>
      </c>
      <c r="C10" s="1" t="s">
        <v>59</v>
      </c>
      <c r="D10" s="1" t="s">
        <v>181</v>
      </c>
      <c r="E10" s="1" t="s">
        <v>182</v>
      </c>
      <c r="F10" s="1" t="s">
        <v>183</v>
      </c>
      <c r="G10" s="2" t="s">
        <v>184</v>
      </c>
      <c r="H10" s="2" t="s">
        <v>76</v>
      </c>
      <c r="I10" s="2" t="s">
        <v>64</v>
      </c>
      <c r="J10" s="2" t="s">
        <v>63</v>
      </c>
      <c r="K10" s="2" t="s">
        <v>63</v>
      </c>
      <c r="L10" s="2" t="s">
        <v>166</v>
      </c>
      <c r="N10" s="1" t="s">
        <v>185</v>
      </c>
      <c r="O10" s="2" t="s">
        <v>186</v>
      </c>
      <c r="P10" s="1" t="s">
        <v>187</v>
      </c>
      <c r="Q10" s="2" t="s">
        <v>70</v>
      </c>
      <c r="R10" s="2" t="s">
        <v>107</v>
      </c>
      <c r="T10" s="2" t="s">
        <v>73</v>
      </c>
      <c r="U10" s="3">
        <v>6</v>
      </c>
      <c r="V10" s="3">
        <v>12</v>
      </c>
      <c r="W10" s="4" t="s">
        <v>188</v>
      </c>
      <c r="X10" s="4" t="s">
        <v>188</v>
      </c>
      <c r="Y10" s="4" t="s">
        <v>170</v>
      </c>
      <c r="Z10" s="4" t="s">
        <v>170</v>
      </c>
      <c r="AA10" s="3">
        <v>1388</v>
      </c>
      <c r="AB10" s="3">
        <v>1183</v>
      </c>
      <c r="AC10" s="3">
        <v>1248</v>
      </c>
      <c r="AD10" s="3">
        <v>13</v>
      </c>
      <c r="AE10" s="3">
        <v>13</v>
      </c>
      <c r="AF10" s="3">
        <v>40</v>
      </c>
      <c r="AG10" s="3">
        <v>44</v>
      </c>
      <c r="AH10" s="3">
        <v>15</v>
      </c>
      <c r="AI10" s="3">
        <v>17</v>
      </c>
      <c r="AJ10" s="3">
        <v>5</v>
      </c>
      <c r="AK10" s="3">
        <v>7</v>
      </c>
      <c r="AL10" s="3">
        <v>17</v>
      </c>
      <c r="AM10" s="3">
        <v>20</v>
      </c>
      <c r="AN10" s="3">
        <v>11</v>
      </c>
      <c r="AO10" s="3">
        <v>11</v>
      </c>
      <c r="AP10" s="3">
        <v>0</v>
      </c>
      <c r="AQ10" s="3">
        <v>0</v>
      </c>
      <c r="AR10" s="2" t="s">
        <v>63</v>
      </c>
      <c r="AS10" s="2" t="s">
        <v>76</v>
      </c>
      <c r="AT10" s="5" t="str">
        <f>HYPERLINK("http://catalog.hathitrust.org/Record/000284557","HathiTrust Record")</f>
        <v>HathiTrust Record</v>
      </c>
      <c r="AU10" s="5" t="str">
        <f>HYPERLINK("https://creighton-primo.hosted.exlibrisgroup.com/primo-explore/search?tab=default_tab&amp;search_scope=EVERYTHING&amp;vid=01CRU&amp;lang=en_US&amp;offset=0&amp;query=any,contains,991001415269702656","Catalog Record")</f>
        <v>Catalog Record</v>
      </c>
      <c r="AV10" s="5" t="str">
        <f>HYPERLINK("http://www.worldcat.org/oclc/9042846","WorldCat Record")</f>
        <v>WorldCat Record</v>
      </c>
      <c r="AW10" s="2" t="s">
        <v>171</v>
      </c>
      <c r="AX10" s="2" t="s">
        <v>172</v>
      </c>
      <c r="AY10" s="2" t="s">
        <v>189</v>
      </c>
      <c r="AZ10" s="2" t="s">
        <v>189</v>
      </c>
      <c r="BA10" s="2" t="s">
        <v>190</v>
      </c>
      <c r="BB10" s="2" t="s">
        <v>81</v>
      </c>
      <c r="BE10" s="2" t="s">
        <v>191</v>
      </c>
      <c r="BF10" s="2" t="s">
        <v>192</v>
      </c>
    </row>
    <row r="11" spans="1:58" ht="42" customHeight="1">
      <c r="A11" s="1"/>
      <c r="B11" s="1" t="s">
        <v>58</v>
      </c>
      <c r="C11" s="1" t="s">
        <v>59</v>
      </c>
      <c r="D11" s="1" t="s">
        <v>181</v>
      </c>
      <c r="E11" s="1" t="s">
        <v>182</v>
      </c>
      <c r="F11" s="1" t="s">
        <v>183</v>
      </c>
      <c r="G11" s="2" t="s">
        <v>193</v>
      </c>
      <c r="H11" s="2" t="s">
        <v>76</v>
      </c>
      <c r="I11" s="2" t="s">
        <v>64</v>
      </c>
      <c r="J11" s="2" t="s">
        <v>63</v>
      </c>
      <c r="K11" s="2" t="s">
        <v>63</v>
      </c>
      <c r="L11" s="2" t="s">
        <v>166</v>
      </c>
      <c r="N11" s="1" t="s">
        <v>185</v>
      </c>
      <c r="O11" s="2" t="s">
        <v>186</v>
      </c>
      <c r="P11" s="1" t="s">
        <v>187</v>
      </c>
      <c r="Q11" s="2" t="s">
        <v>70</v>
      </c>
      <c r="R11" s="2" t="s">
        <v>107</v>
      </c>
      <c r="T11" s="2" t="s">
        <v>73</v>
      </c>
      <c r="U11" s="3">
        <v>6</v>
      </c>
      <c r="V11" s="3">
        <v>12</v>
      </c>
      <c r="W11" s="4" t="s">
        <v>188</v>
      </c>
      <c r="X11" s="4" t="s">
        <v>188</v>
      </c>
      <c r="Y11" s="4" t="s">
        <v>170</v>
      </c>
      <c r="Z11" s="4" t="s">
        <v>170</v>
      </c>
      <c r="AA11" s="3">
        <v>1388</v>
      </c>
      <c r="AB11" s="3">
        <v>1183</v>
      </c>
      <c r="AC11" s="3">
        <v>1248</v>
      </c>
      <c r="AD11" s="3">
        <v>13</v>
      </c>
      <c r="AE11" s="3">
        <v>13</v>
      </c>
      <c r="AF11" s="3">
        <v>40</v>
      </c>
      <c r="AG11" s="3">
        <v>44</v>
      </c>
      <c r="AH11" s="3">
        <v>15</v>
      </c>
      <c r="AI11" s="3">
        <v>17</v>
      </c>
      <c r="AJ11" s="3">
        <v>5</v>
      </c>
      <c r="AK11" s="3">
        <v>7</v>
      </c>
      <c r="AL11" s="3">
        <v>17</v>
      </c>
      <c r="AM11" s="3">
        <v>20</v>
      </c>
      <c r="AN11" s="3">
        <v>11</v>
      </c>
      <c r="AO11" s="3">
        <v>11</v>
      </c>
      <c r="AP11" s="3">
        <v>0</v>
      </c>
      <c r="AQ11" s="3">
        <v>0</v>
      </c>
      <c r="AR11" s="2" t="s">
        <v>63</v>
      </c>
      <c r="AS11" s="2" t="s">
        <v>76</v>
      </c>
      <c r="AT11" s="5" t="str">
        <f>HYPERLINK("http://catalog.hathitrust.org/Record/000284557","HathiTrust Record")</f>
        <v>HathiTrust Record</v>
      </c>
      <c r="AU11" s="5" t="str">
        <f>HYPERLINK("https://creighton-primo.hosted.exlibrisgroup.com/primo-explore/search?tab=default_tab&amp;search_scope=EVERYTHING&amp;vid=01CRU&amp;lang=en_US&amp;offset=0&amp;query=any,contains,991001415269702656","Catalog Record")</f>
        <v>Catalog Record</v>
      </c>
      <c r="AV11" s="5" t="str">
        <f>HYPERLINK("http://www.worldcat.org/oclc/9042846","WorldCat Record")</f>
        <v>WorldCat Record</v>
      </c>
      <c r="AW11" s="2" t="s">
        <v>171</v>
      </c>
      <c r="AX11" s="2" t="s">
        <v>172</v>
      </c>
      <c r="AY11" s="2" t="s">
        <v>189</v>
      </c>
      <c r="AZ11" s="2" t="s">
        <v>189</v>
      </c>
      <c r="BA11" s="2" t="s">
        <v>190</v>
      </c>
      <c r="BB11" s="2" t="s">
        <v>81</v>
      </c>
      <c r="BE11" s="2" t="s">
        <v>194</v>
      </c>
      <c r="BF11" s="2" t="s">
        <v>195</v>
      </c>
    </row>
    <row r="12" spans="1:58" ht="42" customHeight="1">
      <c r="A12" s="1"/>
      <c r="B12" s="1" t="s">
        <v>58</v>
      </c>
      <c r="C12" s="1" t="s">
        <v>59</v>
      </c>
      <c r="D12" s="1" t="s">
        <v>196</v>
      </c>
      <c r="E12" s="1" t="s">
        <v>197</v>
      </c>
      <c r="F12" s="1" t="s">
        <v>198</v>
      </c>
      <c r="H12" s="2" t="s">
        <v>63</v>
      </c>
      <c r="I12" s="2" t="s">
        <v>64</v>
      </c>
      <c r="J12" s="2" t="s">
        <v>63</v>
      </c>
      <c r="K12" s="2" t="s">
        <v>63</v>
      </c>
      <c r="L12" s="2" t="s">
        <v>65</v>
      </c>
      <c r="M12" s="1" t="s">
        <v>199</v>
      </c>
      <c r="N12" s="1" t="s">
        <v>200</v>
      </c>
      <c r="O12" s="2" t="s">
        <v>201</v>
      </c>
      <c r="P12" s="1" t="s">
        <v>202</v>
      </c>
      <c r="Q12" s="2" t="s">
        <v>70</v>
      </c>
      <c r="R12" s="2" t="s">
        <v>153</v>
      </c>
      <c r="T12" s="2" t="s">
        <v>73</v>
      </c>
      <c r="U12" s="3">
        <v>5</v>
      </c>
      <c r="V12" s="3">
        <v>5</v>
      </c>
      <c r="W12" s="4" t="s">
        <v>203</v>
      </c>
      <c r="X12" s="4" t="s">
        <v>203</v>
      </c>
      <c r="Y12" s="4" t="s">
        <v>204</v>
      </c>
      <c r="Z12" s="4" t="s">
        <v>204</v>
      </c>
      <c r="AA12" s="3">
        <v>118</v>
      </c>
      <c r="AB12" s="3">
        <v>101</v>
      </c>
      <c r="AC12" s="3">
        <v>199</v>
      </c>
      <c r="AD12" s="3">
        <v>1</v>
      </c>
      <c r="AE12" s="3">
        <v>1</v>
      </c>
      <c r="AF12" s="3">
        <v>1</v>
      </c>
      <c r="AG12" s="3">
        <v>2</v>
      </c>
      <c r="AH12" s="3">
        <v>0</v>
      </c>
      <c r="AI12" s="3">
        <v>1</v>
      </c>
      <c r="AJ12" s="3">
        <v>1</v>
      </c>
      <c r="AK12" s="3">
        <v>1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2" t="s">
        <v>63</v>
      </c>
      <c r="AS12" s="2" t="s">
        <v>76</v>
      </c>
      <c r="AT12" s="5" t="str">
        <f>HYPERLINK("http://catalog.hathitrust.org/Record/001556157","HathiTrust Record")</f>
        <v>HathiTrust Record</v>
      </c>
      <c r="AU12" s="5" t="str">
        <f>HYPERLINK("https://creighton-primo.hosted.exlibrisgroup.com/primo-explore/search?tab=default_tab&amp;search_scope=EVERYTHING&amp;vid=01CRU&amp;lang=en_US&amp;offset=0&amp;query=any,contains,991000993989702656","Catalog Record")</f>
        <v>Catalog Record</v>
      </c>
      <c r="AV12" s="5" t="str">
        <f>HYPERLINK("http://www.worldcat.org/oclc/2394378","WorldCat Record")</f>
        <v>WorldCat Record</v>
      </c>
      <c r="AW12" s="2" t="s">
        <v>205</v>
      </c>
      <c r="AX12" s="2" t="s">
        <v>206</v>
      </c>
      <c r="AY12" s="2" t="s">
        <v>207</v>
      </c>
      <c r="AZ12" s="2" t="s">
        <v>207</v>
      </c>
      <c r="BA12" s="2" t="s">
        <v>208</v>
      </c>
      <c r="BB12" s="2" t="s">
        <v>81</v>
      </c>
      <c r="BE12" s="2" t="s">
        <v>209</v>
      </c>
      <c r="BF12" s="2" t="s">
        <v>210</v>
      </c>
    </row>
    <row r="13" spans="1:58" ht="42" customHeight="1">
      <c r="A13" s="1"/>
      <c r="B13" s="1" t="s">
        <v>58</v>
      </c>
      <c r="C13" s="1" t="s">
        <v>59</v>
      </c>
      <c r="D13" s="1" t="s">
        <v>211</v>
      </c>
      <c r="E13" s="1" t="s">
        <v>212</v>
      </c>
      <c r="F13" s="1" t="s">
        <v>213</v>
      </c>
      <c r="H13" s="2" t="s">
        <v>63</v>
      </c>
      <c r="I13" s="2" t="s">
        <v>64</v>
      </c>
      <c r="J13" s="2" t="s">
        <v>63</v>
      </c>
      <c r="K13" s="2" t="s">
        <v>76</v>
      </c>
      <c r="L13" s="2" t="s">
        <v>65</v>
      </c>
      <c r="M13" s="1" t="s">
        <v>199</v>
      </c>
      <c r="N13" s="1" t="s">
        <v>214</v>
      </c>
      <c r="O13" s="2" t="s">
        <v>215</v>
      </c>
      <c r="P13" s="1" t="s">
        <v>216</v>
      </c>
      <c r="Q13" s="2" t="s">
        <v>70</v>
      </c>
      <c r="R13" s="2" t="s">
        <v>107</v>
      </c>
      <c r="T13" s="2" t="s">
        <v>73</v>
      </c>
      <c r="U13" s="3">
        <v>13</v>
      </c>
      <c r="V13" s="3">
        <v>13</v>
      </c>
      <c r="W13" s="4" t="s">
        <v>123</v>
      </c>
      <c r="X13" s="4" t="s">
        <v>123</v>
      </c>
      <c r="Y13" s="4" t="s">
        <v>217</v>
      </c>
      <c r="Z13" s="4" t="s">
        <v>217</v>
      </c>
      <c r="AA13" s="3">
        <v>418</v>
      </c>
      <c r="AB13" s="3">
        <v>325</v>
      </c>
      <c r="AC13" s="3">
        <v>846</v>
      </c>
      <c r="AD13" s="3">
        <v>2</v>
      </c>
      <c r="AE13" s="3">
        <v>8</v>
      </c>
      <c r="AF13" s="3">
        <v>12</v>
      </c>
      <c r="AG13" s="3">
        <v>34</v>
      </c>
      <c r="AH13" s="3">
        <v>5</v>
      </c>
      <c r="AI13" s="3">
        <v>13</v>
      </c>
      <c r="AJ13" s="3">
        <v>4</v>
      </c>
      <c r="AK13" s="3">
        <v>8</v>
      </c>
      <c r="AL13" s="3">
        <v>4</v>
      </c>
      <c r="AM13" s="3">
        <v>16</v>
      </c>
      <c r="AN13" s="3">
        <v>1</v>
      </c>
      <c r="AO13" s="3">
        <v>5</v>
      </c>
      <c r="AP13" s="3">
        <v>0</v>
      </c>
      <c r="AQ13" s="3">
        <v>0</v>
      </c>
      <c r="AR13" s="2" t="s">
        <v>63</v>
      </c>
      <c r="AS13" s="2" t="s">
        <v>76</v>
      </c>
      <c r="AT13" s="5" t="str">
        <f>HYPERLINK("http://catalog.hathitrust.org/Record/000361644","HathiTrust Record")</f>
        <v>HathiTrust Record</v>
      </c>
      <c r="AU13" s="5" t="str">
        <f>HYPERLINK("https://creighton-primo.hosted.exlibrisgroup.com/primo-explore/search?tab=default_tab&amp;search_scope=EVERYTHING&amp;vid=01CRU&amp;lang=en_US&amp;offset=0&amp;query=any,contains,991000993949702656","Catalog Record")</f>
        <v>Catalog Record</v>
      </c>
      <c r="AV13" s="5" t="str">
        <f>HYPERLINK("http://www.worldcat.org/oclc/9945317","WorldCat Record")</f>
        <v>WorldCat Record</v>
      </c>
      <c r="AW13" s="2" t="s">
        <v>218</v>
      </c>
      <c r="AX13" s="2" t="s">
        <v>219</v>
      </c>
      <c r="AY13" s="2" t="s">
        <v>220</v>
      </c>
      <c r="AZ13" s="2" t="s">
        <v>220</v>
      </c>
      <c r="BA13" s="2" t="s">
        <v>221</v>
      </c>
      <c r="BB13" s="2" t="s">
        <v>81</v>
      </c>
      <c r="BD13" s="2" t="s">
        <v>222</v>
      </c>
      <c r="BE13" s="2" t="s">
        <v>223</v>
      </c>
      <c r="BF13" s="2" t="s">
        <v>224</v>
      </c>
    </row>
    <row r="14" spans="1:58" ht="42" customHeight="1">
      <c r="A14" s="1"/>
      <c r="B14" s="1" t="s">
        <v>58</v>
      </c>
      <c r="C14" s="1" t="s">
        <v>59</v>
      </c>
      <c r="D14" s="1" t="s">
        <v>225</v>
      </c>
      <c r="E14" s="1" t="s">
        <v>226</v>
      </c>
      <c r="F14" s="1" t="s">
        <v>227</v>
      </c>
      <c r="H14" s="2" t="s">
        <v>63</v>
      </c>
      <c r="I14" s="2" t="s">
        <v>64</v>
      </c>
      <c r="J14" s="2" t="s">
        <v>63</v>
      </c>
      <c r="K14" s="2" t="s">
        <v>63</v>
      </c>
      <c r="L14" s="2" t="s">
        <v>65</v>
      </c>
      <c r="M14" s="1" t="s">
        <v>228</v>
      </c>
      <c r="N14" s="1" t="s">
        <v>229</v>
      </c>
      <c r="O14" s="2" t="s">
        <v>230</v>
      </c>
      <c r="P14" s="1" t="s">
        <v>231</v>
      </c>
      <c r="Q14" s="2" t="s">
        <v>70</v>
      </c>
      <c r="R14" s="2" t="s">
        <v>107</v>
      </c>
      <c r="T14" s="2" t="s">
        <v>73</v>
      </c>
      <c r="U14" s="3">
        <v>15</v>
      </c>
      <c r="V14" s="3">
        <v>15</v>
      </c>
      <c r="W14" s="4" t="s">
        <v>232</v>
      </c>
      <c r="X14" s="4" t="s">
        <v>232</v>
      </c>
      <c r="Y14" s="4" t="s">
        <v>109</v>
      </c>
      <c r="Z14" s="4" t="s">
        <v>109</v>
      </c>
      <c r="AA14" s="3">
        <v>109</v>
      </c>
      <c r="AB14" s="3">
        <v>74</v>
      </c>
      <c r="AC14" s="3">
        <v>949</v>
      </c>
      <c r="AD14" s="3">
        <v>1</v>
      </c>
      <c r="AE14" s="3">
        <v>3</v>
      </c>
      <c r="AF14" s="3">
        <v>1</v>
      </c>
      <c r="AG14" s="3">
        <v>22</v>
      </c>
      <c r="AH14" s="3">
        <v>0</v>
      </c>
      <c r="AI14" s="3">
        <v>8</v>
      </c>
      <c r="AJ14" s="3">
        <v>1</v>
      </c>
      <c r="AK14" s="3">
        <v>4</v>
      </c>
      <c r="AL14" s="3">
        <v>1</v>
      </c>
      <c r="AM14" s="3">
        <v>12</v>
      </c>
      <c r="AN14" s="3">
        <v>0</v>
      </c>
      <c r="AO14" s="3">
        <v>1</v>
      </c>
      <c r="AP14" s="3">
        <v>0</v>
      </c>
      <c r="AQ14" s="3">
        <v>1</v>
      </c>
      <c r="AR14" s="2" t="s">
        <v>63</v>
      </c>
      <c r="AS14" s="2" t="s">
        <v>76</v>
      </c>
      <c r="AT14" s="5" t="str">
        <f>HYPERLINK("http://catalog.hathitrust.org/Record/000645959","HathiTrust Record")</f>
        <v>HathiTrust Record</v>
      </c>
      <c r="AU14" s="5" t="str">
        <f>HYPERLINK("https://creighton-primo.hosted.exlibrisgroup.com/primo-explore/search?tab=default_tab&amp;search_scope=EVERYTHING&amp;vid=01CRU&amp;lang=en_US&amp;offset=0&amp;query=any,contains,991000995129702656","Catalog Record")</f>
        <v>Catalog Record</v>
      </c>
      <c r="AV14" s="5" t="str">
        <f>HYPERLINK("http://www.worldcat.org/oclc/9084351","WorldCat Record")</f>
        <v>WorldCat Record</v>
      </c>
      <c r="AW14" s="2" t="s">
        <v>233</v>
      </c>
      <c r="AX14" s="2" t="s">
        <v>234</v>
      </c>
      <c r="AY14" s="2" t="s">
        <v>235</v>
      </c>
      <c r="AZ14" s="2" t="s">
        <v>235</v>
      </c>
      <c r="BA14" s="2" t="s">
        <v>236</v>
      </c>
      <c r="BB14" s="2" t="s">
        <v>81</v>
      </c>
      <c r="BD14" s="2" t="s">
        <v>237</v>
      </c>
      <c r="BE14" s="2" t="s">
        <v>238</v>
      </c>
      <c r="BF14" s="2" t="s">
        <v>239</v>
      </c>
    </row>
    <row r="15" spans="1:58" ht="42" customHeight="1">
      <c r="A15" s="1"/>
      <c r="B15" s="1" t="s">
        <v>58</v>
      </c>
      <c r="C15" s="1" t="s">
        <v>59</v>
      </c>
      <c r="D15" s="1" t="s">
        <v>240</v>
      </c>
      <c r="E15" s="1" t="s">
        <v>241</v>
      </c>
      <c r="F15" s="1" t="s">
        <v>242</v>
      </c>
      <c r="H15" s="2" t="s">
        <v>63</v>
      </c>
      <c r="I15" s="2" t="s">
        <v>64</v>
      </c>
      <c r="J15" s="2" t="s">
        <v>63</v>
      </c>
      <c r="K15" s="2" t="s">
        <v>63</v>
      </c>
      <c r="L15" s="2" t="s">
        <v>65</v>
      </c>
      <c r="M15" s="1" t="s">
        <v>243</v>
      </c>
      <c r="N15" s="1" t="s">
        <v>244</v>
      </c>
      <c r="O15" s="2" t="s">
        <v>106</v>
      </c>
      <c r="P15" s="1" t="s">
        <v>245</v>
      </c>
      <c r="Q15" s="2" t="s">
        <v>70</v>
      </c>
      <c r="R15" s="2" t="s">
        <v>246</v>
      </c>
      <c r="T15" s="2" t="s">
        <v>73</v>
      </c>
      <c r="U15" s="3">
        <v>5</v>
      </c>
      <c r="V15" s="3">
        <v>5</v>
      </c>
      <c r="W15" s="4" t="s">
        <v>247</v>
      </c>
      <c r="X15" s="4" t="s">
        <v>247</v>
      </c>
      <c r="Y15" s="4" t="s">
        <v>109</v>
      </c>
      <c r="Z15" s="4" t="s">
        <v>109</v>
      </c>
      <c r="AA15" s="3">
        <v>199</v>
      </c>
      <c r="AB15" s="3">
        <v>151</v>
      </c>
      <c r="AC15" s="3">
        <v>336</v>
      </c>
      <c r="AD15" s="3">
        <v>1</v>
      </c>
      <c r="AE15" s="3">
        <v>3</v>
      </c>
      <c r="AF15" s="3">
        <v>3</v>
      </c>
      <c r="AG15" s="3">
        <v>8</v>
      </c>
      <c r="AH15" s="3">
        <v>2</v>
      </c>
      <c r="AI15" s="3">
        <v>4</v>
      </c>
      <c r="AJ15" s="3">
        <v>1</v>
      </c>
      <c r="AK15" s="3">
        <v>2</v>
      </c>
      <c r="AL15" s="3">
        <v>2</v>
      </c>
      <c r="AM15" s="3">
        <v>4</v>
      </c>
      <c r="AN15" s="3">
        <v>0</v>
      </c>
      <c r="AO15" s="3">
        <v>2</v>
      </c>
      <c r="AP15" s="3">
        <v>0</v>
      </c>
      <c r="AQ15" s="3">
        <v>0</v>
      </c>
      <c r="AR15" s="2" t="s">
        <v>63</v>
      </c>
      <c r="AS15" s="2" t="s">
        <v>76</v>
      </c>
      <c r="AT15" s="5" t="str">
        <f>HYPERLINK("http://catalog.hathitrust.org/Record/000374587","HathiTrust Record")</f>
        <v>HathiTrust Record</v>
      </c>
      <c r="AU15" s="5" t="str">
        <f>HYPERLINK("https://creighton-primo.hosted.exlibrisgroup.com/primo-explore/search?tab=default_tab&amp;search_scope=EVERYTHING&amp;vid=01CRU&amp;lang=en_US&amp;offset=0&amp;query=any,contains,991000993799702656","Catalog Record")</f>
        <v>Catalog Record</v>
      </c>
      <c r="AV15" s="5" t="str">
        <f>HYPERLINK("http://www.worldcat.org/oclc/10163328","WorldCat Record")</f>
        <v>WorldCat Record</v>
      </c>
      <c r="AW15" s="2" t="s">
        <v>248</v>
      </c>
      <c r="AX15" s="2" t="s">
        <v>249</v>
      </c>
      <c r="AY15" s="2" t="s">
        <v>250</v>
      </c>
      <c r="AZ15" s="2" t="s">
        <v>250</v>
      </c>
      <c r="BA15" s="2" t="s">
        <v>251</v>
      </c>
      <c r="BB15" s="2" t="s">
        <v>81</v>
      </c>
      <c r="BD15" s="2" t="s">
        <v>252</v>
      </c>
      <c r="BE15" s="2" t="s">
        <v>253</v>
      </c>
      <c r="BF15" s="2" t="s">
        <v>254</v>
      </c>
    </row>
    <row r="16" spans="1:58" ht="42" customHeight="1">
      <c r="A16" s="1"/>
      <c r="B16" s="1" t="s">
        <v>58</v>
      </c>
      <c r="C16" s="1" t="s">
        <v>59</v>
      </c>
      <c r="D16" s="1" t="s">
        <v>255</v>
      </c>
      <c r="E16" s="1" t="s">
        <v>256</v>
      </c>
      <c r="F16" s="1" t="s">
        <v>257</v>
      </c>
      <c r="H16" s="2" t="s">
        <v>63</v>
      </c>
      <c r="I16" s="2" t="s">
        <v>64</v>
      </c>
      <c r="J16" s="2" t="s">
        <v>63</v>
      </c>
      <c r="K16" s="2" t="s">
        <v>63</v>
      </c>
      <c r="L16" s="2" t="s">
        <v>65</v>
      </c>
      <c r="M16" s="1" t="s">
        <v>258</v>
      </c>
      <c r="N16" s="1" t="s">
        <v>259</v>
      </c>
      <c r="O16" s="2" t="s">
        <v>121</v>
      </c>
      <c r="P16" s="1" t="s">
        <v>260</v>
      </c>
      <c r="Q16" s="2" t="s">
        <v>70</v>
      </c>
      <c r="R16" s="2" t="s">
        <v>107</v>
      </c>
      <c r="T16" s="2" t="s">
        <v>73</v>
      </c>
      <c r="U16" s="3">
        <v>5</v>
      </c>
      <c r="V16" s="3">
        <v>5</v>
      </c>
      <c r="W16" s="4" t="s">
        <v>261</v>
      </c>
      <c r="X16" s="4" t="s">
        <v>261</v>
      </c>
      <c r="Y16" s="4" t="s">
        <v>109</v>
      </c>
      <c r="Z16" s="4" t="s">
        <v>109</v>
      </c>
      <c r="AA16" s="3">
        <v>24</v>
      </c>
      <c r="AB16" s="3">
        <v>21</v>
      </c>
      <c r="AC16" s="3">
        <v>21</v>
      </c>
      <c r="AD16" s="3">
        <v>1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2" t="s">
        <v>63</v>
      </c>
      <c r="AS16" s="2" t="s">
        <v>63</v>
      </c>
      <c r="AU16" s="5" t="str">
        <f>HYPERLINK("https://creighton-primo.hosted.exlibrisgroup.com/primo-explore/search?tab=default_tab&amp;search_scope=EVERYTHING&amp;vid=01CRU&amp;lang=en_US&amp;offset=0&amp;query=any,contains,991000993759702656","Catalog Record")</f>
        <v>Catalog Record</v>
      </c>
      <c r="AV16" s="5" t="str">
        <f>HYPERLINK("http://www.worldcat.org/oclc/6707028","WorldCat Record")</f>
        <v>WorldCat Record</v>
      </c>
      <c r="AW16" s="2" t="s">
        <v>262</v>
      </c>
      <c r="AX16" s="2" t="s">
        <v>263</v>
      </c>
      <c r="AY16" s="2" t="s">
        <v>264</v>
      </c>
      <c r="AZ16" s="2" t="s">
        <v>264</v>
      </c>
      <c r="BA16" s="2" t="s">
        <v>265</v>
      </c>
      <c r="BB16" s="2" t="s">
        <v>81</v>
      </c>
      <c r="BD16" s="2" t="s">
        <v>266</v>
      </c>
      <c r="BE16" s="2" t="s">
        <v>267</v>
      </c>
      <c r="BF16" s="2" t="s">
        <v>268</v>
      </c>
    </row>
    <row r="17" spans="1:58" ht="42" customHeight="1">
      <c r="A17" s="1"/>
      <c r="B17" s="1" t="s">
        <v>58</v>
      </c>
      <c r="C17" s="1" t="s">
        <v>59</v>
      </c>
      <c r="D17" s="1" t="s">
        <v>269</v>
      </c>
      <c r="E17" s="1" t="s">
        <v>270</v>
      </c>
      <c r="F17" s="1" t="s">
        <v>271</v>
      </c>
      <c r="H17" s="2" t="s">
        <v>63</v>
      </c>
      <c r="I17" s="2" t="s">
        <v>64</v>
      </c>
      <c r="J17" s="2" t="s">
        <v>63</v>
      </c>
      <c r="K17" s="2" t="s">
        <v>63</v>
      </c>
      <c r="L17" s="2" t="s">
        <v>65</v>
      </c>
      <c r="M17" s="1" t="s">
        <v>272</v>
      </c>
      <c r="N17" s="1" t="s">
        <v>273</v>
      </c>
      <c r="O17" s="2" t="s">
        <v>274</v>
      </c>
      <c r="Q17" s="2" t="s">
        <v>70</v>
      </c>
      <c r="R17" s="2" t="s">
        <v>107</v>
      </c>
      <c r="T17" s="2" t="s">
        <v>73</v>
      </c>
      <c r="U17" s="3">
        <v>1</v>
      </c>
      <c r="V17" s="3">
        <v>1</v>
      </c>
      <c r="W17" s="4" t="s">
        <v>275</v>
      </c>
      <c r="X17" s="4" t="s">
        <v>275</v>
      </c>
      <c r="Y17" s="4" t="s">
        <v>109</v>
      </c>
      <c r="Z17" s="4" t="s">
        <v>109</v>
      </c>
      <c r="AA17" s="3">
        <v>10</v>
      </c>
      <c r="AB17" s="3">
        <v>10</v>
      </c>
      <c r="AC17" s="3">
        <v>70</v>
      </c>
      <c r="AD17" s="3">
        <v>1</v>
      </c>
      <c r="AE17" s="3">
        <v>1</v>
      </c>
      <c r="AF17" s="3">
        <v>0</v>
      </c>
      <c r="AG17" s="3">
        <v>4</v>
      </c>
      <c r="AH17" s="3">
        <v>0</v>
      </c>
      <c r="AI17" s="3">
        <v>2</v>
      </c>
      <c r="AJ17" s="3">
        <v>0</v>
      </c>
      <c r="AK17" s="3">
        <v>2</v>
      </c>
      <c r="AL17" s="3">
        <v>0</v>
      </c>
      <c r="AM17" s="3">
        <v>1</v>
      </c>
      <c r="AN17" s="3">
        <v>0</v>
      </c>
      <c r="AO17" s="3">
        <v>0</v>
      </c>
      <c r="AP17" s="3">
        <v>0</v>
      </c>
      <c r="AQ17" s="3">
        <v>0</v>
      </c>
      <c r="AR17" s="2" t="s">
        <v>63</v>
      </c>
      <c r="AS17" s="2" t="s">
        <v>63</v>
      </c>
      <c r="AT17" s="5" t="str">
        <f>HYPERLINK("http://catalog.hathitrust.org/Record/010058849","HathiTrust Record")</f>
        <v>HathiTrust Record</v>
      </c>
      <c r="AU17" s="5" t="str">
        <f>HYPERLINK("https://creighton-primo.hosted.exlibrisgroup.com/primo-explore/search?tab=default_tab&amp;search_scope=EVERYTHING&amp;vid=01CRU&amp;lang=en_US&amp;offset=0&amp;query=any,contains,991000993719702656","Catalog Record")</f>
        <v>Catalog Record</v>
      </c>
      <c r="AV17" s="5" t="str">
        <f>HYPERLINK("http://www.worldcat.org/oclc/10864766","WorldCat Record")</f>
        <v>WorldCat Record</v>
      </c>
      <c r="AW17" s="2" t="s">
        <v>276</v>
      </c>
      <c r="AX17" s="2" t="s">
        <v>277</v>
      </c>
      <c r="AY17" s="2" t="s">
        <v>278</v>
      </c>
      <c r="AZ17" s="2" t="s">
        <v>278</v>
      </c>
      <c r="BA17" s="2" t="s">
        <v>279</v>
      </c>
      <c r="BB17" s="2" t="s">
        <v>81</v>
      </c>
      <c r="BE17" s="2" t="s">
        <v>280</v>
      </c>
      <c r="BF17" s="2" t="s">
        <v>281</v>
      </c>
    </row>
    <row r="18" spans="1:58" ht="42" customHeight="1">
      <c r="A18" s="1"/>
      <c r="B18" s="1" t="s">
        <v>58</v>
      </c>
      <c r="C18" s="1" t="s">
        <v>59</v>
      </c>
      <c r="D18" s="1" t="s">
        <v>282</v>
      </c>
      <c r="E18" s="1" t="s">
        <v>283</v>
      </c>
      <c r="F18" s="1" t="s">
        <v>284</v>
      </c>
      <c r="H18" s="2" t="s">
        <v>63</v>
      </c>
      <c r="I18" s="2" t="s">
        <v>64</v>
      </c>
      <c r="J18" s="2" t="s">
        <v>63</v>
      </c>
      <c r="K18" s="2" t="s">
        <v>63</v>
      </c>
      <c r="L18" s="2" t="s">
        <v>65</v>
      </c>
      <c r="M18" s="1" t="s">
        <v>285</v>
      </c>
      <c r="N18" s="1" t="s">
        <v>286</v>
      </c>
      <c r="O18" s="2" t="s">
        <v>230</v>
      </c>
      <c r="P18" s="1" t="s">
        <v>287</v>
      </c>
      <c r="Q18" s="2" t="s">
        <v>70</v>
      </c>
      <c r="R18" s="2" t="s">
        <v>246</v>
      </c>
      <c r="T18" s="2" t="s">
        <v>73</v>
      </c>
      <c r="U18" s="3">
        <v>11</v>
      </c>
      <c r="V18" s="3">
        <v>11</v>
      </c>
      <c r="W18" s="4" t="s">
        <v>288</v>
      </c>
      <c r="X18" s="4" t="s">
        <v>288</v>
      </c>
      <c r="Y18" s="4" t="s">
        <v>109</v>
      </c>
      <c r="Z18" s="4" t="s">
        <v>109</v>
      </c>
      <c r="AA18" s="3">
        <v>348</v>
      </c>
      <c r="AB18" s="3">
        <v>284</v>
      </c>
      <c r="AC18" s="3">
        <v>437</v>
      </c>
      <c r="AD18" s="3">
        <v>3</v>
      </c>
      <c r="AE18" s="3">
        <v>3</v>
      </c>
      <c r="AF18" s="3">
        <v>11</v>
      </c>
      <c r="AG18" s="3">
        <v>16</v>
      </c>
      <c r="AH18" s="3">
        <v>6</v>
      </c>
      <c r="AI18" s="3">
        <v>8</v>
      </c>
      <c r="AJ18" s="3">
        <v>3</v>
      </c>
      <c r="AK18" s="3">
        <v>4</v>
      </c>
      <c r="AL18" s="3">
        <v>4</v>
      </c>
      <c r="AM18" s="3">
        <v>7</v>
      </c>
      <c r="AN18" s="3">
        <v>0</v>
      </c>
      <c r="AO18" s="3">
        <v>0</v>
      </c>
      <c r="AP18" s="3">
        <v>0</v>
      </c>
      <c r="AQ18" s="3">
        <v>0</v>
      </c>
      <c r="AR18" s="2" t="s">
        <v>63</v>
      </c>
      <c r="AS18" s="2" t="s">
        <v>76</v>
      </c>
      <c r="AT18" s="5" t="str">
        <f>HYPERLINK("http://catalog.hathitrust.org/Record/000153453","HathiTrust Record")</f>
        <v>HathiTrust Record</v>
      </c>
      <c r="AU18" s="5" t="str">
        <f>HYPERLINK("https://creighton-primo.hosted.exlibrisgroup.com/primo-explore/search?tab=default_tab&amp;search_scope=EVERYTHING&amp;vid=01CRU&amp;lang=en_US&amp;offset=0&amp;query=any,contains,991000993549702656","Catalog Record")</f>
        <v>Catalog Record</v>
      </c>
      <c r="AV18" s="5" t="str">
        <f>HYPERLINK("http://www.worldcat.org/oclc/8865384","WorldCat Record")</f>
        <v>WorldCat Record</v>
      </c>
      <c r="AW18" s="2" t="s">
        <v>289</v>
      </c>
      <c r="AX18" s="2" t="s">
        <v>290</v>
      </c>
      <c r="AY18" s="2" t="s">
        <v>291</v>
      </c>
      <c r="AZ18" s="2" t="s">
        <v>291</v>
      </c>
      <c r="BA18" s="2" t="s">
        <v>292</v>
      </c>
      <c r="BB18" s="2" t="s">
        <v>81</v>
      </c>
      <c r="BD18" s="2" t="s">
        <v>293</v>
      </c>
      <c r="BE18" s="2" t="s">
        <v>294</v>
      </c>
      <c r="BF18" s="2" t="s">
        <v>295</v>
      </c>
    </row>
    <row r="19" spans="1:58" ht="42" customHeight="1">
      <c r="A19" s="1"/>
      <c r="B19" s="1" t="s">
        <v>58</v>
      </c>
      <c r="C19" s="1" t="s">
        <v>59</v>
      </c>
      <c r="D19" s="1" t="s">
        <v>296</v>
      </c>
      <c r="E19" s="1" t="s">
        <v>297</v>
      </c>
      <c r="F19" s="1" t="s">
        <v>298</v>
      </c>
      <c r="H19" s="2" t="s">
        <v>63</v>
      </c>
      <c r="I19" s="2" t="s">
        <v>64</v>
      </c>
      <c r="J19" s="2" t="s">
        <v>63</v>
      </c>
      <c r="K19" s="2" t="s">
        <v>63</v>
      </c>
      <c r="L19" s="2" t="s">
        <v>65</v>
      </c>
      <c r="N19" s="1" t="s">
        <v>214</v>
      </c>
      <c r="O19" s="2" t="s">
        <v>215</v>
      </c>
      <c r="P19" s="1" t="s">
        <v>299</v>
      </c>
      <c r="Q19" s="2" t="s">
        <v>70</v>
      </c>
      <c r="R19" s="2" t="s">
        <v>107</v>
      </c>
      <c r="T19" s="2" t="s">
        <v>73</v>
      </c>
      <c r="U19" s="3">
        <v>20</v>
      </c>
      <c r="V19" s="3">
        <v>20</v>
      </c>
      <c r="W19" s="4" t="s">
        <v>300</v>
      </c>
      <c r="X19" s="4" t="s">
        <v>300</v>
      </c>
      <c r="Y19" s="4" t="s">
        <v>301</v>
      </c>
      <c r="Z19" s="4" t="s">
        <v>301</v>
      </c>
      <c r="AA19" s="3">
        <v>352</v>
      </c>
      <c r="AB19" s="3">
        <v>279</v>
      </c>
      <c r="AC19" s="3">
        <v>291</v>
      </c>
      <c r="AD19" s="3">
        <v>1</v>
      </c>
      <c r="AE19" s="3">
        <v>1</v>
      </c>
      <c r="AF19" s="3">
        <v>5</v>
      </c>
      <c r="AG19" s="3">
        <v>5</v>
      </c>
      <c r="AH19" s="3">
        <v>1</v>
      </c>
      <c r="AI19" s="3">
        <v>1</v>
      </c>
      <c r="AJ19" s="3">
        <v>2</v>
      </c>
      <c r="AK19" s="3">
        <v>2</v>
      </c>
      <c r="AL19" s="3">
        <v>2</v>
      </c>
      <c r="AM19" s="3">
        <v>2</v>
      </c>
      <c r="AN19" s="3">
        <v>0</v>
      </c>
      <c r="AO19" s="3">
        <v>0</v>
      </c>
      <c r="AP19" s="3">
        <v>0</v>
      </c>
      <c r="AQ19" s="3">
        <v>0</v>
      </c>
      <c r="AR19" s="2" t="s">
        <v>63</v>
      </c>
      <c r="AS19" s="2" t="s">
        <v>63</v>
      </c>
      <c r="AU19" s="5" t="str">
        <f>HYPERLINK("https://creighton-primo.hosted.exlibrisgroup.com/primo-explore/search?tab=default_tab&amp;search_scope=EVERYTHING&amp;vid=01CRU&amp;lang=en_US&amp;offset=0&amp;query=any,contains,991000749199702656","Catalog Record")</f>
        <v>Catalog Record</v>
      </c>
      <c r="AV19" s="5" t="str">
        <f>HYPERLINK("http://www.worldcat.org/oclc/11318053","WorldCat Record")</f>
        <v>WorldCat Record</v>
      </c>
      <c r="AW19" s="2" t="s">
        <v>302</v>
      </c>
      <c r="AX19" s="2" t="s">
        <v>303</v>
      </c>
      <c r="AY19" s="2" t="s">
        <v>304</v>
      </c>
      <c r="AZ19" s="2" t="s">
        <v>304</v>
      </c>
      <c r="BA19" s="2" t="s">
        <v>305</v>
      </c>
      <c r="BB19" s="2" t="s">
        <v>81</v>
      </c>
      <c r="BD19" s="2" t="s">
        <v>306</v>
      </c>
      <c r="BE19" s="2" t="s">
        <v>307</v>
      </c>
      <c r="BF19" s="2" t="s">
        <v>308</v>
      </c>
    </row>
    <row r="20" spans="1:58" ht="42" customHeight="1">
      <c r="A20" s="1"/>
      <c r="B20" s="1" t="s">
        <v>58</v>
      </c>
      <c r="C20" s="1" t="s">
        <v>59</v>
      </c>
      <c r="D20" s="1" t="s">
        <v>309</v>
      </c>
      <c r="E20" s="1" t="s">
        <v>310</v>
      </c>
      <c r="F20" s="1" t="s">
        <v>311</v>
      </c>
      <c r="H20" s="2" t="s">
        <v>63</v>
      </c>
      <c r="I20" s="2" t="s">
        <v>64</v>
      </c>
      <c r="J20" s="2" t="s">
        <v>63</v>
      </c>
      <c r="K20" s="2" t="s">
        <v>76</v>
      </c>
      <c r="L20" s="2" t="s">
        <v>312</v>
      </c>
      <c r="N20" s="1" t="s">
        <v>313</v>
      </c>
      <c r="O20" s="2" t="s">
        <v>314</v>
      </c>
      <c r="P20" s="1" t="s">
        <v>315</v>
      </c>
      <c r="Q20" s="2" t="s">
        <v>70</v>
      </c>
      <c r="R20" s="2" t="s">
        <v>316</v>
      </c>
      <c r="S20" s="1" t="s">
        <v>317</v>
      </c>
      <c r="T20" s="2" t="s">
        <v>73</v>
      </c>
      <c r="U20" s="3">
        <v>19</v>
      </c>
      <c r="V20" s="3">
        <v>19</v>
      </c>
      <c r="W20" s="4" t="s">
        <v>318</v>
      </c>
      <c r="X20" s="4" t="s">
        <v>318</v>
      </c>
      <c r="Y20" s="4" t="s">
        <v>319</v>
      </c>
      <c r="Z20" s="4" t="s">
        <v>319</v>
      </c>
      <c r="AA20" s="3">
        <v>182</v>
      </c>
      <c r="AB20" s="3">
        <v>118</v>
      </c>
      <c r="AC20" s="3">
        <v>901</v>
      </c>
      <c r="AD20" s="3">
        <v>1</v>
      </c>
      <c r="AE20" s="3">
        <v>5</v>
      </c>
      <c r="AF20" s="3">
        <v>2</v>
      </c>
      <c r="AG20" s="3">
        <v>24</v>
      </c>
      <c r="AH20" s="3">
        <v>1</v>
      </c>
      <c r="AI20" s="3">
        <v>11</v>
      </c>
      <c r="AJ20" s="3">
        <v>1</v>
      </c>
      <c r="AK20" s="3">
        <v>5</v>
      </c>
      <c r="AL20" s="3">
        <v>1</v>
      </c>
      <c r="AM20" s="3">
        <v>11</v>
      </c>
      <c r="AN20" s="3">
        <v>0</v>
      </c>
      <c r="AO20" s="3">
        <v>3</v>
      </c>
      <c r="AP20" s="3">
        <v>0</v>
      </c>
      <c r="AQ20" s="3">
        <v>0</v>
      </c>
      <c r="AR20" s="2" t="s">
        <v>63</v>
      </c>
      <c r="AS20" s="2" t="s">
        <v>63</v>
      </c>
      <c r="AU20" s="5" t="str">
        <f>HYPERLINK("https://creighton-primo.hosted.exlibrisgroup.com/primo-explore/search?tab=default_tab&amp;search_scope=EVERYTHING&amp;vid=01CRU&amp;lang=en_US&amp;offset=0&amp;query=any,contains,991000740799702656","Catalog Record")</f>
        <v>Catalog Record</v>
      </c>
      <c r="AV20" s="5" t="str">
        <f>HYPERLINK("http://www.worldcat.org/oclc/38928982","WorldCat Record")</f>
        <v>WorldCat Record</v>
      </c>
      <c r="AW20" s="2" t="s">
        <v>320</v>
      </c>
      <c r="AX20" s="2" t="s">
        <v>321</v>
      </c>
      <c r="AY20" s="2" t="s">
        <v>322</v>
      </c>
      <c r="AZ20" s="2" t="s">
        <v>322</v>
      </c>
      <c r="BA20" s="2" t="s">
        <v>323</v>
      </c>
      <c r="BB20" s="2" t="s">
        <v>81</v>
      </c>
      <c r="BD20" s="2" t="s">
        <v>324</v>
      </c>
      <c r="BE20" s="2" t="s">
        <v>325</v>
      </c>
      <c r="BF20" s="2" t="s">
        <v>326</v>
      </c>
    </row>
    <row r="21" spans="1:58" ht="42" customHeight="1">
      <c r="A21" s="1"/>
      <c r="B21" s="1" t="s">
        <v>58</v>
      </c>
      <c r="C21" s="1" t="s">
        <v>59</v>
      </c>
      <c r="D21" s="1" t="s">
        <v>327</v>
      </c>
      <c r="E21" s="1" t="s">
        <v>328</v>
      </c>
      <c r="F21" s="1" t="s">
        <v>329</v>
      </c>
      <c r="H21" s="2" t="s">
        <v>63</v>
      </c>
      <c r="I21" s="2" t="s">
        <v>64</v>
      </c>
      <c r="J21" s="2" t="s">
        <v>63</v>
      </c>
      <c r="K21" s="2" t="s">
        <v>63</v>
      </c>
      <c r="L21" s="2" t="s">
        <v>65</v>
      </c>
      <c r="M21" s="1" t="s">
        <v>330</v>
      </c>
      <c r="N21" s="1" t="s">
        <v>331</v>
      </c>
      <c r="O21" s="2" t="s">
        <v>332</v>
      </c>
      <c r="Q21" s="2" t="s">
        <v>70</v>
      </c>
      <c r="R21" s="2" t="s">
        <v>333</v>
      </c>
      <c r="T21" s="2" t="s">
        <v>73</v>
      </c>
      <c r="U21" s="3">
        <v>0</v>
      </c>
      <c r="V21" s="3">
        <v>0</v>
      </c>
      <c r="W21" s="4" t="s">
        <v>334</v>
      </c>
      <c r="X21" s="4" t="s">
        <v>334</v>
      </c>
      <c r="Y21" s="4" t="s">
        <v>109</v>
      </c>
      <c r="Z21" s="4" t="s">
        <v>109</v>
      </c>
      <c r="AA21" s="3">
        <v>146</v>
      </c>
      <c r="AB21" s="3">
        <v>129</v>
      </c>
      <c r="AC21" s="3">
        <v>194</v>
      </c>
      <c r="AD21" s="3">
        <v>2</v>
      </c>
      <c r="AE21" s="3">
        <v>3</v>
      </c>
      <c r="AF21" s="3">
        <v>1</v>
      </c>
      <c r="AG21" s="3">
        <v>3</v>
      </c>
      <c r="AH21" s="3">
        <v>0</v>
      </c>
      <c r="AI21" s="3">
        <v>1</v>
      </c>
      <c r="AJ21" s="3">
        <v>0</v>
      </c>
      <c r="AK21" s="3">
        <v>0</v>
      </c>
      <c r="AL21" s="3">
        <v>0</v>
      </c>
      <c r="AM21" s="3">
        <v>0</v>
      </c>
      <c r="AN21" s="3">
        <v>1</v>
      </c>
      <c r="AO21" s="3">
        <v>2</v>
      </c>
      <c r="AP21" s="3">
        <v>0</v>
      </c>
      <c r="AQ21" s="3">
        <v>0</v>
      </c>
      <c r="AR21" s="2" t="s">
        <v>63</v>
      </c>
      <c r="AS21" s="2" t="s">
        <v>76</v>
      </c>
      <c r="AT21" s="5" t="str">
        <f>HYPERLINK("http://catalog.hathitrust.org/Record/010104566","HathiTrust Record")</f>
        <v>HathiTrust Record</v>
      </c>
      <c r="AU21" s="5" t="str">
        <f>HYPERLINK("https://creighton-primo.hosted.exlibrisgroup.com/primo-explore/search?tab=default_tab&amp;search_scope=EVERYTHING&amp;vid=01CRU&amp;lang=en_US&amp;offset=0&amp;query=any,contains,991000993469702656","Catalog Record")</f>
        <v>Catalog Record</v>
      </c>
      <c r="AV21" s="5" t="str">
        <f>HYPERLINK("http://www.worldcat.org/oclc/476481","WorldCat Record")</f>
        <v>WorldCat Record</v>
      </c>
      <c r="AW21" s="2" t="s">
        <v>335</v>
      </c>
      <c r="AX21" s="2" t="s">
        <v>336</v>
      </c>
      <c r="AY21" s="2" t="s">
        <v>337</v>
      </c>
      <c r="AZ21" s="2" t="s">
        <v>337</v>
      </c>
      <c r="BA21" s="2" t="s">
        <v>338</v>
      </c>
      <c r="BB21" s="2" t="s">
        <v>81</v>
      </c>
      <c r="BE21" s="2" t="s">
        <v>339</v>
      </c>
      <c r="BF21" s="2" t="s">
        <v>340</v>
      </c>
    </row>
    <row r="22" spans="1:58" ht="42" customHeight="1">
      <c r="A22" s="1"/>
      <c r="B22" s="1" t="s">
        <v>58</v>
      </c>
      <c r="C22" s="1" t="s">
        <v>59</v>
      </c>
      <c r="D22" s="1" t="s">
        <v>341</v>
      </c>
      <c r="E22" s="1" t="s">
        <v>342</v>
      </c>
      <c r="F22" s="1" t="s">
        <v>343</v>
      </c>
      <c r="H22" s="2" t="s">
        <v>63</v>
      </c>
      <c r="I22" s="2" t="s">
        <v>64</v>
      </c>
      <c r="J22" s="2" t="s">
        <v>63</v>
      </c>
      <c r="K22" s="2" t="s">
        <v>63</v>
      </c>
      <c r="L22" s="2" t="s">
        <v>65</v>
      </c>
      <c r="M22" s="1" t="s">
        <v>344</v>
      </c>
      <c r="N22" s="1" t="s">
        <v>345</v>
      </c>
      <c r="O22" s="2" t="s">
        <v>106</v>
      </c>
      <c r="Q22" s="2" t="s">
        <v>70</v>
      </c>
      <c r="R22" s="2" t="s">
        <v>107</v>
      </c>
      <c r="T22" s="2" t="s">
        <v>73</v>
      </c>
      <c r="U22" s="3">
        <v>4</v>
      </c>
      <c r="V22" s="3">
        <v>4</v>
      </c>
      <c r="W22" s="4" t="s">
        <v>346</v>
      </c>
      <c r="X22" s="4" t="s">
        <v>346</v>
      </c>
      <c r="Y22" s="4" t="s">
        <v>109</v>
      </c>
      <c r="Z22" s="4" t="s">
        <v>109</v>
      </c>
      <c r="AA22" s="3">
        <v>150</v>
      </c>
      <c r="AB22" s="3">
        <v>111</v>
      </c>
      <c r="AC22" s="3">
        <v>117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2" t="s">
        <v>63</v>
      </c>
      <c r="AS22" s="2" t="s">
        <v>63</v>
      </c>
      <c r="AU22" s="5" t="str">
        <f>HYPERLINK("https://creighton-primo.hosted.exlibrisgroup.com/primo-explore/search?tab=default_tab&amp;search_scope=EVERYTHING&amp;vid=01CRU&amp;lang=en_US&amp;offset=0&amp;query=any,contains,991000993439702656","Catalog Record")</f>
        <v>Catalog Record</v>
      </c>
      <c r="AV22" s="5" t="str">
        <f>HYPERLINK("http://www.worldcat.org/oclc/9893819","WorldCat Record")</f>
        <v>WorldCat Record</v>
      </c>
      <c r="AW22" s="2" t="s">
        <v>347</v>
      </c>
      <c r="AX22" s="2" t="s">
        <v>348</v>
      </c>
      <c r="AY22" s="2" t="s">
        <v>349</v>
      </c>
      <c r="AZ22" s="2" t="s">
        <v>349</v>
      </c>
      <c r="BA22" s="2" t="s">
        <v>350</v>
      </c>
      <c r="BB22" s="2" t="s">
        <v>81</v>
      </c>
      <c r="BD22" s="2" t="s">
        <v>351</v>
      </c>
      <c r="BE22" s="2" t="s">
        <v>352</v>
      </c>
      <c r="BF22" s="2" t="s">
        <v>353</v>
      </c>
    </row>
    <row r="23" spans="1:58" ht="42" customHeight="1">
      <c r="A23" s="1"/>
      <c r="B23" s="1" t="s">
        <v>58</v>
      </c>
      <c r="C23" s="1" t="s">
        <v>59</v>
      </c>
      <c r="D23" s="1" t="s">
        <v>354</v>
      </c>
      <c r="E23" s="1" t="s">
        <v>355</v>
      </c>
      <c r="F23" s="1" t="s">
        <v>356</v>
      </c>
      <c r="H23" s="2" t="s">
        <v>63</v>
      </c>
      <c r="I23" s="2" t="s">
        <v>64</v>
      </c>
      <c r="J23" s="2" t="s">
        <v>63</v>
      </c>
      <c r="K23" s="2" t="s">
        <v>63</v>
      </c>
      <c r="L23" s="2" t="s">
        <v>357</v>
      </c>
      <c r="N23" s="1" t="s">
        <v>358</v>
      </c>
      <c r="O23" s="2" t="s">
        <v>359</v>
      </c>
      <c r="P23" s="1" t="s">
        <v>152</v>
      </c>
      <c r="Q23" s="2" t="s">
        <v>70</v>
      </c>
      <c r="R23" s="2" t="s">
        <v>360</v>
      </c>
      <c r="T23" s="2" t="s">
        <v>73</v>
      </c>
      <c r="U23" s="3">
        <v>21</v>
      </c>
      <c r="V23" s="3">
        <v>21</v>
      </c>
      <c r="W23" s="4" t="s">
        <v>361</v>
      </c>
      <c r="X23" s="4" t="s">
        <v>361</v>
      </c>
      <c r="Y23" s="4" t="s">
        <v>362</v>
      </c>
      <c r="Z23" s="4" t="s">
        <v>362</v>
      </c>
      <c r="AA23" s="3">
        <v>507</v>
      </c>
      <c r="AB23" s="3">
        <v>397</v>
      </c>
      <c r="AC23" s="3">
        <v>1260</v>
      </c>
      <c r="AD23" s="3">
        <v>1</v>
      </c>
      <c r="AE23" s="3">
        <v>16</v>
      </c>
      <c r="AF23" s="3">
        <v>10</v>
      </c>
      <c r="AG23" s="3">
        <v>42</v>
      </c>
      <c r="AH23" s="3">
        <v>5</v>
      </c>
      <c r="AI23" s="3">
        <v>16</v>
      </c>
      <c r="AJ23" s="3">
        <v>3</v>
      </c>
      <c r="AK23" s="3">
        <v>8</v>
      </c>
      <c r="AL23" s="3">
        <v>5</v>
      </c>
      <c r="AM23" s="3">
        <v>13</v>
      </c>
      <c r="AN23" s="3">
        <v>0</v>
      </c>
      <c r="AO23" s="3">
        <v>13</v>
      </c>
      <c r="AP23" s="3">
        <v>0</v>
      </c>
      <c r="AQ23" s="3">
        <v>1</v>
      </c>
      <c r="AR23" s="2" t="s">
        <v>63</v>
      </c>
      <c r="AS23" s="2" t="s">
        <v>76</v>
      </c>
      <c r="AT23" s="5" t="str">
        <f>HYPERLINK("http://catalog.hathitrust.org/Record/003332488","HathiTrust Record")</f>
        <v>HathiTrust Record</v>
      </c>
      <c r="AU23" s="5" t="str">
        <f>HYPERLINK("https://creighton-primo.hosted.exlibrisgroup.com/primo-explore/search?tab=default_tab&amp;search_scope=EVERYTHING&amp;vid=01CRU&amp;lang=en_US&amp;offset=0&amp;query=any,contains,991001406009702656","Catalog Record")</f>
        <v>Catalog Record</v>
      </c>
      <c r="AV23" s="5" t="str">
        <f>HYPERLINK("http://www.worldcat.org/oclc/39914150","WorldCat Record")</f>
        <v>WorldCat Record</v>
      </c>
      <c r="AW23" s="2" t="s">
        <v>363</v>
      </c>
      <c r="AX23" s="2" t="s">
        <v>364</v>
      </c>
      <c r="AY23" s="2" t="s">
        <v>365</v>
      </c>
      <c r="AZ23" s="2" t="s">
        <v>365</v>
      </c>
      <c r="BA23" s="2" t="s">
        <v>366</v>
      </c>
      <c r="BB23" s="2" t="s">
        <v>81</v>
      </c>
      <c r="BD23" s="2" t="s">
        <v>367</v>
      </c>
      <c r="BE23" s="2" t="s">
        <v>368</v>
      </c>
      <c r="BF23" s="2" t="s">
        <v>369</v>
      </c>
    </row>
    <row r="24" spans="1:58" ht="42" customHeight="1">
      <c r="A24" s="1"/>
      <c r="B24" s="1" t="s">
        <v>58</v>
      </c>
      <c r="C24" s="1" t="s">
        <v>59</v>
      </c>
      <c r="D24" s="1" t="s">
        <v>370</v>
      </c>
      <c r="E24" s="1" t="s">
        <v>371</v>
      </c>
      <c r="F24" s="1" t="s">
        <v>356</v>
      </c>
      <c r="G24" s="2" t="s">
        <v>372</v>
      </c>
      <c r="H24" s="2" t="s">
        <v>76</v>
      </c>
      <c r="I24" s="2" t="s">
        <v>64</v>
      </c>
      <c r="J24" s="2" t="s">
        <v>63</v>
      </c>
      <c r="K24" s="2" t="s">
        <v>63</v>
      </c>
      <c r="L24" s="2" t="s">
        <v>65</v>
      </c>
      <c r="N24" s="1" t="s">
        <v>373</v>
      </c>
      <c r="O24" s="2" t="s">
        <v>374</v>
      </c>
      <c r="P24" s="1" t="s">
        <v>375</v>
      </c>
      <c r="Q24" s="2" t="s">
        <v>70</v>
      </c>
      <c r="R24" s="2" t="s">
        <v>360</v>
      </c>
      <c r="T24" s="2" t="s">
        <v>73</v>
      </c>
      <c r="U24" s="3">
        <v>7</v>
      </c>
      <c r="V24" s="3">
        <v>8</v>
      </c>
      <c r="W24" s="4" t="s">
        <v>203</v>
      </c>
      <c r="X24" s="4" t="s">
        <v>203</v>
      </c>
      <c r="Y24" s="4" t="s">
        <v>376</v>
      </c>
      <c r="Z24" s="4" t="s">
        <v>376</v>
      </c>
      <c r="AA24" s="3">
        <v>444</v>
      </c>
      <c r="AB24" s="3">
        <v>340</v>
      </c>
      <c r="AC24" s="3">
        <v>343</v>
      </c>
      <c r="AD24" s="3">
        <v>2</v>
      </c>
      <c r="AE24" s="3">
        <v>2</v>
      </c>
      <c r="AF24" s="3">
        <v>11</v>
      </c>
      <c r="AG24" s="3">
        <v>11</v>
      </c>
      <c r="AH24" s="3">
        <v>3</v>
      </c>
      <c r="AI24" s="3">
        <v>3</v>
      </c>
      <c r="AJ24" s="3">
        <v>4</v>
      </c>
      <c r="AK24" s="3">
        <v>4</v>
      </c>
      <c r="AL24" s="3">
        <v>6</v>
      </c>
      <c r="AM24" s="3">
        <v>6</v>
      </c>
      <c r="AN24" s="3">
        <v>1</v>
      </c>
      <c r="AO24" s="3">
        <v>1</v>
      </c>
      <c r="AP24" s="3">
        <v>0</v>
      </c>
      <c r="AQ24" s="3">
        <v>0</v>
      </c>
      <c r="AR24" s="2" t="s">
        <v>63</v>
      </c>
      <c r="AS24" s="2" t="s">
        <v>76</v>
      </c>
      <c r="AT24" s="5" t="str">
        <f>HYPERLINK("http://catalog.hathitrust.org/Record/004315295","HathiTrust Record")</f>
        <v>HathiTrust Record</v>
      </c>
      <c r="AU24" s="5" t="str">
        <f>HYPERLINK("https://creighton-primo.hosted.exlibrisgroup.com/primo-explore/search?tab=default_tab&amp;search_scope=EVERYTHING&amp;vid=01CRU&amp;lang=en_US&amp;offset=0&amp;query=any,contains,991000352339702656","Catalog Record")</f>
        <v>Catalog Record</v>
      </c>
      <c r="AV24" s="5" t="str">
        <f>HYPERLINK("http://www.worldcat.org/oclc/50035668","WorldCat Record")</f>
        <v>WorldCat Record</v>
      </c>
      <c r="AW24" s="2" t="s">
        <v>377</v>
      </c>
      <c r="AX24" s="2" t="s">
        <v>378</v>
      </c>
      <c r="AY24" s="2" t="s">
        <v>379</v>
      </c>
      <c r="AZ24" s="2" t="s">
        <v>379</v>
      </c>
      <c r="BA24" s="2" t="s">
        <v>380</v>
      </c>
      <c r="BB24" s="2" t="s">
        <v>81</v>
      </c>
      <c r="BD24" s="2" t="s">
        <v>381</v>
      </c>
      <c r="BE24" s="2" t="s">
        <v>382</v>
      </c>
      <c r="BF24" s="2" t="s">
        <v>383</v>
      </c>
    </row>
    <row r="25" spans="1:58" ht="42" customHeight="1">
      <c r="A25" s="1"/>
      <c r="B25" s="1" t="s">
        <v>58</v>
      </c>
      <c r="C25" s="1" t="s">
        <v>59</v>
      </c>
      <c r="D25" s="1" t="s">
        <v>370</v>
      </c>
      <c r="E25" s="1" t="s">
        <v>371</v>
      </c>
      <c r="F25" s="1" t="s">
        <v>356</v>
      </c>
      <c r="G25" s="2" t="s">
        <v>384</v>
      </c>
      <c r="H25" s="2" t="s">
        <v>76</v>
      </c>
      <c r="I25" s="2" t="s">
        <v>64</v>
      </c>
      <c r="J25" s="2" t="s">
        <v>63</v>
      </c>
      <c r="K25" s="2" t="s">
        <v>63</v>
      </c>
      <c r="L25" s="2" t="s">
        <v>65</v>
      </c>
      <c r="N25" s="1" t="s">
        <v>373</v>
      </c>
      <c r="O25" s="2" t="s">
        <v>374</v>
      </c>
      <c r="P25" s="1" t="s">
        <v>375</v>
      </c>
      <c r="Q25" s="2" t="s">
        <v>70</v>
      </c>
      <c r="R25" s="2" t="s">
        <v>360</v>
      </c>
      <c r="T25" s="2" t="s">
        <v>73</v>
      </c>
      <c r="U25" s="3">
        <v>1</v>
      </c>
      <c r="V25" s="3">
        <v>8</v>
      </c>
      <c r="W25" s="4" t="s">
        <v>385</v>
      </c>
      <c r="X25" s="4" t="s">
        <v>203</v>
      </c>
      <c r="Y25" s="4" t="s">
        <v>376</v>
      </c>
      <c r="Z25" s="4" t="s">
        <v>376</v>
      </c>
      <c r="AA25" s="3">
        <v>444</v>
      </c>
      <c r="AB25" s="3">
        <v>340</v>
      </c>
      <c r="AC25" s="3">
        <v>343</v>
      </c>
      <c r="AD25" s="3">
        <v>2</v>
      </c>
      <c r="AE25" s="3">
        <v>2</v>
      </c>
      <c r="AF25" s="3">
        <v>11</v>
      </c>
      <c r="AG25" s="3">
        <v>11</v>
      </c>
      <c r="AH25" s="3">
        <v>3</v>
      </c>
      <c r="AI25" s="3">
        <v>3</v>
      </c>
      <c r="AJ25" s="3">
        <v>4</v>
      </c>
      <c r="AK25" s="3">
        <v>4</v>
      </c>
      <c r="AL25" s="3">
        <v>6</v>
      </c>
      <c r="AM25" s="3">
        <v>6</v>
      </c>
      <c r="AN25" s="3">
        <v>1</v>
      </c>
      <c r="AO25" s="3">
        <v>1</v>
      </c>
      <c r="AP25" s="3">
        <v>0</v>
      </c>
      <c r="AQ25" s="3">
        <v>0</v>
      </c>
      <c r="AR25" s="2" t="s">
        <v>63</v>
      </c>
      <c r="AS25" s="2" t="s">
        <v>76</v>
      </c>
      <c r="AT25" s="5" t="str">
        <f>HYPERLINK("http://catalog.hathitrust.org/Record/004315295","HathiTrust Record")</f>
        <v>HathiTrust Record</v>
      </c>
      <c r="AU25" s="5" t="str">
        <f>HYPERLINK("https://creighton-primo.hosted.exlibrisgroup.com/primo-explore/search?tab=default_tab&amp;search_scope=EVERYTHING&amp;vid=01CRU&amp;lang=en_US&amp;offset=0&amp;query=any,contains,991000352339702656","Catalog Record")</f>
        <v>Catalog Record</v>
      </c>
      <c r="AV25" s="5" t="str">
        <f>HYPERLINK("http://www.worldcat.org/oclc/50035668","WorldCat Record")</f>
        <v>WorldCat Record</v>
      </c>
      <c r="AW25" s="2" t="s">
        <v>377</v>
      </c>
      <c r="AX25" s="2" t="s">
        <v>378</v>
      </c>
      <c r="AY25" s="2" t="s">
        <v>379</v>
      </c>
      <c r="AZ25" s="2" t="s">
        <v>379</v>
      </c>
      <c r="BA25" s="2" t="s">
        <v>380</v>
      </c>
      <c r="BB25" s="2" t="s">
        <v>81</v>
      </c>
      <c r="BD25" s="2" t="s">
        <v>381</v>
      </c>
      <c r="BE25" s="2" t="s">
        <v>386</v>
      </c>
      <c r="BF25" s="2" t="s">
        <v>387</v>
      </c>
    </row>
    <row r="26" spans="1:58" ht="42" customHeight="1">
      <c r="A26" s="1"/>
      <c r="B26" s="1" t="s">
        <v>58</v>
      </c>
      <c r="C26" s="1" t="s">
        <v>59</v>
      </c>
      <c r="D26" s="1" t="s">
        <v>388</v>
      </c>
      <c r="E26" s="1" t="s">
        <v>389</v>
      </c>
      <c r="F26" s="1" t="s">
        <v>356</v>
      </c>
      <c r="G26" s="2" t="s">
        <v>384</v>
      </c>
      <c r="H26" s="2" t="s">
        <v>76</v>
      </c>
      <c r="I26" s="2" t="s">
        <v>64</v>
      </c>
      <c r="J26" s="2" t="s">
        <v>63</v>
      </c>
      <c r="K26" s="2" t="s">
        <v>63</v>
      </c>
      <c r="L26" s="2" t="s">
        <v>65</v>
      </c>
      <c r="N26" s="1" t="s">
        <v>390</v>
      </c>
      <c r="O26" s="2" t="s">
        <v>391</v>
      </c>
      <c r="P26" s="1" t="s">
        <v>392</v>
      </c>
      <c r="Q26" s="2" t="s">
        <v>70</v>
      </c>
      <c r="R26" s="2" t="s">
        <v>360</v>
      </c>
      <c r="T26" s="2" t="s">
        <v>73</v>
      </c>
      <c r="U26" s="3">
        <v>8</v>
      </c>
      <c r="V26" s="3">
        <v>17</v>
      </c>
      <c r="W26" s="4" t="s">
        <v>393</v>
      </c>
      <c r="X26" s="4" t="s">
        <v>393</v>
      </c>
      <c r="Y26" s="4" t="s">
        <v>394</v>
      </c>
      <c r="Z26" s="4" t="s">
        <v>394</v>
      </c>
      <c r="AA26" s="3">
        <v>447</v>
      </c>
      <c r="AB26" s="3">
        <v>326</v>
      </c>
      <c r="AC26" s="3">
        <v>326</v>
      </c>
      <c r="AD26" s="3">
        <v>3</v>
      </c>
      <c r="AE26" s="3">
        <v>3</v>
      </c>
      <c r="AF26" s="3">
        <v>12</v>
      </c>
      <c r="AG26" s="3">
        <v>12</v>
      </c>
      <c r="AH26" s="3">
        <v>2</v>
      </c>
      <c r="AI26" s="3">
        <v>2</v>
      </c>
      <c r="AJ26" s="3">
        <v>5</v>
      </c>
      <c r="AK26" s="3">
        <v>5</v>
      </c>
      <c r="AL26" s="3">
        <v>6</v>
      </c>
      <c r="AM26" s="3">
        <v>6</v>
      </c>
      <c r="AN26" s="3">
        <v>2</v>
      </c>
      <c r="AO26" s="3">
        <v>2</v>
      </c>
      <c r="AP26" s="3">
        <v>0</v>
      </c>
      <c r="AQ26" s="3">
        <v>0</v>
      </c>
      <c r="AR26" s="2" t="s">
        <v>63</v>
      </c>
      <c r="AS26" s="2" t="s">
        <v>63</v>
      </c>
      <c r="AU26" s="5" t="str">
        <f>HYPERLINK("https://creighton-primo.hosted.exlibrisgroup.com/primo-explore/search?tab=default_tab&amp;search_scope=EVERYTHING&amp;vid=01CRU&amp;lang=en_US&amp;offset=0&amp;query=any,contains,991000648889702656","Catalog Record")</f>
        <v>Catalog Record</v>
      </c>
      <c r="AV26" s="5" t="str">
        <f>HYPERLINK("http://www.worldcat.org/oclc/63195972","WorldCat Record")</f>
        <v>WorldCat Record</v>
      </c>
      <c r="AW26" s="2" t="s">
        <v>395</v>
      </c>
      <c r="AX26" s="2" t="s">
        <v>396</v>
      </c>
      <c r="AY26" s="2" t="s">
        <v>397</v>
      </c>
      <c r="AZ26" s="2" t="s">
        <v>397</v>
      </c>
      <c r="BA26" s="2" t="s">
        <v>398</v>
      </c>
      <c r="BB26" s="2" t="s">
        <v>81</v>
      </c>
      <c r="BD26" s="2" t="s">
        <v>399</v>
      </c>
      <c r="BE26" s="2" t="s">
        <v>400</v>
      </c>
      <c r="BF26" s="2" t="s">
        <v>401</v>
      </c>
    </row>
    <row r="27" spans="1:58" ht="42" customHeight="1">
      <c r="A27" s="1"/>
      <c r="B27" s="1" t="s">
        <v>58</v>
      </c>
      <c r="C27" s="1" t="s">
        <v>59</v>
      </c>
      <c r="D27" s="1" t="s">
        <v>388</v>
      </c>
      <c r="E27" s="1" t="s">
        <v>389</v>
      </c>
      <c r="F27" s="1" t="s">
        <v>356</v>
      </c>
      <c r="G27" s="2" t="s">
        <v>372</v>
      </c>
      <c r="H27" s="2" t="s">
        <v>76</v>
      </c>
      <c r="I27" s="2" t="s">
        <v>64</v>
      </c>
      <c r="J27" s="2" t="s">
        <v>63</v>
      </c>
      <c r="K27" s="2" t="s">
        <v>63</v>
      </c>
      <c r="L27" s="2" t="s">
        <v>65</v>
      </c>
      <c r="N27" s="1" t="s">
        <v>390</v>
      </c>
      <c r="O27" s="2" t="s">
        <v>391</v>
      </c>
      <c r="P27" s="1" t="s">
        <v>392</v>
      </c>
      <c r="Q27" s="2" t="s">
        <v>70</v>
      </c>
      <c r="R27" s="2" t="s">
        <v>360</v>
      </c>
      <c r="T27" s="2" t="s">
        <v>73</v>
      </c>
      <c r="U27" s="3">
        <v>9</v>
      </c>
      <c r="V27" s="3">
        <v>17</v>
      </c>
      <c r="W27" s="4" t="s">
        <v>393</v>
      </c>
      <c r="X27" s="4" t="s">
        <v>393</v>
      </c>
      <c r="Y27" s="4" t="s">
        <v>394</v>
      </c>
      <c r="Z27" s="4" t="s">
        <v>394</v>
      </c>
      <c r="AA27" s="3">
        <v>447</v>
      </c>
      <c r="AB27" s="3">
        <v>326</v>
      </c>
      <c r="AC27" s="3">
        <v>326</v>
      </c>
      <c r="AD27" s="3">
        <v>3</v>
      </c>
      <c r="AE27" s="3">
        <v>3</v>
      </c>
      <c r="AF27" s="3">
        <v>12</v>
      </c>
      <c r="AG27" s="3">
        <v>12</v>
      </c>
      <c r="AH27" s="3">
        <v>2</v>
      </c>
      <c r="AI27" s="3">
        <v>2</v>
      </c>
      <c r="AJ27" s="3">
        <v>5</v>
      </c>
      <c r="AK27" s="3">
        <v>5</v>
      </c>
      <c r="AL27" s="3">
        <v>6</v>
      </c>
      <c r="AM27" s="3">
        <v>6</v>
      </c>
      <c r="AN27" s="3">
        <v>2</v>
      </c>
      <c r="AO27" s="3">
        <v>2</v>
      </c>
      <c r="AP27" s="3">
        <v>0</v>
      </c>
      <c r="AQ27" s="3">
        <v>0</v>
      </c>
      <c r="AR27" s="2" t="s">
        <v>63</v>
      </c>
      <c r="AS27" s="2" t="s">
        <v>63</v>
      </c>
      <c r="AU27" s="5" t="str">
        <f>HYPERLINK("https://creighton-primo.hosted.exlibrisgroup.com/primo-explore/search?tab=default_tab&amp;search_scope=EVERYTHING&amp;vid=01CRU&amp;lang=en_US&amp;offset=0&amp;query=any,contains,991000648889702656","Catalog Record")</f>
        <v>Catalog Record</v>
      </c>
      <c r="AV27" s="5" t="str">
        <f>HYPERLINK("http://www.worldcat.org/oclc/63195972","WorldCat Record")</f>
        <v>WorldCat Record</v>
      </c>
      <c r="AW27" s="2" t="s">
        <v>395</v>
      </c>
      <c r="AX27" s="2" t="s">
        <v>396</v>
      </c>
      <c r="AY27" s="2" t="s">
        <v>397</v>
      </c>
      <c r="AZ27" s="2" t="s">
        <v>397</v>
      </c>
      <c r="BA27" s="2" t="s">
        <v>398</v>
      </c>
      <c r="BB27" s="2" t="s">
        <v>81</v>
      </c>
      <c r="BD27" s="2" t="s">
        <v>399</v>
      </c>
      <c r="BE27" s="2" t="s">
        <v>402</v>
      </c>
      <c r="BF27" s="2" t="s">
        <v>403</v>
      </c>
    </row>
    <row r="28" spans="1:58" ht="42" customHeight="1">
      <c r="A28" s="1"/>
      <c r="B28" s="1" t="s">
        <v>58</v>
      </c>
      <c r="C28" s="1" t="s">
        <v>59</v>
      </c>
      <c r="D28" s="1" t="s">
        <v>404</v>
      </c>
      <c r="E28" s="1" t="s">
        <v>405</v>
      </c>
      <c r="F28" s="1" t="s">
        <v>406</v>
      </c>
      <c r="H28" s="2" t="s">
        <v>63</v>
      </c>
      <c r="I28" s="2" t="s">
        <v>64</v>
      </c>
      <c r="J28" s="2" t="s">
        <v>63</v>
      </c>
      <c r="K28" s="2" t="s">
        <v>63</v>
      </c>
      <c r="L28" s="2" t="s">
        <v>65</v>
      </c>
      <c r="N28" s="1" t="s">
        <v>407</v>
      </c>
      <c r="O28" s="2" t="s">
        <v>359</v>
      </c>
      <c r="Q28" s="2" t="s">
        <v>70</v>
      </c>
      <c r="R28" s="2" t="s">
        <v>408</v>
      </c>
      <c r="T28" s="2" t="s">
        <v>73</v>
      </c>
      <c r="U28" s="3">
        <v>5</v>
      </c>
      <c r="V28" s="3">
        <v>5</v>
      </c>
      <c r="W28" s="4" t="s">
        <v>409</v>
      </c>
      <c r="X28" s="4" t="s">
        <v>409</v>
      </c>
      <c r="Y28" s="4" t="s">
        <v>410</v>
      </c>
      <c r="Z28" s="4" t="s">
        <v>410</v>
      </c>
      <c r="AA28" s="3">
        <v>150</v>
      </c>
      <c r="AB28" s="3">
        <v>97</v>
      </c>
      <c r="AC28" s="3">
        <v>127</v>
      </c>
      <c r="AD28" s="3">
        <v>1</v>
      </c>
      <c r="AE28" s="3">
        <v>1</v>
      </c>
      <c r="AF28" s="3">
        <v>2</v>
      </c>
      <c r="AG28" s="3">
        <v>4</v>
      </c>
      <c r="AH28" s="3">
        <v>0</v>
      </c>
      <c r="AI28" s="3">
        <v>1</v>
      </c>
      <c r="AJ28" s="3">
        <v>1</v>
      </c>
      <c r="AK28" s="3">
        <v>1</v>
      </c>
      <c r="AL28" s="3">
        <v>2</v>
      </c>
      <c r="AM28" s="3">
        <v>4</v>
      </c>
      <c r="AN28" s="3">
        <v>0</v>
      </c>
      <c r="AO28" s="3">
        <v>0</v>
      </c>
      <c r="AP28" s="3">
        <v>0</v>
      </c>
      <c r="AQ28" s="3">
        <v>0</v>
      </c>
      <c r="AR28" s="2" t="s">
        <v>63</v>
      </c>
      <c r="AS28" s="2" t="s">
        <v>63</v>
      </c>
      <c r="AU28" s="5" t="str">
        <f>HYPERLINK("https://creighton-primo.hosted.exlibrisgroup.com/primo-explore/search?tab=default_tab&amp;search_scope=EVERYTHING&amp;vid=01CRU&amp;lang=en_US&amp;offset=0&amp;query=any,contains,991000277369702656","Catalog Record")</f>
        <v>Catalog Record</v>
      </c>
      <c r="AV28" s="5" t="str">
        <f>HYPERLINK("http://www.worldcat.org/oclc/41278395","WorldCat Record")</f>
        <v>WorldCat Record</v>
      </c>
      <c r="AW28" s="2" t="s">
        <v>411</v>
      </c>
      <c r="AX28" s="2" t="s">
        <v>412</v>
      </c>
      <c r="AY28" s="2" t="s">
        <v>413</v>
      </c>
      <c r="AZ28" s="2" t="s">
        <v>413</v>
      </c>
      <c r="BA28" s="2" t="s">
        <v>414</v>
      </c>
      <c r="BB28" s="2" t="s">
        <v>81</v>
      </c>
      <c r="BD28" s="2" t="s">
        <v>415</v>
      </c>
      <c r="BE28" s="2" t="s">
        <v>416</v>
      </c>
      <c r="BF28" s="2" t="s">
        <v>417</v>
      </c>
    </row>
    <row r="29" spans="1:58" ht="42" customHeight="1">
      <c r="A29" s="1"/>
      <c r="B29" s="1" t="s">
        <v>58</v>
      </c>
      <c r="C29" s="1" t="s">
        <v>59</v>
      </c>
      <c r="D29" s="1" t="s">
        <v>418</v>
      </c>
      <c r="E29" s="1" t="s">
        <v>419</v>
      </c>
      <c r="F29" s="1" t="s">
        <v>420</v>
      </c>
      <c r="H29" s="2" t="s">
        <v>63</v>
      </c>
      <c r="I29" s="2" t="s">
        <v>64</v>
      </c>
      <c r="J29" s="2" t="s">
        <v>63</v>
      </c>
      <c r="K29" s="2" t="s">
        <v>63</v>
      </c>
      <c r="L29" s="2" t="s">
        <v>65</v>
      </c>
      <c r="N29" s="1" t="s">
        <v>421</v>
      </c>
      <c r="O29" s="2" t="s">
        <v>90</v>
      </c>
      <c r="P29" s="1" t="s">
        <v>245</v>
      </c>
      <c r="Q29" s="2" t="s">
        <v>70</v>
      </c>
      <c r="R29" s="2" t="s">
        <v>422</v>
      </c>
      <c r="T29" s="2" t="s">
        <v>73</v>
      </c>
      <c r="U29" s="3">
        <v>38</v>
      </c>
      <c r="V29" s="3">
        <v>38</v>
      </c>
      <c r="W29" s="4" t="s">
        <v>123</v>
      </c>
      <c r="X29" s="4" t="s">
        <v>123</v>
      </c>
      <c r="Y29" s="4" t="s">
        <v>423</v>
      </c>
      <c r="Z29" s="4" t="s">
        <v>423</v>
      </c>
      <c r="AA29" s="3">
        <v>211</v>
      </c>
      <c r="AB29" s="3">
        <v>145</v>
      </c>
      <c r="AC29" s="3">
        <v>400</v>
      </c>
      <c r="AD29" s="3">
        <v>2</v>
      </c>
      <c r="AE29" s="3">
        <v>3</v>
      </c>
      <c r="AF29" s="3">
        <v>1</v>
      </c>
      <c r="AG29" s="3">
        <v>12</v>
      </c>
      <c r="AH29" s="3">
        <v>0</v>
      </c>
      <c r="AI29" s="3">
        <v>5</v>
      </c>
      <c r="AJ29" s="3">
        <v>0</v>
      </c>
      <c r="AK29" s="3">
        <v>1</v>
      </c>
      <c r="AL29" s="3">
        <v>0</v>
      </c>
      <c r="AM29" s="3">
        <v>8</v>
      </c>
      <c r="AN29" s="3">
        <v>1</v>
      </c>
      <c r="AO29" s="3">
        <v>1</v>
      </c>
      <c r="AP29" s="3">
        <v>0</v>
      </c>
      <c r="AQ29" s="3">
        <v>0</v>
      </c>
      <c r="AR29" s="2" t="s">
        <v>63</v>
      </c>
      <c r="AS29" s="2" t="s">
        <v>76</v>
      </c>
      <c r="AT29" s="5" t="str">
        <f>HYPERLINK("http://catalog.hathitrust.org/Record/002453595","HathiTrust Record")</f>
        <v>HathiTrust Record</v>
      </c>
      <c r="AU29" s="5" t="str">
        <f>HYPERLINK("https://creighton-primo.hosted.exlibrisgroup.com/primo-explore/search?tab=default_tab&amp;search_scope=EVERYTHING&amp;vid=01CRU&amp;lang=en_US&amp;offset=0&amp;query=any,contains,991000827899702656","Catalog Record")</f>
        <v>Catalog Record</v>
      </c>
      <c r="AV29" s="5" t="str">
        <f>HYPERLINK("http://www.worldcat.org/oclc/23216617","WorldCat Record")</f>
        <v>WorldCat Record</v>
      </c>
      <c r="AW29" s="2" t="s">
        <v>424</v>
      </c>
      <c r="AX29" s="2" t="s">
        <v>425</v>
      </c>
      <c r="AY29" s="2" t="s">
        <v>426</v>
      </c>
      <c r="AZ29" s="2" t="s">
        <v>426</v>
      </c>
      <c r="BA29" s="2" t="s">
        <v>427</v>
      </c>
      <c r="BB29" s="2" t="s">
        <v>81</v>
      </c>
      <c r="BD29" s="2" t="s">
        <v>428</v>
      </c>
      <c r="BE29" s="2" t="s">
        <v>429</v>
      </c>
      <c r="BF29" s="2" t="s">
        <v>430</v>
      </c>
    </row>
    <row r="30" spans="1:58" ht="42" customHeight="1">
      <c r="A30" s="1"/>
      <c r="B30" s="1" t="s">
        <v>58</v>
      </c>
      <c r="C30" s="1" t="s">
        <v>59</v>
      </c>
      <c r="D30" s="1" t="s">
        <v>431</v>
      </c>
      <c r="E30" s="1" t="s">
        <v>432</v>
      </c>
      <c r="F30" s="1" t="s">
        <v>433</v>
      </c>
      <c r="H30" s="2" t="s">
        <v>63</v>
      </c>
      <c r="I30" s="2" t="s">
        <v>64</v>
      </c>
      <c r="J30" s="2" t="s">
        <v>63</v>
      </c>
      <c r="K30" s="2" t="s">
        <v>63</v>
      </c>
      <c r="L30" s="2" t="s">
        <v>65</v>
      </c>
      <c r="N30" s="1" t="s">
        <v>434</v>
      </c>
      <c r="O30" s="2" t="s">
        <v>435</v>
      </c>
      <c r="P30" s="1" t="s">
        <v>69</v>
      </c>
      <c r="Q30" s="2" t="s">
        <v>70</v>
      </c>
      <c r="R30" s="2" t="s">
        <v>107</v>
      </c>
      <c r="T30" s="2" t="s">
        <v>73</v>
      </c>
      <c r="U30" s="3">
        <v>48</v>
      </c>
      <c r="V30" s="3">
        <v>48</v>
      </c>
      <c r="W30" s="4" t="s">
        <v>436</v>
      </c>
      <c r="X30" s="4" t="s">
        <v>436</v>
      </c>
      <c r="Y30" s="4" t="s">
        <v>437</v>
      </c>
      <c r="Z30" s="4" t="s">
        <v>437</v>
      </c>
      <c r="AA30" s="3">
        <v>443</v>
      </c>
      <c r="AB30" s="3">
        <v>284</v>
      </c>
      <c r="AC30" s="3">
        <v>293</v>
      </c>
      <c r="AD30" s="3">
        <v>3</v>
      </c>
      <c r="AE30" s="3">
        <v>3</v>
      </c>
      <c r="AF30" s="3">
        <v>7</v>
      </c>
      <c r="AG30" s="3">
        <v>7</v>
      </c>
      <c r="AH30" s="3">
        <v>3</v>
      </c>
      <c r="AI30" s="3">
        <v>3</v>
      </c>
      <c r="AJ30" s="3">
        <v>1</v>
      </c>
      <c r="AK30" s="3">
        <v>1</v>
      </c>
      <c r="AL30" s="3">
        <v>3</v>
      </c>
      <c r="AM30" s="3">
        <v>3</v>
      </c>
      <c r="AN30" s="3">
        <v>2</v>
      </c>
      <c r="AO30" s="3">
        <v>2</v>
      </c>
      <c r="AP30" s="3">
        <v>0</v>
      </c>
      <c r="AQ30" s="3">
        <v>0</v>
      </c>
      <c r="AR30" s="2" t="s">
        <v>63</v>
      </c>
      <c r="AS30" s="2" t="s">
        <v>76</v>
      </c>
      <c r="AT30" s="5" t="str">
        <f>HYPERLINK("http://catalog.hathitrust.org/Record/001815494","HathiTrust Record")</f>
        <v>HathiTrust Record</v>
      </c>
      <c r="AU30" s="5" t="str">
        <f>HYPERLINK("https://creighton-primo.hosted.exlibrisgroup.com/primo-explore/search?tab=default_tab&amp;search_scope=EVERYTHING&amp;vid=01CRU&amp;lang=en_US&amp;offset=0&amp;query=any,contains,991001386789702656","Catalog Record")</f>
        <v>Catalog Record</v>
      </c>
      <c r="AV30" s="5" t="str">
        <f>HYPERLINK("http://www.worldcat.org/oclc/19324734","WorldCat Record")</f>
        <v>WorldCat Record</v>
      </c>
      <c r="AW30" s="2" t="s">
        <v>438</v>
      </c>
      <c r="AX30" s="2" t="s">
        <v>439</v>
      </c>
      <c r="AY30" s="2" t="s">
        <v>440</v>
      </c>
      <c r="AZ30" s="2" t="s">
        <v>440</v>
      </c>
      <c r="BA30" s="2" t="s">
        <v>441</v>
      </c>
      <c r="BB30" s="2" t="s">
        <v>81</v>
      </c>
      <c r="BD30" s="2" t="s">
        <v>442</v>
      </c>
      <c r="BE30" s="2" t="s">
        <v>443</v>
      </c>
      <c r="BF30" s="2" t="s">
        <v>444</v>
      </c>
    </row>
    <row r="31" spans="1:58" ht="42" customHeight="1">
      <c r="A31" s="1"/>
      <c r="B31" s="1" t="s">
        <v>58</v>
      </c>
      <c r="C31" s="1" t="s">
        <v>59</v>
      </c>
      <c r="D31" s="1" t="s">
        <v>445</v>
      </c>
      <c r="E31" s="1" t="s">
        <v>446</v>
      </c>
      <c r="F31" s="1" t="s">
        <v>447</v>
      </c>
      <c r="H31" s="2" t="s">
        <v>63</v>
      </c>
      <c r="I31" s="2" t="s">
        <v>64</v>
      </c>
      <c r="J31" s="2" t="s">
        <v>63</v>
      </c>
      <c r="K31" s="2" t="s">
        <v>63</v>
      </c>
      <c r="L31" s="2" t="s">
        <v>65</v>
      </c>
      <c r="N31" s="1" t="s">
        <v>448</v>
      </c>
      <c r="O31" s="2" t="s">
        <v>449</v>
      </c>
      <c r="Q31" s="2" t="s">
        <v>70</v>
      </c>
      <c r="R31" s="2" t="s">
        <v>107</v>
      </c>
      <c r="T31" s="2" t="s">
        <v>73</v>
      </c>
      <c r="U31" s="3">
        <v>4</v>
      </c>
      <c r="V31" s="3">
        <v>4</v>
      </c>
      <c r="W31" s="4" t="s">
        <v>450</v>
      </c>
      <c r="X31" s="4" t="s">
        <v>450</v>
      </c>
      <c r="Y31" s="4" t="s">
        <v>109</v>
      </c>
      <c r="Z31" s="4" t="s">
        <v>109</v>
      </c>
      <c r="AA31" s="3">
        <v>26</v>
      </c>
      <c r="AB31" s="3">
        <v>21</v>
      </c>
      <c r="AC31" s="3">
        <v>21</v>
      </c>
      <c r="AD31" s="3">
        <v>1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2" t="s">
        <v>63</v>
      </c>
      <c r="AS31" s="2" t="s">
        <v>63</v>
      </c>
      <c r="AU31" s="5" t="str">
        <f>HYPERLINK("https://creighton-primo.hosted.exlibrisgroup.com/primo-explore/search?tab=default_tab&amp;search_scope=EVERYTHING&amp;vid=01CRU&amp;lang=en_US&amp;offset=0&amp;query=any,contains,991000993399702656","Catalog Record")</f>
        <v>Catalog Record</v>
      </c>
      <c r="AV31" s="5" t="str">
        <f>HYPERLINK("http://www.worldcat.org/oclc/13842171","WorldCat Record")</f>
        <v>WorldCat Record</v>
      </c>
      <c r="AW31" s="2" t="s">
        <v>451</v>
      </c>
      <c r="AX31" s="2" t="s">
        <v>452</v>
      </c>
      <c r="AY31" s="2" t="s">
        <v>453</v>
      </c>
      <c r="AZ31" s="2" t="s">
        <v>453</v>
      </c>
      <c r="BA31" s="2" t="s">
        <v>454</v>
      </c>
      <c r="BB31" s="2" t="s">
        <v>81</v>
      </c>
      <c r="BE31" s="2" t="s">
        <v>455</v>
      </c>
      <c r="BF31" s="2" t="s">
        <v>456</v>
      </c>
    </row>
    <row r="32" spans="1:58" ht="42" customHeight="1">
      <c r="A32" s="1"/>
      <c r="B32" s="1" t="s">
        <v>58</v>
      </c>
      <c r="C32" s="1" t="s">
        <v>59</v>
      </c>
      <c r="D32" s="1" t="s">
        <v>457</v>
      </c>
      <c r="E32" s="1" t="s">
        <v>458</v>
      </c>
      <c r="F32" s="1" t="s">
        <v>459</v>
      </c>
      <c r="H32" s="2" t="s">
        <v>63</v>
      </c>
      <c r="I32" s="2" t="s">
        <v>64</v>
      </c>
      <c r="J32" s="2" t="s">
        <v>63</v>
      </c>
      <c r="K32" s="2" t="s">
        <v>63</v>
      </c>
      <c r="L32" s="2" t="s">
        <v>65</v>
      </c>
      <c r="M32" s="1" t="s">
        <v>460</v>
      </c>
      <c r="N32" s="1" t="s">
        <v>461</v>
      </c>
      <c r="O32" s="2" t="s">
        <v>121</v>
      </c>
      <c r="P32" s="1" t="s">
        <v>231</v>
      </c>
      <c r="Q32" s="2" t="s">
        <v>70</v>
      </c>
      <c r="R32" s="2" t="s">
        <v>107</v>
      </c>
      <c r="T32" s="2" t="s">
        <v>73</v>
      </c>
      <c r="U32" s="3">
        <v>5</v>
      </c>
      <c r="V32" s="3">
        <v>5</v>
      </c>
      <c r="W32" s="4" t="s">
        <v>462</v>
      </c>
      <c r="X32" s="4" t="s">
        <v>462</v>
      </c>
      <c r="Y32" s="4" t="s">
        <v>109</v>
      </c>
      <c r="Z32" s="4" t="s">
        <v>109</v>
      </c>
      <c r="AA32" s="3">
        <v>162</v>
      </c>
      <c r="AB32" s="3">
        <v>130</v>
      </c>
      <c r="AC32" s="3">
        <v>221</v>
      </c>
      <c r="AD32" s="3">
        <v>1</v>
      </c>
      <c r="AE32" s="3">
        <v>1</v>
      </c>
      <c r="AF32" s="3">
        <v>2</v>
      </c>
      <c r="AG32" s="3">
        <v>5</v>
      </c>
      <c r="AH32" s="3">
        <v>1</v>
      </c>
      <c r="AI32" s="3">
        <v>3</v>
      </c>
      <c r="AJ32" s="3">
        <v>0</v>
      </c>
      <c r="AK32" s="3">
        <v>0</v>
      </c>
      <c r="AL32" s="3">
        <v>1</v>
      </c>
      <c r="AM32" s="3">
        <v>2</v>
      </c>
      <c r="AN32" s="3">
        <v>0</v>
      </c>
      <c r="AO32" s="3">
        <v>0</v>
      </c>
      <c r="AP32" s="3">
        <v>0</v>
      </c>
      <c r="AQ32" s="3">
        <v>0</v>
      </c>
      <c r="AR32" s="2" t="s">
        <v>63</v>
      </c>
      <c r="AS32" s="2" t="s">
        <v>63</v>
      </c>
      <c r="AU32" s="5" t="str">
        <f>HYPERLINK("https://creighton-primo.hosted.exlibrisgroup.com/primo-explore/search?tab=default_tab&amp;search_scope=EVERYTHING&amp;vid=01CRU&amp;lang=en_US&amp;offset=0&amp;query=any,contains,991000993259702656","Catalog Record")</f>
        <v>Catalog Record</v>
      </c>
      <c r="AV32" s="5" t="str">
        <f>HYPERLINK("http://www.worldcat.org/oclc/5497327","WorldCat Record")</f>
        <v>WorldCat Record</v>
      </c>
      <c r="AW32" s="2" t="s">
        <v>463</v>
      </c>
      <c r="AX32" s="2" t="s">
        <v>464</v>
      </c>
      <c r="AY32" s="2" t="s">
        <v>465</v>
      </c>
      <c r="AZ32" s="2" t="s">
        <v>465</v>
      </c>
      <c r="BA32" s="2" t="s">
        <v>466</v>
      </c>
      <c r="BB32" s="2" t="s">
        <v>81</v>
      </c>
      <c r="BD32" s="2" t="s">
        <v>467</v>
      </c>
      <c r="BE32" s="2" t="s">
        <v>468</v>
      </c>
      <c r="BF32" s="2" t="s">
        <v>469</v>
      </c>
    </row>
    <row r="33" spans="1:58" ht="42" customHeight="1">
      <c r="A33" s="1"/>
      <c r="B33" s="1" t="s">
        <v>58</v>
      </c>
      <c r="C33" s="1" t="s">
        <v>59</v>
      </c>
      <c r="D33" s="1" t="s">
        <v>470</v>
      </c>
      <c r="E33" s="1" t="s">
        <v>471</v>
      </c>
      <c r="F33" s="1" t="s">
        <v>472</v>
      </c>
      <c r="G33" s="2" t="s">
        <v>473</v>
      </c>
      <c r="H33" s="2" t="s">
        <v>76</v>
      </c>
      <c r="I33" s="2" t="s">
        <v>64</v>
      </c>
      <c r="J33" s="2" t="s">
        <v>63</v>
      </c>
      <c r="K33" s="2" t="s">
        <v>63</v>
      </c>
      <c r="L33" s="2" t="s">
        <v>65</v>
      </c>
      <c r="N33" s="1" t="s">
        <v>474</v>
      </c>
      <c r="O33" s="2" t="s">
        <v>475</v>
      </c>
      <c r="Q33" s="2" t="s">
        <v>70</v>
      </c>
      <c r="R33" s="2" t="s">
        <v>71</v>
      </c>
      <c r="T33" s="2" t="s">
        <v>73</v>
      </c>
      <c r="U33" s="3">
        <v>3</v>
      </c>
      <c r="V33" s="3">
        <v>9</v>
      </c>
      <c r="W33" s="4" t="s">
        <v>203</v>
      </c>
      <c r="X33" s="4" t="s">
        <v>203</v>
      </c>
      <c r="Y33" s="4" t="s">
        <v>476</v>
      </c>
      <c r="Z33" s="4" t="s">
        <v>476</v>
      </c>
      <c r="AA33" s="3">
        <v>194</v>
      </c>
      <c r="AB33" s="3">
        <v>125</v>
      </c>
      <c r="AC33" s="3">
        <v>565</v>
      </c>
      <c r="AD33" s="3">
        <v>3</v>
      </c>
      <c r="AE33" s="3">
        <v>8</v>
      </c>
      <c r="AF33" s="3">
        <v>7</v>
      </c>
      <c r="AG33" s="3">
        <v>28</v>
      </c>
      <c r="AH33" s="3">
        <v>3</v>
      </c>
      <c r="AI33" s="3">
        <v>10</v>
      </c>
      <c r="AJ33" s="3">
        <v>1</v>
      </c>
      <c r="AK33" s="3">
        <v>6</v>
      </c>
      <c r="AL33" s="3">
        <v>2</v>
      </c>
      <c r="AM33" s="3">
        <v>7</v>
      </c>
      <c r="AN33" s="3">
        <v>2</v>
      </c>
      <c r="AO33" s="3">
        <v>7</v>
      </c>
      <c r="AP33" s="3">
        <v>0</v>
      </c>
      <c r="AQ33" s="3">
        <v>1</v>
      </c>
      <c r="AR33" s="2" t="s">
        <v>63</v>
      </c>
      <c r="AS33" s="2" t="s">
        <v>76</v>
      </c>
      <c r="AT33" s="5" t="str">
        <f>HYPERLINK("http://catalog.hathitrust.org/Record/004212879","HathiTrust Record")</f>
        <v>HathiTrust Record</v>
      </c>
      <c r="AU33" s="5" t="str">
        <f>HYPERLINK("https://creighton-primo.hosted.exlibrisgroup.com/primo-explore/search?tab=default_tab&amp;search_scope=EVERYTHING&amp;vid=01CRU&amp;lang=en_US&amp;offset=0&amp;query=any,contains,991000316829702656","Catalog Record")</f>
        <v>Catalog Record</v>
      </c>
      <c r="AV33" s="5" t="str">
        <f>HYPERLINK("http://www.worldcat.org/oclc/47675852","WorldCat Record")</f>
        <v>WorldCat Record</v>
      </c>
      <c r="AW33" s="2" t="s">
        <v>477</v>
      </c>
      <c r="AX33" s="2" t="s">
        <v>478</v>
      </c>
      <c r="AY33" s="2" t="s">
        <v>479</v>
      </c>
      <c r="AZ33" s="2" t="s">
        <v>479</v>
      </c>
      <c r="BA33" s="2" t="s">
        <v>480</v>
      </c>
      <c r="BB33" s="2" t="s">
        <v>81</v>
      </c>
      <c r="BD33" s="2" t="s">
        <v>481</v>
      </c>
      <c r="BE33" s="2" t="s">
        <v>482</v>
      </c>
      <c r="BF33" s="2" t="s">
        <v>483</v>
      </c>
    </row>
    <row r="34" spans="1:58" ht="42" customHeight="1">
      <c r="A34" s="1"/>
      <c r="B34" s="1" t="s">
        <v>58</v>
      </c>
      <c r="C34" s="1" t="s">
        <v>59</v>
      </c>
      <c r="D34" s="1" t="s">
        <v>470</v>
      </c>
      <c r="E34" s="1" t="s">
        <v>471</v>
      </c>
      <c r="F34" s="1" t="s">
        <v>472</v>
      </c>
      <c r="G34" s="2" t="s">
        <v>372</v>
      </c>
      <c r="H34" s="2" t="s">
        <v>76</v>
      </c>
      <c r="I34" s="2" t="s">
        <v>64</v>
      </c>
      <c r="J34" s="2" t="s">
        <v>63</v>
      </c>
      <c r="K34" s="2" t="s">
        <v>63</v>
      </c>
      <c r="L34" s="2" t="s">
        <v>65</v>
      </c>
      <c r="N34" s="1" t="s">
        <v>474</v>
      </c>
      <c r="O34" s="2" t="s">
        <v>475</v>
      </c>
      <c r="Q34" s="2" t="s">
        <v>70</v>
      </c>
      <c r="R34" s="2" t="s">
        <v>71</v>
      </c>
      <c r="T34" s="2" t="s">
        <v>73</v>
      </c>
      <c r="U34" s="3">
        <v>6</v>
      </c>
      <c r="V34" s="3">
        <v>9</v>
      </c>
      <c r="W34" s="4" t="s">
        <v>484</v>
      </c>
      <c r="X34" s="4" t="s">
        <v>203</v>
      </c>
      <c r="Y34" s="4" t="s">
        <v>476</v>
      </c>
      <c r="Z34" s="4" t="s">
        <v>476</v>
      </c>
      <c r="AA34" s="3">
        <v>194</v>
      </c>
      <c r="AB34" s="3">
        <v>125</v>
      </c>
      <c r="AC34" s="3">
        <v>565</v>
      </c>
      <c r="AD34" s="3">
        <v>3</v>
      </c>
      <c r="AE34" s="3">
        <v>8</v>
      </c>
      <c r="AF34" s="3">
        <v>7</v>
      </c>
      <c r="AG34" s="3">
        <v>28</v>
      </c>
      <c r="AH34" s="3">
        <v>3</v>
      </c>
      <c r="AI34" s="3">
        <v>10</v>
      </c>
      <c r="AJ34" s="3">
        <v>1</v>
      </c>
      <c r="AK34" s="3">
        <v>6</v>
      </c>
      <c r="AL34" s="3">
        <v>2</v>
      </c>
      <c r="AM34" s="3">
        <v>7</v>
      </c>
      <c r="AN34" s="3">
        <v>2</v>
      </c>
      <c r="AO34" s="3">
        <v>7</v>
      </c>
      <c r="AP34" s="3">
        <v>0</v>
      </c>
      <c r="AQ34" s="3">
        <v>1</v>
      </c>
      <c r="AR34" s="2" t="s">
        <v>63</v>
      </c>
      <c r="AS34" s="2" t="s">
        <v>76</v>
      </c>
      <c r="AT34" s="5" t="str">
        <f>HYPERLINK("http://catalog.hathitrust.org/Record/004212879","HathiTrust Record")</f>
        <v>HathiTrust Record</v>
      </c>
      <c r="AU34" s="5" t="str">
        <f>HYPERLINK("https://creighton-primo.hosted.exlibrisgroup.com/primo-explore/search?tab=default_tab&amp;search_scope=EVERYTHING&amp;vid=01CRU&amp;lang=en_US&amp;offset=0&amp;query=any,contains,991000316829702656","Catalog Record")</f>
        <v>Catalog Record</v>
      </c>
      <c r="AV34" s="5" t="str">
        <f>HYPERLINK("http://www.worldcat.org/oclc/47675852","WorldCat Record")</f>
        <v>WorldCat Record</v>
      </c>
      <c r="AW34" s="2" t="s">
        <v>477</v>
      </c>
      <c r="AX34" s="2" t="s">
        <v>478</v>
      </c>
      <c r="AY34" s="2" t="s">
        <v>479</v>
      </c>
      <c r="AZ34" s="2" t="s">
        <v>479</v>
      </c>
      <c r="BA34" s="2" t="s">
        <v>480</v>
      </c>
      <c r="BB34" s="2" t="s">
        <v>81</v>
      </c>
      <c r="BD34" s="2" t="s">
        <v>481</v>
      </c>
      <c r="BE34" s="2" t="s">
        <v>485</v>
      </c>
      <c r="BF34" s="2" t="s">
        <v>486</v>
      </c>
    </row>
    <row r="35" spans="1:58" ht="42" customHeight="1">
      <c r="A35" s="1"/>
      <c r="B35" s="1" t="s">
        <v>58</v>
      </c>
      <c r="C35" s="1" t="s">
        <v>59</v>
      </c>
      <c r="D35" s="1" t="s">
        <v>470</v>
      </c>
      <c r="E35" s="1" t="s">
        <v>471</v>
      </c>
      <c r="F35" s="1" t="s">
        <v>472</v>
      </c>
      <c r="G35" s="2" t="s">
        <v>384</v>
      </c>
      <c r="H35" s="2" t="s">
        <v>76</v>
      </c>
      <c r="I35" s="2" t="s">
        <v>64</v>
      </c>
      <c r="J35" s="2" t="s">
        <v>63</v>
      </c>
      <c r="K35" s="2" t="s">
        <v>63</v>
      </c>
      <c r="L35" s="2" t="s">
        <v>65</v>
      </c>
      <c r="N35" s="1" t="s">
        <v>474</v>
      </c>
      <c r="O35" s="2" t="s">
        <v>475</v>
      </c>
      <c r="Q35" s="2" t="s">
        <v>70</v>
      </c>
      <c r="R35" s="2" t="s">
        <v>71</v>
      </c>
      <c r="T35" s="2" t="s">
        <v>73</v>
      </c>
      <c r="U35" s="3">
        <v>0</v>
      </c>
      <c r="V35" s="3">
        <v>9</v>
      </c>
      <c r="W35" s="4" t="s">
        <v>487</v>
      </c>
      <c r="X35" s="4" t="s">
        <v>203</v>
      </c>
      <c r="Y35" s="4" t="s">
        <v>476</v>
      </c>
      <c r="Z35" s="4" t="s">
        <v>476</v>
      </c>
      <c r="AA35" s="3">
        <v>194</v>
      </c>
      <c r="AB35" s="3">
        <v>125</v>
      </c>
      <c r="AC35" s="3">
        <v>565</v>
      </c>
      <c r="AD35" s="3">
        <v>3</v>
      </c>
      <c r="AE35" s="3">
        <v>8</v>
      </c>
      <c r="AF35" s="3">
        <v>7</v>
      </c>
      <c r="AG35" s="3">
        <v>28</v>
      </c>
      <c r="AH35" s="3">
        <v>3</v>
      </c>
      <c r="AI35" s="3">
        <v>10</v>
      </c>
      <c r="AJ35" s="3">
        <v>1</v>
      </c>
      <c r="AK35" s="3">
        <v>6</v>
      </c>
      <c r="AL35" s="3">
        <v>2</v>
      </c>
      <c r="AM35" s="3">
        <v>7</v>
      </c>
      <c r="AN35" s="3">
        <v>2</v>
      </c>
      <c r="AO35" s="3">
        <v>7</v>
      </c>
      <c r="AP35" s="3">
        <v>0</v>
      </c>
      <c r="AQ35" s="3">
        <v>1</v>
      </c>
      <c r="AR35" s="2" t="s">
        <v>63</v>
      </c>
      <c r="AS35" s="2" t="s">
        <v>76</v>
      </c>
      <c r="AT35" s="5" t="str">
        <f>HYPERLINK("http://catalog.hathitrust.org/Record/004212879","HathiTrust Record")</f>
        <v>HathiTrust Record</v>
      </c>
      <c r="AU35" s="5" t="str">
        <f>HYPERLINK("https://creighton-primo.hosted.exlibrisgroup.com/primo-explore/search?tab=default_tab&amp;search_scope=EVERYTHING&amp;vid=01CRU&amp;lang=en_US&amp;offset=0&amp;query=any,contains,991000316829702656","Catalog Record")</f>
        <v>Catalog Record</v>
      </c>
      <c r="AV35" s="5" t="str">
        <f>HYPERLINK("http://www.worldcat.org/oclc/47675852","WorldCat Record")</f>
        <v>WorldCat Record</v>
      </c>
      <c r="AW35" s="2" t="s">
        <v>477</v>
      </c>
      <c r="AX35" s="2" t="s">
        <v>478</v>
      </c>
      <c r="AY35" s="2" t="s">
        <v>479</v>
      </c>
      <c r="AZ35" s="2" t="s">
        <v>479</v>
      </c>
      <c r="BA35" s="2" t="s">
        <v>480</v>
      </c>
      <c r="BB35" s="2" t="s">
        <v>81</v>
      </c>
      <c r="BD35" s="2" t="s">
        <v>481</v>
      </c>
      <c r="BE35" s="2" t="s">
        <v>488</v>
      </c>
      <c r="BF35" s="2" t="s">
        <v>489</v>
      </c>
    </row>
    <row r="36" spans="1:58" ht="42" customHeight="1">
      <c r="A36" s="1"/>
      <c r="B36" s="1" t="s">
        <v>58</v>
      </c>
      <c r="C36" s="1" t="s">
        <v>59</v>
      </c>
      <c r="D36" s="1" t="s">
        <v>490</v>
      </c>
      <c r="E36" s="1" t="s">
        <v>491</v>
      </c>
      <c r="F36" s="1" t="s">
        <v>492</v>
      </c>
      <c r="H36" s="2" t="s">
        <v>63</v>
      </c>
      <c r="I36" s="2" t="s">
        <v>64</v>
      </c>
      <c r="J36" s="2" t="s">
        <v>63</v>
      </c>
      <c r="K36" s="2" t="s">
        <v>76</v>
      </c>
      <c r="L36" s="2" t="s">
        <v>64</v>
      </c>
      <c r="N36" s="1" t="s">
        <v>493</v>
      </c>
      <c r="O36" s="2" t="s">
        <v>494</v>
      </c>
      <c r="Q36" s="2" t="s">
        <v>70</v>
      </c>
      <c r="R36" s="2" t="s">
        <v>360</v>
      </c>
      <c r="T36" s="2" t="s">
        <v>73</v>
      </c>
      <c r="U36" s="3">
        <v>5</v>
      </c>
      <c r="V36" s="3">
        <v>5</v>
      </c>
      <c r="W36" s="4" t="s">
        <v>495</v>
      </c>
      <c r="X36" s="4" t="s">
        <v>495</v>
      </c>
      <c r="Y36" s="4" t="s">
        <v>496</v>
      </c>
      <c r="Z36" s="4" t="s">
        <v>496</v>
      </c>
      <c r="AA36" s="3">
        <v>284</v>
      </c>
      <c r="AB36" s="3">
        <v>190</v>
      </c>
      <c r="AC36" s="3">
        <v>395</v>
      </c>
      <c r="AD36" s="3">
        <v>3</v>
      </c>
      <c r="AE36" s="3">
        <v>3</v>
      </c>
      <c r="AF36" s="3">
        <v>8</v>
      </c>
      <c r="AG36" s="3">
        <v>12</v>
      </c>
      <c r="AH36" s="3">
        <v>2</v>
      </c>
      <c r="AI36" s="3">
        <v>5</v>
      </c>
      <c r="AJ36" s="3">
        <v>3</v>
      </c>
      <c r="AK36" s="3">
        <v>3</v>
      </c>
      <c r="AL36" s="3">
        <v>3</v>
      </c>
      <c r="AM36" s="3">
        <v>4</v>
      </c>
      <c r="AN36" s="3">
        <v>2</v>
      </c>
      <c r="AO36" s="3">
        <v>2</v>
      </c>
      <c r="AP36" s="3">
        <v>0</v>
      </c>
      <c r="AQ36" s="3">
        <v>0</v>
      </c>
      <c r="AR36" s="2" t="s">
        <v>63</v>
      </c>
      <c r="AS36" s="2" t="s">
        <v>76</v>
      </c>
      <c r="AT36" s="5" t="str">
        <f>HYPERLINK("http://catalog.hathitrust.org/Record/003886575","HathiTrust Record")</f>
        <v>HathiTrust Record</v>
      </c>
      <c r="AU36" s="5" t="str">
        <f>HYPERLINK("https://creighton-primo.hosted.exlibrisgroup.com/primo-explore/search?tab=default_tab&amp;search_scope=EVERYTHING&amp;vid=01CRU&amp;lang=en_US&amp;offset=0&amp;query=any,contains,991000366889702656","Catalog Record")</f>
        <v>Catalog Record</v>
      </c>
      <c r="AV36" s="5" t="str">
        <f>HYPERLINK("http://www.worldcat.org/oclc/52631424","WorldCat Record")</f>
        <v>WorldCat Record</v>
      </c>
      <c r="AW36" s="2" t="s">
        <v>497</v>
      </c>
      <c r="AX36" s="2" t="s">
        <v>498</v>
      </c>
      <c r="AY36" s="2" t="s">
        <v>499</v>
      </c>
      <c r="AZ36" s="2" t="s">
        <v>499</v>
      </c>
      <c r="BA36" s="2" t="s">
        <v>500</v>
      </c>
      <c r="BB36" s="2" t="s">
        <v>81</v>
      </c>
      <c r="BD36" s="2" t="s">
        <v>501</v>
      </c>
      <c r="BE36" s="2" t="s">
        <v>502</v>
      </c>
      <c r="BF36" s="2" t="s">
        <v>503</v>
      </c>
    </row>
    <row r="37" spans="1:58" ht="42" customHeight="1">
      <c r="A37" s="1"/>
      <c r="B37" s="1" t="s">
        <v>58</v>
      </c>
      <c r="C37" s="1" t="s">
        <v>59</v>
      </c>
      <c r="D37" s="1" t="s">
        <v>504</v>
      </c>
      <c r="E37" s="1" t="s">
        <v>505</v>
      </c>
      <c r="F37" s="1" t="s">
        <v>506</v>
      </c>
      <c r="H37" s="2" t="s">
        <v>63</v>
      </c>
      <c r="I37" s="2" t="s">
        <v>64</v>
      </c>
      <c r="J37" s="2" t="s">
        <v>63</v>
      </c>
      <c r="K37" s="2" t="s">
        <v>63</v>
      </c>
      <c r="L37" s="2" t="s">
        <v>65</v>
      </c>
      <c r="N37" s="1" t="s">
        <v>507</v>
      </c>
      <c r="O37" s="2" t="s">
        <v>508</v>
      </c>
      <c r="Q37" s="2" t="s">
        <v>70</v>
      </c>
      <c r="R37" s="2" t="s">
        <v>509</v>
      </c>
      <c r="S37" s="1" t="s">
        <v>510</v>
      </c>
      <c r="T37" s="2" t="s">
        <v>73</v>
      </c>
      <c r="U37" s="3">
        <v>2</v>
      </c>
      <c r="V37" s="3">
        <v>2</v>
      </c>
      <c r="W37" s="4" t="s">
        <v>511</v>
      </c>
      <c r="X37" s="4" t="s">
        <v>511</v>
      </c>
      <c r="Y37" s="4" t="s">
        <v>512</v>
      </c>
      <c r="Z37" s="4" t="s">
        <v>512</v>
      </c>
      <c r="AA37" s="3">
        <v>389</v>
      </c>
      <c r="AB37" s="3">
        <v>298</v>
      </c>
      <c r="AC37" s="3">
        <v>307</v>
      </c>
      <c r="AD37" s="3">
        <v>1</v>
      </c>
      <c r="AE37" s="3">
        <v>1</v>
      </c>
      <c r="AF37" s="3">
        <v>11</v>
      </c>
      <c r="AG37" s="3">
        <v>11</v>
      </c>
      <c r="AH37" s="3">
        <v>4</v>
      </c>
      <c r="AI37" s="3">
        <v>4</v>
      </c>
      <c r="AJ37" s="3">
        <v>3</v>
      </c>
      <c r="AK37" s="3">
        <v>3</v>
      </c>
      <c r="AL37" s="3">
        <v>7</v>
      </c>
      <c r="AM37" s="3">
        <v>7</v>
      </c>
      <c r="AN37" s="3">
        <v>0</v>
      </c>
      <c r="AO37" s="3">
        <v>0</v>
      </c>
      <c r="AP37" s="3">
        <v>0</v>
      </c>
      <c r="AQ37" s="3">
        <v>0</v>
      </c>
      <c r="AR37" s="2" t="s">
        <v>63</v>
      </c>
      <c r="AS37" s="2" t="s">
        <v>76</v>
      </c>
      <c r="AT37" s="5" t="str">
        <f>HYPERLINK("http://catalog.hathitrust.org/Record/000017643","HathiTrust Record")</f>
        <v>HathiTrust Record</v>
      </c>
      <c r="AU37" s="5" t="str">
        <f>HYPERLINK("https://creighton-primo.hosted.exlibrisgroup.com/primo-explore/search?tab=default_tab&amp;search_scope=EVERYTHING&amp;vid=01CRU&amp;lang=en_US&amp;offset=0&amp;query=any,contains,991000993199702656","Catalog Record")</f>
        <v>Catalog Record</v>
      </c>
      <c r="AV37" s="5" t="str">
        <f>HYPERLINK("http://www.worldcat.org/oclc/1202926","WorldCat Record")</f>
        <v>WorldCat Record</v>
      </c>
      <c r="AW37" s="2" t="s">
        <v>513</v>
      </c>
      <c r="AX37" s="2" t="s">
        <v>514</v>
      </c>
      <c r="AY37" s="2" t="s">
        <v>515</v>
      </c>
      <c r="AZ37" s="2" t="s">
        <v>515</v>
      </c>
      <c r="BA37" s="2" t="s">
        <v>516</v>
      </c>
      <c r="BB37" s="2" t="s">
        <v>81</v>
      </c>
      <c r="BD37" s="2" t="s">
        <v>517</v>
      </c>
      <c r="BE37" s="2" t="s">
        <v>518</v>
      </c>
      <c r="BF37" s="2" t="s">
        <v>519</v>
      </c>
    </row>
    <row r="38" spans="1:58" ht="42" customHeight="1">
      <c r="A38" s="1"/>
      <c r="B38" s="1" t="s">
        <v>58</v>
      </c>
      <c r="C38" s="1" t="s">
        <v>59</v>
      </c>
      <c r="D38" s="1" t="s">
        <v>520</v>
      </c>
      <c r="E38" s="1" t="s">
        <v>521</v>
      </c>
      <c r="F38" s="1" t="s">
        <v>522</v>
      </c>
      <c r="H38" s="2" t="s">
        <v>63</v>
      </c>
      <c r="I38" s="2" t="s">
        <v>64</v>
      </c>
      <c r="J38" s="2" t="s">
        <v>63</v>
      </c>
      <c r="K38" s="2" t="s">
        <v>63</v>
      </c>
      <c r="L38" s="2" t="s">
        <v>65</v>
      </c>
      <c r="M38" s="1" t="s">
        <v>523</v>
      </c>
      <c r="N38" s="1" t="s">
        <v>524</v>
      </c>
      <c r="O38" s="2" t="s">
        <v>525</v>
      </c>
      <c r="Q38" s="2" t="s">
        <v>70</v>
      </c>
      <c r="R38" s="2" t="s">
        <v>422</v>
      </c>
      <c r="T38" s="2" t="s">
        <v>73</v>
      </c>
      <c r="U38" s="3">
        <v>3</v>
      </c>
      <c r="V38" s="3">
        <v>3</v>
      </c>
      <c r="W38" s="4" t="s">
        <v>526</v>
      </c>
      <c r="X38" s="4" t="s">
        <v>526</v>
      </c>
      <c r="Y38" s="4" t="s">
        <v>109</v>
      </c>
      <c r="Z38" s="4" t="s">
        <v>109</v>
      </c>
      <c r="AA38" s="3">
        <v>44</v>
      </c>
      <c r="AB38" s="3">
        <v>44</v>
      </c>
      <c r="AC38" s="3">
        <v>77</v>
      </c>
      <c r="AD38" s="3">
        <v>2</v>
      </c>
      <c r="AE38" s="3">
        <v>3</v>
      </c>
      <c r="AF38" s="3">
        <v>1</v>
      </c>
      <c r="AG38" s="3">
        <v>3</v>
      </c>
      <c r="AH38" s="3">
        <v>0</v>
      </c>
      <c r="AI38" s="3">
        <v>0</v>
      </c>
      <c r="AJ38" s="3">
        <v>0</v>
      </c>
      <c r="AK38" s="3">
        <v>1</v>
      </c>
      <c r="AL38" s="3">
        <v>0</v>
      </c>
      <c r="AM38" s="3">
        <v>0</v>
      </c>
      <c r="AN38" s="3">
        <v>1</v>
      </c>
      <c r="AO38" s="3">
        <v>2</v>
      </c>
      <c r="AP38" s="3">
        <v>0</v>
      </c>
      <c r="AQ38" s="3">
        <v>0</v>
      </c>
      <c r="AR38" s="2" t="s">
        <v>76</v>
      </c>
      <c r="AS38" s="2" t="s">
        <v>63</v>
      </c>
      <c r="AT38" s="5" t="str">
        <f>HYPERLINK("http://catalog.hathitrust.org/Record/006496915","HathiTrust Record")</f>
        <v>HathiTrust Record</v>
      </c>
      <c r="AU38" s="5" t="str">
        <f>HYPERLINK("https://creighton-primo.hosted.exlibrisgroup.com/primo-explore/search?tab=default_tab&amp;search_scope=EVERYTHING&amp;vid=01CRU&amp;lang=en_US&amp;offset=0&amp;query=any,contains,991000993159702656","Catalog Record")</f>
        <v>Catalog Record</v>
      </c>
      <c r="AV38" s="5" t="str">
        <f>HYPERLINK("http://www.worldcat.org/oclc/3169884","WorldCat Record")</f>
        <v>WorldCat Record</v>
      </c>
      <c r="AW38" s="2" t="s">
        <v>527</v>
      </c>
      <c r="AX38" s="2" t="s">
        <v>528</v>
      </c>
      <c r="AY38" s="2" t="s">
        <v>529</v>
      </c>
      <c r="AZ38" s="2" t="s">
        <v>529</v>
      </c>
      <c r="BA38" s="2" t="s">
        <v>530</v>
      </c>
      <c r="BB38" s="2" t="s">
        <v>81</v>
      </c>
      <c r="BE38" s="2" t="s">
        <v>531</v>
      </c>
      <c r="BF38" s="2" t="s">
        <v>532</v>
      </c>
    </row>
    <row r="39" spans="1:58" ht="42" customHeight="1">
      <c r="A39" s="1"/>
      <c r="B39" s="1" t="s">
        <v>58</v>
      </c>
      <c r="C39" s="1" t="s">
        <v>59</v>
      </c>
      <c r="D39" s="1" t="s">
        <v>533</v>
      </c>
      <c r="E39" s="1" t="s">
        <v>534</v>
      </c>
      <c r="F39" s="1" t="s">
        <v>535</v>
      </c>
      <c r="H39" s="2" t="s">
        <v>63</v>
      </c>
      <c r="I39" s="2" t="s">
        <v>64</v>
      </c>
      <c r="J39" s="2" t="s">
        <v>63</v>
      </c>
      <c r="K39" s="2" t="s">
        <v>63</v>
      </c>
      <c r="L39" s="2" t="s">
        <v>65</v>
      </c>
      <c r="M39" s="1" t="s">
        <v>523</v>
      </c>
      <c r="N39" s="1" t="s">
        <v>536</v>
      </c>
      <c r="O39" s="2" t="s">
        <v>537</v>
      </c>
      <c r="P39" s="1" t="s">
        <v>538</v>
      </c>
      <c r="Q39" s="2" t="s">
        <v>70</v>
      </c>
      <c r="R39" s="2" t="s">
        <v>246</v>
      </c>
      <c r="T39" s="2" t="s">
        <v>73</v>
      </c>
      <c r="U39" s="3">
        <v>3</v>
      </c>
      <c r="V39" s="3">
        <v>3</v>
      </c>
      <c r="W39" s="4" t="s">
        <v>526</v>
      </c>
      <c r="X39" s="4" t="s">
        <v>526</v>
      </c>
      <c r="Y39" s="4" t="s">
        <v>109</v>
      </c>
      <c r="Z39" s="4" t="s">
        <v>109</v>
      </c>
      <c r="AA39" s="3">
        <v>62</v>
      </c>
      <c r="AB39" s="3">
        <v>58</v>
      </c>
      <c r="AC39" s="3">
        <v>219</v>
      </c>
      <c r="AD39" s="3">
        <v>1</v>
      </c>
      <c r="AE39" s="3">
        <v>4</v>
      </c>
      <c r="AF39" s="3">
        <v>0</v>
      </c>
      <c r="AG39" s="3">
        <v>7</v>
      </c>
      <c r="AH39" s="3">
        <v>0</v>
      </c>
      <c r="AI39" s="3">
        <v>1</v>
      </c>
      <c r="AJ39" s="3">
        <v>0</v>
      </c>
      <c r="AK39" s="3">
        <v>3</v>
      </c>
      <c r="AL39" s="3">
        <v>0</v>
      </c>
      <c r="AM39" s="3">
        <v>0</v>
      </c>
      <c r="AN39" s="3">
        <v>0</v>
      </c>
      <c r="AO39" s="3">
        <v>3</v>
      </c>
      <c r="AP39" s="3">
        <v>0</v>
      </c>
      <c r="AQ39" s="3">
        <v>0</v>
      </c>
      <c r="AR39" s="2" t="s">
        <v>63</v>
      </c>
      <c r="AS39" s="2" t="s">
        <v>76</v>
      </c>
      <c r="AT39" s="5" t="str">
        <f>HYPERLINK("http://catalog.hathitrust.org/Record/001582873","HathiTrust Record")</f>
        <v>HathiTrust Record</v>
      </c>
      <c r="AU39" s="5" t="str">
        <f>HYPERLINK("https://creighton-primo.hosted.exlibrisgroup.com/primo-explore/search?tab=default_tab&amp;search_scope=EVERYTHING&amp;vid=01CRU&amp;lang=en_US&amp;offset=0&amp;query=any,contains,991000993049702656","Catalog Record")</f>
        <v>Catalog Record</v>
      </c>
      <c r="AV39" s="5" t="str">
        <f>HYPERLINK("http://www.worldcat.org/oclc/2881789","WorldCat Record")</f>
        <v>WorldCat Record</v>
      </c>
      <c r="AW39" s="2" t="s">
        <v>539</v>
      </c>
      <c r="AX39" s="2" t="s">
        <v>540</v>
      </c>
      <c r="AY39" s="2" t="s">
        <v>541</v>
      </c>
      <c r="AZ39" s="2" t="s">
        <v>541</v>
      </c>
      <c r="BA39" s="2" t="s">
        <v>542</v>
      </c>
      <c r="BB39" s="2" t="s">
        <v>81</v>
      </c>
      <c r="BE39" s="2" t="s">
        <v>543</v>
      </c>
      <c r="BF39" s="2" t="s">
        <v>544</v>
      </c>
    </row>
    <row r="40" spans="1:58" ht="42" customHeight="1">
      <c r="A40" s="1"/>
      <c r="B40" s="1" t="s">
        <v>58</v>
      </c>
      <c r="C40" s="1" t="s">
        <v>59</v>
      </c>
      <c r="D40" s="1" t="s">
        <v>545</v>
      </c>
      <c r="E40" s="1" t="s">
        <v>546</v>
      </c>
      <c r="F40" s="1" t="s">
        <v>547</v>
      </c>
      <c r="H40" s="2" t="s">
        <v>63</v>
      </c>
      <c r="I40" s="2" t="s">
        <v>64</v>
      </c>
      <c r="J40" s="2" t="s">
        <v>63</v>
      </c>
      <c r="K40" s="2" t="s">
        <v>63</v>
      </c>
      <c r="L40" s="2" t="s">
        <v>65</v>
      </c>
      <c r="M40" s="1" t="s">
        <v>548</v>
      </c>
      <c r="N40" s="1" t="s">
        <v>549</v>
      </c>
      <c r="O40" s="2" t="s">
        <v>550</v>
      </c>
      <c r="Q40" s="2" t="s">
        <v>70</v>
      </c>
      <c r="R40" s="2" t="s">
        <v>422</v>
      </c>
      <c r="T40" s="2" t="s">
        <v>73</v>
      </c>
      <c r="U40" s="3">
        <v>4</v>
      </c>
      <c r="V40" s="3">
        <v>4</v>
      </c>
      <c r="W40" s="4" t="s">
        <v>551</v>
      </c>
      <c r="X40" s="4" t="s">
        <v>551</v>
      </c>
      <c r="Y40" s="4" t="s">
        <v>512</v>
      </c>
      <c r="Z40" s="4" t="s">
        <v>512</v>
      </c>
      <c r="AA40" s="3">
        <v>271</v>
      </c>
      <c r="AB40" s="3">
        <v>203</v>
      </c>
      <c r="AC40" s="3">
        <v>203</v>
      </c>
      <c r="AD40" s="3">
        <v>3</v>
      </c>
      <c r="AE40" s="3">
        <v>3</v>
      </c>
      <c r="AF40" s="3">
        <v>7</v>
      </c>
      <c r="AG40" s="3">
        <v>7</v>
      </c>
      <c r="AH40" s="3">
        <v>3</v>
      </c>
      <c r="AI40" s="3">
        <v>3</v>
      </c>
      <c r="AJ40" s="3">
        <v>2</v>
      </c>
      <c r="AK40" s="3">
        <v>2</v>
      </c>
      <c r="AL40" s="3">
        <v>3</v>
      </c>
      <c r="AM40" s="3">
        <v>3</v>
      </c>
      <c r="AN40" s="3">
        <v>2</v>
      </c>
      <c r="AO40" s="3">
        <v>2</v>
      </c>
      <c r="AP40" s="3">
        <v>0</v>
      </c>
      <c r="AQ40" s="3">
        <v>0</v>
      </c>
      <c r="AR40" s="2" t="s">
        <v>63</v>
      </c>
      <c r="AS40" s="2" t="s">
        <v>76</v>
      </c>
      <c r="AT40" s="5" t="str">
        <f>HYPERLINK("http://catalog.hathitrust.org/Record/001556116","HathiTrust Record")</f>
        <v>HathiTrust Record</v>
      </c>
      <c r="AU40" s="5" t="str">
        <f>HYPERLINK("https://creighton-primo.hosted.exlibrisgroup.com/primo-explore/search?tab=default_tab&amp;search_scope=EVERYTHING&amp;vid=01CRU&amp;lang=en_US&amp;offset=0&amp;query=any,contains,991000993009702656","Catalog Record")</f>
        <v>Catalog Record</v>
      </c>
      <c r="AV40" s="5" t="str">
        <f>HYPERLINK("http://www.worldcat.org/oclc/113120","WorldCat Record")</f>
        <v>WorldCat Record</v>
      </c>
      <c r="AW40" s="2" t="s">
        <v>552</v>
      </c>
      <c r="AX40" s="2" t="s">
        <v>553</v>
      </c>
      <c r="AY40" s="2" t="s">
        <v>554</v>
      </c>
      <c r="AZ40" s="2" t="s">
        <v>554</v>
      </c>
      <c r="BA40" s="2" t="s">
        <v>555</v>
      </c>
      <c r="BB40" s="2" t="s">
        <v>81</v>
      </c>
      <c r="BE40" s="2" t="s">
        <v>556</v>
      </c>
      <c r="BF40" s="2" t="s">
        <v>557</v>
      </c>
    </row>
    <row r="41" spans="1:58" ht="42" customHeight="1">
      <c r="A41" s="1"/>
      <c r="B41" s="1" t="s">
        <v>58</v>
      </c>
      <c r="C41" s="1" t="s">
        <v>59</v>
      </c>
      <c r="D41" s="1" t="s">
        <v>558</v>
      </c>
      <c r="E41" s="1" t="s">
        <v>559</v>
      </c>
      <c r="F41" s="1" t="s">
        <v>560</v>
      </c>
      <c r="H41" s="2" t="s">
        <v>63</v>
      </c>
      <c r="I41" s="2" t="s">
        <v>64</v>
      </c>
      <c r="J41" s="2" t="s">
        <v>63</v>
      </c>
      <c r="K41" s="2" t="s">
        <v>63</v>
      </c>
      <c r="L41" s="2" t="s">
        <v>65</v>
      </c>
      <c r="M41" s="1" t="s">
        <v>561</v>
      </c>
      <c r="N41" s="1" t="s">
        <v>562</v>
      </c>
      <c r="O41" s="2" t="s">
        <v>563</v>
      </c>
      <c r="Q41" s="2" t="s">
        <v>70</v>
      </c>
      <c r="R41" s="2" t="s">
        <v>168</v>
      </c>
      <c r="T41" s="2" t="s">
        <v>73</v>
      </c>
      <c r="U41" s="3">
        <v>10</v>
      </c>
      <c r="V41" s="3">
        <v>10</v>
      </c>
      <c r="W41" s="4" t="s">
        <v>564</v>
      </c>
      <c r="X41" s="4" t="s">
        <v>564</v>
      </c>
      <c r="Y41" s="4" t="s">
        <v>565</v>
      </c>
      <c r="Z41" s="4" t="s">
        <v>565</v>
      </c>
      <c r="AA41" s="3">
        <v>243</v>
      </c>
      <c r="AB41" s="3">
        <v>128</v>
      </c>
      <c r="AC41" s="3">
        <v>142</v>
      </c>
      <c r="AD41" s="3">
        <v>1</v>
      </c>
      <c r="AE41" s="3">
        <v>1</v>
      </c>
      <c r="AF41" s="3">
        <v>2</v>
      </c>
      <c r="AG41" s="3">
        <v>2</v>
      </c>
      <c r="AH41" s="3">
        <v>0</v>
      </c>
      <c r="AI41" s="3">
        <v>0</v>
      </c>
      <c r="AJ41" s="3">
        <v>2</v>
      </c>
      <c r="AK41" s="3">
        <v>2</v>
      </c>
      <c r="AL41" s="3">
        <v>2</v>
      </c>
      <c r="AM41" s="3">
        <v>2</v>
      </c>
      <c r="AN41" s="3">
        <v>0</v>
      </c>
      <c r="AO41" s="3">
        <v>0</v>
      </c>
      <c r="AP41" s="3">
        <v>0</v>
      </c>
      <c r="AQ41" s="3">
        <v>0</v>
      </c>
      <c r="AR41" s="2" t="s">
        <v>63</v>
      </c>
      <c r="AS41" s="2" t="s">
        <v>76</v>
      </c>
      <c r="AT41" s="5" t="str">
        <f>HYPERLINK("http://catalog.hathitrust.org/Record/008992567","HathiTrust Record")</f>
        <v>HathiTrust Record</v>
      </c>
      <c r="AU41" s="5" t="str">
        <f>HYPERLINK("https://creighton-primo.hosted.exlibrisgroup.com/primo-explore/search?tab=default_tab&amp;search_scope=EVERYTHING&amp;vid=01CRU&amp;lang=en_US&amp;offset=0&amp;query=any,contains,991000293309702656","Catalog Record")</f>
        <v>Catalog Record</v>
      </c>
      <c r="AV41" s="5" t="str">
        <f>HYPERLINK("http://www.worldcat.org/oclc/45661776","WorldCat Record")</f>
        <v>WorldCat Record</v>
      </c>
      <c r="AW41" s="2" t="s">
        <v>566</v>
      </c>
      <c r="AX41" s="2" t="s">
        <v>567</v>
      </c>
      <c r="AY41" s="2" t="s">
        <v>568</v>
      </c>
      <c r="AZ41" s="2" t="s">
        <v>568</v>
      </c>
      <c r="BA41" s="2" t="s">
        <v>569</v>
      </c>
      <c r="BB41" s="2" t="s">
        <v>81</v>
      </c>
      <c r="BD41" s="2" t="s">
        <v>570</v>
      </c>
      <c r="BE41" s="2" t="s">
        <v>571</v>
      </c>
      <c r="BF41" s="2" t="s">
        <v>572</v>
      </c>
    </row>
    <row r="42" spans="1:58" ht="42" customHeight="1">
      <c r="A42" s="1"/>
      <c r="B42" s="1" t="s">
        <v>58</v>
      </c>
      <c r="C42" s="1" t="s">
        <v>59</v>
      </c>
      <c r="D42" s="1" t="s">
        <v>573</v>
      </c>
      <c r="E42" s="1" t="s">
        <v>574</v>
      </c>
      <c r="F42" s="1" t="s">
        <v>575</v>
      </c>
      <c r="H42" s="2" t="s">
        <v>63</v>
      </c>
      <c r="I42" s="2" t="s">
        <v>64</v>
      </c>
      <c r="J42" s="2" t="s">
        <v>63</v>
      </c>
      <c r="K42" s="2" t="s">
        <v>76</v>
      </c>
      <c r="L42" s="2" t="s">
        <v>65</v>
      </c>
      <c r="M42" s="1" t="s">
        <v>576</v>
      </c>
      <c r="N42" s="1" t="s">
        <v>577</v>
      </c>
      <c r="O42" s="2" t="s">
        <v>121</v>
      </c>
      <c r="P42" s="1" t="s">
        <v>578</v>
      </c>
      <c r="Q42" s="2" t="s">
        <v>70</v>
      </c>
      <c r="R42" s="2" t="s">
        <v>153</v>
      </c>
      <c r="T42" s="2" t="s">
        <v>73</v>
      </c>
      <c r="U42" s="3">
        <v>7</v>
      </c>
      <c r="V42" s="3">
        <v>7</v>
      </c>
      <c r="W42" s="4" t="s">
        <v>579</v>
      </c>
      <c r="X42" s="4" t="s">
        <v>579</v>
      </c>
      <c r="Y42" s="4" t="s">
        <v>109</v>
      </c>
      <c r="Z42" s="4" t="s">
        <v>109</v>
      </c>
      <c r="AA42" s="3">
        <v>290</v>
      </c>
      <c r="AB42" s="3">
        <v>241</v>
      </c>
      <c r="AC42" s="3">
        <v>584</v>
      </c>
      <c r="AD42" s="3">
        <v>1</v>
      </c>
      <c r="AE42" s="3">
        <v>3</v>
      </c>
      <c r="AF42" s="3">
        <v>6</v>
      </c>
      <c r="AG42" s="3">
        <v>22</v>
      </c>
      <c r="AH42" s="3">
        <v>3</v>
      </c>
      <c r="AI42" s="3">
        <v>10</v>
      </c>
      <c r="AJ42" s="3">
        <v>2</v>
      </c>
      <c r="AK42" s="3">
        <v>5</v>
      </c>
      <c r="AL42" s="3">
        <v>4</v>
      </c>
      <c r="AM42" s="3">
        <v>13</v>
      </c>
      <c r="AN42" s="3">
        <v>0</v>
      </c>
      <c r="AO42" s="3">
        <v>1</v>
      </c>
      <c r="AP42" s="3">
        <v>0</v>
      </c>
      <c r="AQ42" s="3">
        <v>0</v>
      </c>
      <c r="AR42" s="2" t="s">
        <v>63</v>
      </c>
      <c r="AS42" s="2" t="s">
        <v>76</v>
      </c>
      <c r="AT42" s="5" t="str">
        <f>HYPERLINK("http://catalog.hathitrust.org/Record/000725712","HathiTrust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HYPERLINK("https://creighton-primo.hosted.exlibrisgroup.com/primo-explore/search?tab=default_tab&amp;search_scope=EVERYTHING&amp;vid=01CRU&amp;lang=en_US&amp;offset=0&amp;query=any,contains,991000992939702656","Catalog Record")</f>
        <v>Catalog Record</v>
      </c>
      <c r="AV42" s="5" t="str">
        <f>HYPERLINK("http://www.worldcat.org/oclc/5893606","WorldCat Record")</f>
        <v>WorldCat Record</v>
      </c>
      <c r="AW42" s="2" t="s">
        <v>580</v>
      </c>
      <c r="AX42" s="2" t="s">
        <v>581</v>
      </c>
      <c r="AY42" s="2" t="s">
        <v>582</v>
      </c>
      <c r="AZ42" s="2" t="s">
        <v>582</v>
      </c>
      <c r="BA42" s="2" t="s">
        <v>583</v>
      </c>
      <c r="BB42" s="2" t="s">
        <v>81</v>
      </c>
      <c r="BD42" s="2" t="s">
        <v>584</v>
      </c>
      <c r="BE42" s="2" t="s">
        <v>585</v>
      </c>
      <c r="BF42" s="2" t="s">
        <v>586</v>
      </c>
    </row>
    <row r="43" spans="1:58" ht="42" customHeight="1">
      <c r="A43" s="1"/>
      <c r="B43" s="1" t="s">
        <v>58</v>
      </c>
      <c r="C43" s="1" t="s">
        <v>59</v>
      </c>
      <c r="D43" s="1" t="s">
        <v>587</v>
      </c>
      <c r="E43" s="1" t="s">
        <v>588</v>
      </c>
      <c r="F43" s="1" t="s">
        <v>589</v>
      </c>
      <c r="H43" s="2" t="s">
        <v>63</v>
      </c>
      <c r="I43" s="2" t="s">
        <v>64</v>
      </c>
      <c r="J43" s="2" t="s">
        <v>63</v>
      </c>
      <c r="K43" s="2" t="s">
        <v>63</v>
      </c>
      <c r="L43" s="2" t="s">
        <v>65</v>
      </c>
      <c r="M43" s="1" t="s">
        <v>576</v>
      </c>
      <c r="N43" s="1" t="s">
        <v>590</v>
      </c>
      <c r="O43" s="2" t="s">
        <v>591</v>
      </c>
      <c r="P43" s="1" t="s">
        <v>592</v>
      </c>
      <c r="Q43" s="2" t="s">
        <v>70</v>
      </c>
      <c r="R43" s="2" t="s">
        <v>593</v>
      </c>
      <c r="T43" s="2" t="s">
        <v>73</v>
      </c>
      <c r="U43" s="3">
        <v>2</v>
      </c>
      <c r="V43" s="3">
        <v>2</v>
      </c>
      <c r="W43" s="4" t="s">
        <v>594</v>
      </c>
      <c r="X43" s="4" t="s">
        <v>594</v>
      </c>
      <c r="Y43" s="4" t="s">
        <v>109</v>
      </c>
      <c r="Z43" s="4" t="s">
        <v>109</v>
      </c>
      <c r="AA43" s="3">
        <v>168</v>
      </c>
      <c r="AB43" s="3">
        <v>126</v>
      </c>
      <c r="AC43" s="3">
        <v>591</v>
      </c>
      <c r="AD43" s="3">
        <v>1</v>
      </c>
      <c r="AE43" s="3">
        <v>3</v>
      </c>
      <c r="AF43" s="3">
        <v>1</v>
      </c>
      <c r="AG43" s="3">
        <v>18</v>
      </c>
      <c r="AH43" s="3">
        <v>1</v>
      </c>
      <c r="AI43" s="3">
        <v>7</v>
      </c>
      <c r="AJ43" s="3">
        <v>0</v>
      </c>
      <c r="AK43" s="3">
        <v>5</v>
      </c>
      <c r="AL43" s="3">
        <v>0</v>
      </c>
      <c r="AM43" s="3">
        <v>7</v>
      </c>
      <c r="AN43" s="3">
        <v>0</v>
      </c>
      <c r="AO43" s="3">
        <v>2</v>
      </c>
      <c r="AP43" s="3">
        <v>0</v>
      </c>
      <c r="AQ43" s="3">
        <v>0</v>
      </c>
      <c r="AR43" s="2" t="s">
        <v>63</v>
      </c>
      <c r="AS43" s="2" t="s">
        <v>76</v>
      </c>
      <c r="AT43" s="5" t="str">
        <f>HYPERLINK("http://catalog.hathitrust.org/Record/001556178","HathiTrust Record")</f>
        <v>HathiTrust Record</v>
      </c>
      <c r="AU43" s="5" t="str">
        <f>HYPERLINK("https://creighton-primo.hosted.exlibrisgroup.com/primo-explore/search?tab=default_tab&amp;search_scope=EVERYTHING&amp;vid=01CRU&amp;lang=en_US&amp;offset=0&amp;query=any,contains,991000992859702656","Catalog Record")</f>
        <v>Catalog Record</v>
      </c>
      <c r="AV43" s="5" t="str">
        <f>HYPERLINK("http://www.worldcat.org/oclc/548228","WorldCat Record")</f>
        <v>WorldCat Record</v>
      </c>
      <c r="AW43" s="2" t="s">
        <v>595</v>
      </c>
      <c r="AX43" s="2" t="s">
        <v>596</v>
      </c>
      <c r="AY43" s="2" t="s">
        <v>597</v>
      </c>
      <c r="AZ43" s="2" t="s">
        <v>597</v>
      </c>
      <c r="BA43" s="2" t="s">
        <v>598</v>
      </c>
      <c r="BB43" s="2" t="s">
        <v>81</v>
      </c>
      <c r="BD43" s="2" t="s">
        <v>599</v>
      </c>
      <c r="BE43" s="2" t="s">
        <v>600</v>
      </c>
      <c r="BF43" s="2" t="s">
        <v>601</v>
      </c>
    </row>
    <row r="44" spans="1:58" ht="42" customHeight="1">
      <c r="A44" s="1"/>
      <c r="B44" s="1" t="s">
        <v>58</v>
      </c>
      <c r="C44" s="1" t="s">
        <v>59</v>
      </c>
      <c r="D44" s="1" t="s">
        <v>602</v>
      </c>
      <c r="E44" s="1" t="s">
        <v>603</v>
      </c>
      <c r="F44" s="1" t="s">
        <v>604</v>
      </c>
      <c r="G44" s="2" t="s">
        <v>184</v>
      </c>
      <c r="H44" s="2" t="s">
        <v>76</v>
      </c>
      <c r="I44" s="2" t="s">
        <v>64</v>
      </c>
      <c r="J44" s="2" t="s">
        <v>63</v>
      </c>
      <c r="K44" s="2" t="s">
        <v>63</v>
      </c>
      <c r="L44" s="2" t="s">
        <v>65</v>
      </c>
      <c r="M44" s="1" t="s">
        <v>605</v>
      </c>
      <c r="N44" s="1" t="s">
        <v>606</v>
      </c>
      <c r="O44" s="2" t="s">
        <v>314</v>
      </c>
      <c r="P44" s="1" t="s">
        <v>607</v>
      </c>
      <c r="Q44" s="2" t="s">
        <v>70</v>
      </c>
      <c r="R44" s="2" t="s">
        <v>509</v>
      </c>
      <c r="T44" s="2" t="s">
        <v>73</v>
      </c>
      <c r="U44" s="3">
        <v>3</v>
      </c>
      <c r="V44" s="3">
        <v>19</v>
      </c>
      <c r="W44" s="4" t="s">
        <v>608</v>
      </c>
      <c r="X44" s="4" t="s">
        <v>203</v>
      </c>
      <c r="Y44" s="4" t="s">
        <v>609</v>
      </c>
      <c r="Z44" s="4" t="s">
        <v>609</v>
      </c>
      <c r="AA44" s="3">
        <v>224</v>
      </c>
      <c r="AB44" s="3">
        <v>149</v>
      </c>
      <c r="AC44" s="3">
        <v>158</v>
      </c>
      <c r="AD44" s="3">
        <v>1</v>
      </c>
      <c r="AE44" s="3">
        <v>1</v>
      </c>
      <c r="AF44" s="3">
        <v>2</v>
      </c>
      <c r="AG44" s="3">
        <v>2</v>
      </c>
      <c r="AH44" s="3">
        <v>2</v>
      </c>
      <c r="AI44" s="3">
        <v>2</v>
      </c>
      <c r="AJ44" s="3">
        <v>0</v>
      </c>
      <c r="AK44" s="3">
        <v>0</v>
      </c>
      <c r="AL44" s="3">
        <v>1</v>
      </c>
      <c r="AM44" s="3">
        <v>1</v>
      </c>
      <c r="AN44" s="3">
        <v>0</v>
      </c>
      <c r="AO44" s="3">
        <v>0</v>
      </c>
      <c r="AP44" s="3">
        <v>0</v>
      </c>
      <c r="AQ44" s="3">
        <v>0</v>
      </c>
      <c r="AR44" s="2" t="s">
        <v>63</v>
      </c>
      <c r="AS44" s="2" t="s">
        <v>63</v>
      </c>
      <c r="AU44" s="5" t="str">
        <f>HYPERLINK("https://creighton-primo.hosted.exlibrisgroup.com/primo-explore/search?tab=default_tab&amp;search_scope=EVERYTHING&amp;vid=01CRU&amp;lang=en_US&amp;offset=0&amp;query=any,contains,991000824749702656","Catalog Record")</f>
        <v>Catalog Record</v>
      </c>
      <c r="AV44" s="5" t="str">
        <f>HYPERLINK("http://www.worldcat.org/oclc/38290809","WorldCat Record")</f>
        <v>WorldCat Record</v>
      </c>
      <c r="AW44" s="2" t="s">
        <v>610</v>
      </c>
      <c r="AX44" s="2" t="s">
        <v>611</v>
      </c>
      <c r="AY44" s="2" t="s">
        <v>612</v>
      </c>
      <c r="AZ44" s="2" t="s">
        <v>612</v>
      </c>
      <c r="BA44" s="2" t="s">
        <v>613</v>
      </c>
      <c r="BB44" s="2" t="s">
        <v>81</v>
      </c>
      <c r="BD44" s="2" t="s">
        <v>614</v>
      </c>
      <c r="BE44" s="2" t="s">
        <v>615</v>
      </c>
      <c r="BF44" s="2" t="s">
        <v>616</v>
      </c>
    </row>
    <row r="45" spans="1:58" ht="42" customHeight="1">
      <c r="A45" s="1"/>
      <c r="B45" s="1" t="s">
        <v>58</v>
      </c>
      <c r="C45" s="1" t="s">
        <v>59</v>
      </c>
      <c r="D45" s="1" t="s">
        <v>602</v>
      </c>
      <c r="E45" s="1" t="s">
        <v>603</v>
      </c>
      <c r="F45" s="1" t="s">
        <v>604</v>
      </c>
      <c r="G45" s="2" t="s">
        <v>617</v>
      </c>
      <c r="H45" s="2" t="s">
        <v>76</v>
      </c>
      <c r="I45" s="2" t="s">
        <v>64</v>
      </c>
      <c r="J45" s="2" t="s">
        <v>63</v>
      </c>
      <c r="K45" s="2" t="s">
        <v>63</v>
      </c>
      <c r="L45" s="2" t="s">
        <v>65</v>
      </c>
      <c r="M45" s="1" t="s">
        <v>605</v>
      </c>
      <c r="N45" s="1" t="s">
        <v>606</v>
      </c>
      <c r="O45" s="2" t="s">
        <v>314</v>
      </c>
      <c r="P45" s="1" t="s">
        <v>607</v>
      </c>
      <c r="Q45" s="2" t="s">
        <v>70</v>
      </c>
      <c r="R45" s="2" t="s">
        <v>509</v>
      </c>
      <c r="T45" s="2" t="s">
        <v>73</v>
      </c>
      <c r="U45" s="3">
        <v>1</v>
      </c>
      <c r="V45" s="3">
        <v>19</v>
      </c>
      <c r="X45" s="4" t="s">
        <v>203</v>
      </c>
      <c r="Y45" s="4" t="s">
        <v>609</v>
      </c>
      <c r="Z45" s="4" t="s">
        <v>609</v>
      </c>
      <c r="AA45" s="3">
        <v>224</v>
      </c>
      <c r="AB45" s="3">
        <v>149</v>
      </c>
      <c r="AC45" s="3">
        <v>158</v>
      </c>
      <c r="AD45" s="3">
        <v>1</v>
      </c>
      <c r="AE45" s="3">
        <v>1</v>
      </c>
      <c r="AF45" s="3">
        <v>2</v>
      </c>
      <c r="AG45" s="3">
        <v>2</v>
      </c>
      <c r="AH45" s="3">
        <v>2</v>
      </c>
      <c r="AI45" s="3">
        <v>2</v>
      </c>
      <c r="AJ45" s="3">
        <v>0</v>
      </c>
      <c r="AK45" s="3">
        <v>0</v>
      </c>
      <c r="AL45" s="3">
        <v>1</v>
      </c>
      <c r="AM45" s="3">
        <v>1</v>
      </c>
      <c r="AN45" s="3">
        <v>0</v>
      </c>
      <c r="AO45" s="3">
        <v>0</v>
      </c>
      <c r="AP45" s="3">
        <v>0</v>
      </c>
      <c r="AQ45" s="3">
        <v>0</v>
      </c>
      <c r="AR45" s="2" t="s">
        <v>63</v>
      </c>
      <c r="AS45" s="2" t="s">
        <v>63</v>
      </c>
      <c r="AU45" s="5" t="str">
        <f>HYPERLINK("https://creighton-primo.hosted.exlibrisgroup.com/primo-explore/search?tab=default_tab&amp;search_scope=EVERYTHING&amp;vid=01CRU&amp;lang=en_US&amp;offset=0&amp;query=any,contains,991000824749702656","Catalog Record")</f>
        <v>Catalog Record</v>
      </c>
      <c r="AV45" s="5" t="str">
        <f>HYPERLINK("http://www.worldcat.org/oclc/38290809","WorldCat Record")</f>
        <v>WorldCat Record</v>
      </c>
      <c r="AW45" s="2" t="s">
        <v>610</v>
      </c>
      <c r="AX45" s="2" t="s">
        <v>611</v>
      </c>
      <c r="AY45" s="2" t="s">
        <v>612</v>
      </c>
      <c r="AZ45" s="2" t="s">
        <v>612</v>
      </c>
      <c r="BA45" s="2" t="s">
        <v>613</v>
      </c>
      <c r="BB45" s="2" t="s">
        <v>81</v>
      </c>
      <c r="BD45" s="2" t="s">
        <v>614</v>
      </c>
      <c r="BE45" s="2" t="s">
        <v>618</v>
      </c>
      <c r="BF45" s="2" t="s">
        <v>619</v>
      </c>
    </row>
    <row r="46" spans="1:58" ht="42" customHeight="1">
      <c r="A46" s="1"/>
      <c r="B46" s="1" t="s">
        <v>58</v>
      </c>
      <c r="C46" s="1" t="s">
        <v>59</v>
      </c>
      <c r="D46" s="1" t="s">
        <v>602</v>
      </c>
      <c r="E46" s="1" t="s">
        <v>603</v>
      </c>
      <c r="F46" s="1" t="s">
        <v>604</v>
      </c>
      <c r="G46" s="2" t="s">
        <v>193</v>
      </c>
      <c r="H46" s="2" t="s">
        <v>76</v>
      </c>
      <c r="I46" s="2" t="s">
        <v>64</v>
      </c>
      <c r="J46" s="2" t="s">
        <v>63</v>
      </c>
      <c r="K46" s="2" t="s">
        <v>63</v>
      </c>
      <c r="L46" s="2" t="s">
        <v>65</v>
      </c>
      <c r="M46" s="1" t="s">
        <v>605</v>
      </c>
      <c r="N46" s="1" t="s">
        <v>606</v>
      </c>
      <c r="O46" s="2" t="s">
        <v>314</v>
      </c>
      <c r="P46" s="1" t="s">
        <v>607</v>
      </c>
      <c r="Q46" s="2" t="s">
        <v>70</v>
      </c>
      <c r="R46" s="2" t="s">
        <v>509</v>
      </c>
      <c r="T46" s="2" t="s">
        <v>73</v>
      </c>
      <c r="U46" s="3">
        <v>0</v>
      </c>
      <c r="V46" s="3">
        <v>19</v>
      </c>
      <c r="X46" s="4" t="s">
        <v>203</v>
      </c>
      <c r="Y46" s="4" t="s">
        <v>609</v>
      </c>
      <c r="Z46" s="4" t="s">
        <v>609</v>
      </c>
      <c r="AA46" s="3">
        <v>224</v>
      </c>
      <c r="AB46" s="3">
        <v>149</v>
      </c>
      <c r="AC46" s="3">
        <v>158</v>
      </c>
      <c r="AD46" s="3">
        <v>1</v>
      </c>
      <c r="AE46" s="3">
        <v>1</v>
      </c>
      <c r="AF46" s="3">
        <v>2</v>
      </c>
      <c r="AG46" s="3">
        <v>2</v>
      </c>
      <c r="AH46" s="3">
        <v>2</v>
      </c>
      <c r="AI46" s="3">
        <v>2</v>
      </c>
      <c r="AJ46" s="3">
        <v>0</v>
      </c>
      <c r="AK46" s="3">
        <v>0</v>
      </c>
      <c r="AL46" s="3">
        <v>1</v>
      </c>
      <c r="AM46" s="3">
        <v>1</v>
      </c>
      <c r="AN46" s="3">
        <v>0</v>
      </c>
      <c r="AO46" s="3">
        <v>0</v>
      </c>
      <c r="AP46" s="3">
        <v>0</v>
      </c>
      <c r="AQ46" s="3">
        <v>0</v>
      </c>
      <c r="AR46" s="2" t="s">
        <v>63</v>
      </c>
      <c r="AS46" s="2" t="s">
        <v>63</v>
      </c>
      <c r="AU46" s="5" t="str">
        <f>HYPERLINK("https://creighton-primo.hosted.exlibrisgroup.com/primo-explore/search?tab=default_tab&amp;search_scope=EVERYTHING&amp;vid=01CRU&amp;lang=en_US&amp;offset=0&amp;query=any,contains,991000824749702656","Catalog Record")</f>
        <v>Catalog Record</v>
      </c>
      <c r="AV46" s="5" t="str">
        <f>HYPERLINK("http://www.worldcat.org/oclc/38290809","WorldCat Record")</f>
        <v>WorldCat Record</v>
      </c>
      <c r="AW46" s="2" t="s">
        <v>610</v>
      </c>
      <c r="AX46" s="2" t="s">
        <v>611</v>
      </c>
      <c r="AY46" s="2" t="s">
        <v>612</v>
      </c>
      <c r="AZ46" s="2" t="s">
        <v>612</v>
      </c>
      <c r="BA46" s="2" t="s">
        <v>613</v>
      </c>
      <c r="BB46" s="2" t="s">
        <v>81</v>
      </c>
      <c r="BD46" s="2" t="s">
        <v>614</v>
      </c>
      <c r="BE46" s="2" t="s">
        <v>620</v>
      </c>
      <c r="BF46" s="2" t="s">
        <v>621</v>
      </c>
    </row>
    <row r="47" spans="1:58" ht="42" customHeight="1">
      <c r="A47" s="1"/>
      <c r="B47" s="1" t="s">
        <v>58</v>
      </c>
      <c r="C47" s="1" t="s">
        <v>59</v>
      </c>
      <c r="D47" s="1" t="s">
        <v>602</v>
      </c>
      <c r="E47" s="1" t="s">
        <v>603</v>
      </c>
      <c r="F47" s="1" t="s">
        <v>604</v>
      </c>
      <c r="G47" s="2" t="s">
        <v>622</v>
      </c>
      <c r="H47" s="2" t="s">
        <v>76</v>
      </c>
      <c r="I47" s="2" t="s">
        <v>64</v>
      </c>
      <c r="J47" s="2" t="s">
        <v>63</v>
      </c>
      <c r="K47" s="2" t="s">
        <v>63</v>
      </c>
      <c r="L47" s="2" t="s">
        <v>65</v>
      </c>
      <c r="M47" s="1" t="s">
        <v>605</v>
      </c>
      <c r="N47" s="1" t="s">
        <v>606</v>
      </c>
      <c r="O47" s="2" t="s">
        <v>314</v>
      </c>
      <c r="P47" s="1" t="s">
        <v>607</v>
      </c>
      <c r="Q47" s="2" t="s">
        <v>70</v>
      </c>
      <c r="R47" s="2" t="s">
        <v>509</v>
      </c>
      <c r="T47" s="2" t="s">
        <v>73</v>
      </c>
      <c r="U47" s="3">
        <v>1</v>
      </c>
      <c r="V47" s="3">
        <v>19</v>
      </c>
      <c r="W47" s="4" t="s">
        <v>623</v>
      </c>
      <c r="X47" s="4" t="s">
        <v>203</v>
      </c>
      <c r="Y47" s="4" t="s">
        <v>609</v>
      </c>
      <c r="Z47" s="4" t="s">
        <v>609</v>
      </c>
      <c r="AA47" s="3">
        <v>224</v>
      </c>
      <c r="AB47" s="3">
        <v>149</v>
      </c>
      <c r="AC47" s="3">
        <v>158</v>
      </c>
      <c r="AD47" s="3">
        <v>1</v>
      </c>
      <c r="AE47" s="3">
        <v>1</v>
      </c>
      <c r="AF47" s="3">
        <v>2</v>
      </c>
      <c r="AG47" s="3">
        <v>2</v>
      </c>
      <c r="AH47" s="3">
        <v>2</v>
      </c>
      <c r="AI47" s="3">
        <v>2</v>
      </c>
      <c r="AJ47" s="3">
        <v>0</v>
      </c>
      <c r="AK47" s="3">
        <v>0</v>
      </c>
      <c r="AL47" s="3">
        <v>1</v>
      </c>
      <c r="AM47" s="3">
        <v>1</v>
      </c>
      <c r="AN47" s="3">
        <v>0</v>
      </c>
      <c r="AO47" s="3">
        <v>0</v>
      </c>
      <c r="AP47" s="3">
        <v>0</v>
      </c>
      <c r="AQ47" s="3">
        <v>0</v>
      </c>
      <c r="AR47" s="2" t="s">
        <v>63</v>
      </c>
      <c r="AS47" s="2" t="s">
        <v>63</v>
      </c>
      <c r="AU47" s="5" t="str">
        <f>HYPERLINK("https://creighton-primo.hosted.exlibrisgroup.com/primo-explore/search?tab=default_tab&amp;search_scope=EVERYTHING&amp;vid=01CRU&amp;lang=en_US&amp;offset=0&amp;query=any,contains,991000824749702656","Catalog Record")</f>
        <v>Catalog Record</v>
      </c>
      <c r="AV47" s="5" t="str">
        <f>HYPERLINK("http://www.worldcat.org/oclc/38290809","WorldCat Record")</f>
        <v>WorldCat Record</v>
      </c>
      <c r="AW47" s="2" t="s">
        <v>610</v>
      </c>
      <c r="AX47" s="2" t="s">
        <v>611</v>
      </c>
      <c r="AY47" s="2" t="s">
        <v>612</v>
      </c>
      <c r="AZ47" s="2" t="s">
        <v>612</v>
      </c>
      <c r="BA47" s="2" t="s">
        <v>613</v>
      </c>
      <c r="BB47" s="2" t="s">
        <v>81</v>
      </c>
      <c r="BD47" s="2" t="s">
        <v>614</v>
      </c>
      <c r="BE47" s="2" t="s">
        <v>624</v>
      </c>
      <c r="BF47" s="2" t="s">
        <v>625</v>
      </c>
    </row>
    <row r="48" spans="1:58" ht="42" customHeight="1">
      <c r="A48" s="1"/>
      <c r="B48" s="1" t="s">
        <v>58</v>
      </c>
      <c r="C48" s="1" t="s">
        <v>59</v>
      </c>
      <c r="D48" s="1" t="s">
        <v>602</v>
      </c>
      <c r="E48" s="1" t="s">
        <v>603</v>
      </c>
      <c r="F48" s="1" t="s">
        <v>604</v>
      </c>
      <c r="G48" s="2" t="s">
        <v>165</v>
      </c>
      <c r="H48" s="2" t="s">
        <v>76</v>
      </c>
      <c r="I48" s="2" t="s">
        <v>64</v>
      </c>
      <c r="J48" s="2" t="s">
        <v>63</v>
      </c>
      <c r="K48" s="2" t="s">
        <v>63</v>
      </c>
      <c r="L48" s="2" t="s">
        <v>65</v>
      </c>
      <c r="M48" s="1" t="s">
        <v>605</v>
      </c>
      <c r="N48" s="1" t="s">
        <v>606</v>
      </c>
      <c r="O48" s="2" t="s">
        <v>314</v>
      </c>
      <c r="P48" s="1" t="s">
        <v>607</v>
      </c>
      <c r="Q48" s="2" t="s">
        <v>70</v>
      </c>
      <c r="R48" s="2" t="s">
        <v>509</v>
      </c>
      <c r="T48" s="2" t="s">
        <v>73</v>
      </c>
      <c r="U48" s="3">
        <v>14</v>
      </c>
      <c r="V48" s="3">
        <v>19</v>
      </c>
      <c r="W48" s="4" t="s">
        <v>203</v>
      </c>
      <c r="X48" s="4" t="s">
        <v>203</v>
      </c>
      <c r="Y48" s="4" t="s">
        <v>609</v>
      </c>
      <c r="Z48" s="4" t="s">
        <v>609</v>
      </c>
      <c r="AA48" s="3">
        <v>224</v>
      </c>
      <c r="AB48" s="3">
        <v>149</v>
      </c>
      <c r="AC48" s="3">
        <v>158</v>
      </c>
      <c r="AD48" s="3">
        <v>1</v>
      </c>
      <c r="AE48" s="3">
        <v>1</v>
      </c>
      <c r="AF48" s="3">
        <v>2</v>
      </c>
      <c r="AG48" s="3">
        <v>2</v>
      </c>
      <c r="AH48" s="3">
        <v>2</v>
      </c>
      <c r="AI48" s="3">
        <v>2</v>
      </c>
      <c r="AJ48" s="3">
        <v>0</v>
      </c>
      <c r="AK48" s="3">
        <v>0</v>
      </c>
      <c r="AL48" s="3">
        <v>1</v>
      </c>
      <c r="AM48" s="3">
        <v>1</v>
      </c>
      <c r="AN48" s="3">
        <v>0</v>
      </c>
      <c r="AO48" s="3">
        <v>0</v>
      </c>
      <c r="AP48" s="3">
        <v>0</v>
      </c>
      <c r="AQ48" s="3">
        <v>0</v>
      </c>
      <c r="AR48" s="2" t="s">
        <v>63</v>
      </c>
      <c r="AS48" s="2" t="s">
        <v>63</v>
      </c>
      <c r="AU48" s="5" t="str">
        <f>HYPERLINK("https://creighton-primo.hosted.exlibrisgroup.com/primo-explore/search?tab=default_tab&amp;search_scope=EVERYTHING&amp;vid=01CRU&amp;lang=en_US&amp;offset=0&amp;query=any,contains,991000824749702656","Catalog Record")</f>
        <v>Catalog Record</v>
      </c>
      <c r="AV48" s="5" t="str">
        <f>HYPERLINK("http://www.worldcat.org/oclc/38290809","WorldCat Record")</f>
        <v>WorldCat Record</v>
      </c>
      <c r="AW48" s="2" t="s">
        <v>610</v>
      </c>
      <c r="AX48" s="2" t="s">
        <v>611</v>
      </c>
      <c r="AY48" s="2" t="s">
        <v>612</v>
      </c>
      <c r="AZ48" s="2" t="s">
        <v>612</v>
      </c>
      <c r="BA48" s="2" t="s">
        <v>613</v>
      </c>
      <c r="BB48" s="2" t="s">
        <v>81</v>
      </c>
      <c r="BD48" s="2" t="s">
        <v>614</v>
      </c>
      <c r="BE48" s="2" t="s">
        <v>626</v>
      </c>
      <c r="BF48" s="2" t="s">
        <v>627</v>
      </c>
    </row>
    <row r="49" spans="1:58" ht="42" customHeight="1">
      <c r="A49" s="1"/>
      <c r="B49" s="1" t="s">
        <v>58</v>
      </c>
      <c r="C49" s="1" t="s">
        <v>59</v>
      </c>
      <c r="D49" s="1" t="s">
        <v>628</v>
      </c>
      <c r="E49" s="1" t="s">
        <v>629</v>
      </c>
      <c r="F49" s="1" t="s">
        <v>630</v>
      </c>
      <c r="H49" s="2" t="s">
        <v>63</v>
      </c>
      <c r="I49" s="2" t="s">
        <v>64</v>
      </c>
      <c r="J49" s="2" t="s">
        <v>63</v>
      </c>
      <c r="K49" s="2" t="s">
        <v>63</v>
      </c>
      <c r="L49" s="2" t="s">
        <v>65</v>
      </c>
      <c r="N49" s="1" t="s">
        <v>631</v>
      </c>
      <c r="O49" s="2" t="s">
        <v>632</v>
      </c>
      <c r="P49" s="1" t="s">
        <v>633</v>
      </c>
      <c r="Q49" s="2" t="s">
        <v>70</v>
      </c>
      <c r="R49" s="2" t="s">
        <v>107</v>
      </c>
      <c r="T49" s="2" t="s">
        <v>73</v>
      </c>
      <c r="U49" s="3">
        <v>14</v>
      </c>
      <c r="V49" s="3">
        <v>14</v>
      </c>
      <c r="W49" s="4" t="s">
        <v>634</v>
      </c>
      <c r="X49" s="4" t="s">
        <v>634</v>
      </c>
      <c r="Y49" s="4" t="s">
        <v>635</v>
      </c>
      <c r="Z49" s="4" t="s">
        <v>635</v>
      </c>
      <c r="AA49" s="3">
        <v>490</v>
      </c>
      <c r="AB49" s="3">
        <v>416</v>
      </c>
      <c r="AC49" s="3">
        <v>1046</v>
      </c>
      <c r="AD49" s="3">
        <v>1</v>
      </c>
      <c r="AE49" s="3">
        <v>8</v>
      </c>
      <c r="AF49" s="3">
        <v>8</v>
      </c>
      <c r="AG49" s="3">
        <v>29</v>
      </c>
      <c r="AH49" s="3">
        <v>4</v>
      </c>
      <c r="AI49" s="3">
        <v>13</v>
      </c>
      <c r="AJ49" s="3">
        <v>2</v>
      </c>
      <c r="AK49" s="3">
        <v>6</v>
      </c>
      <c r="AL49" s="3">
        <v>4</v>
      </c>
      <c r="AM49" s="3">
        <v>13</v>
      </c>
      <c r="AN49" s="3">
        <v>0</v>
      </c>
      <c r="AO49" s="3">
        <v>6</v>
      </c>
      <c r="AP49" s="3">
        <v>0</v>
      </c>
      <c r="AQ49" s="3">
        <v>0</v>
      </c>
      <c r="AR49" s="2" t="s">
        <v>63</v>
      </c>
      <c r="AS49" s="2" t="s">
        <v>76</v>
      </c>
      <c r="AT49" s="5" t="str">
        <f>HYPERLINK("http://catalog.hathitrust.org/Record/002514760","HathiTrust Record")</f>
        <v>HathiTrust Record</v>
      </c>
      <c r="AU49" s="5" t="str">
        <f>HYPERLINK("https://creighton-primo.hosted.exlibrisgroup.com/primo-explore/search?tab=default_tab&amp;search_scope=EVERYTHING&amp;vid=01CRU&amp;lang=en_US&amp;offset=0&amp;query=any,contains,991001302679702656","Catalog Record")</f>
        <v>Catalog Record</v>
      </c>
      <c r="AV49" s="5" t="str">
        <f>HYPERLINK("http://www.worldcat.org/oclc/24796112","WorldCat Record")</f>
        <v>WorldCat Record</v>
      </c>
      <c r="AW49" s="2" t="s">
        <v>636</v>
      </c>
      <c r="AX49" s="2" t="s">
        <v>637</v>
      </c>
      <c r="AY49" s="2" t="s">
        <v>638</v>
      </c>
      <c r="AZ49" s="2" t="s">
        <v>638</v>
      </c>
      <c r="BA49" s="2" t="s">
        <v>639</v>
      </c>
      <c r="BB49" s="2" t="s">
        <v>81</v>
      </c>
      <c r="BD49" s="2" t="s">
        <v>640</v>
      </c>
      <c r="BE49" s="2" t="s">
        <v>641</v>
      </c>
      <c r="BF49" s="2" t="s">
        <v>642</v>
      </c>
    </row>
    <row r="50" spans="1:58" ht="42" customHeight="1">
      <c r="A50" s="1"/>
      <c r="B50" s="1" t="s">
        <v>58</v>
      </c>
      <c r="C50" s="1" t="s">
        <v>59</v>
      </c>
      <c r="D50" s="1" t="s">
        <v>643</v>
      </c>
      <c r="E50" s="1" t="s">
        <v>644</v>
      </c>
      <c r="F50" s="1" t="s">
        <v>645</v>
      </c>
      <c r="H50" s="2" t="s">
        <v>63</v>
      </c>
      <c r="I50" s="2" t="s">
        <v>64</v>
      </c>
      <c r="J50" s="2" t="s">
        <v>63</v>
      </c>
      <c r="K50" s="2" t="s">
        <v>63</v>
      </c>
      <c r="L50" s="2" t="s">
        <v>64</v>
      </c>
      <c r="M50" s="1" t="s">
        <v>646</v>
      </c>
      <c r="N50" s="1" t="s">
        <v>647</v>
      </c>
      <c r="O50" s="2" t="s">
        <v>374</v>
      </c>
      <c r="Q50" s="2" t="s">
        <v>70</v>
      </c>
      <c r="R50" s="2" t="s">
        <v>648</v>
      </c>
      <c r="T50" s="2" t="s">
        <v>73</v>
      </c>
      <c r="U50" s="3">
        <v>0</v>
      </c>
      <c r="V50" s="3">
        <v>0</v>
      </c>
      <c r="W50" s="4" t="s">
        <v>649</v>
      </c>
      <c r="X50" s="4" t="s">
        <v>649</v>
      </c>
      <c r="Y50" s="4" t="s">
        <v>649</v>
      </c>
      <c r="Z50" s="4" t="s">
        <v>649</v>
      </c>
      <c r="AA50" s="3">
        <v>375</v>
      </c>
      <c r="AB50" s="3">
        <v>305</v>
      </c>
      <c r="AC50" s="3">
        <v>1257</v>
      </c>
      <c r="AD50" s="3">
        <v>2</v>
      </c>
      <c r="AE50" s="3">
        <v>15</v>
      </c>
      <c r="AF50" s="3">
        <v>12</v>
      </c>
      <c r="AG50" s="3">
        <v>46</v>
      </c>
      <c r="AH50" s="3">
        <v>7</v>
      </c>
      <c r="AI50" s="3">
        <v>15</v>
      </c>
      <c r="AJ50" s="3">
        <v>2</v>
      </c>
      <c r="AK50" s="3">
        <v>10</v>
      </c>
      <c r="AL50" s="3">
        <v>6</v>
      </c>
      <c r="AM50" s="3">
        <v>15</v>
      </c>
      <c r="AN50" s="3">
        <v>0</v>
      </c>
      <c r="AO50" s="3">
        <v>12</v>
      </c>
      <c r="AP50" s="3">
        <v>0</v>
      </c>
      <c r="AQ50" s="3">
        <v>2</v>
      </c>
      <c r="AR50" s="2" t="s">
        <v>63</v>
      </c>
      <c r="AS50" s="2" t="s">
        <v>63</v>
      </c>
      <c r="AU50" s="5" t="str">
        <f>HYPERLINK("https://creighton-primo.hosted.exlibrisgroup.com/primo-explore/search?tab=default_tab&amp;search_scope=EVERYTHING&amp;vid=01CRU&amp;lang=en_US&amp;offset=0&amp;query=any,contains,991000385359702656","Catalog Record")</f>
        <v>Catalog Record</v>
      </c>
      <c r="AV50" s="5" t="str">
        <f>HYPERLINK("http://www.worldcat.org/oclc/50761072","WorldCat Record")</f>
        <v>WorldCat Record</v>
      </c>
      <c r="AW50" s="2" t="s">
        <v>650</v>
      </c>
      <c r="AX50" s="2" t="s">
        <v>651</v>
      </c>
      <c r="AY50" s="2" t="s">
        <v>652</v>
      </c>
      <c r="AZ50" s="2" t="s">
        <v>652</v>
      </c>
      <c r="BA50" s="2" t="s">
        <v>653</v>
      </c>
      <c r="BB50" s="2" t="s">
        <v>81</v>
      </c>
      <c r="BD50" s="2" t="s">
        <v>654</v>
      </c>
      <c r="BE50" s="2" t="s">
        <v>655</v>
      </c>
      <c r="BF50" s="2" t="s">
        <v>656</v>
      </c>
    </row>
    <row r="51" spans="1:58" ht="42" customHeight="1">
      <c r="A51" s="1"/>
      <c r="B51" s="1" t="s">
        <v>58</v>
      </c>
      <c r="C51" s="1" t="s">
        <v>59</v>
      </c>
      <c r="D51" s="1" t="s">
        <v>657</v>
      </c>
      <c r="E51" s="1" t="s">
        <v>658</v>
      </c>
      <c r="F51" s="1" t="s">
        <v>659</v>
      </c>
      <c r="G51" s="2" t="s">
        <v>184</v>
      </c>
      <c r="H51" s="2" t="s">
        <v>76</v>
      </c>
      <c r="I51" s="2" t="s">
        <v>64</v>
      </c>
      <c r="J51" s="2" t="s">
        <v>63</v>
      </c>
      <c r="K51" s="2" t="s">
        <v>76</v>
      </c>
      <c r="L51" s="2" t="s">
        <v>65</v>
      </c>
      <c r="N51" s="1" t="s">
        <v>660</v>
      </c>
      <c r="O51" s="2" t="s">
        <v>632</v>
      </c>
      <c r="Q51" s="2" t="s">
        <v>70</v>
      </c>
      <c r="R51" s="2" t="s">
        <v>71</v>
      </c>
      <c r="T51" s="2" t="s">
        <v>73</v>
      </c>
      <c r="U51" s="3">
        <v>0</v>
      </c>
      <c r="V51" s="3">
        <v>11</v>
      </c>
      <c r="X51" s="4" t="s">
        <v>661</v>
      </c>
      <c r="Y51" s="4" t="s">
        <v>75</v>
      </c>
      <c r="Z51" s="4" t="s">
        <v>75</v>
      </c>
      <c r="AA51" s="3">
        <v>542</v>
      </c>
      <c r="AB51" s="3">
        <v>405</v>
      </c>
      <c r="AC51" s="3">
        <v>801</v>
      </c>
      <c r="AD51" s="3">
        <v>2</v>
      </c>
      <c r="AE51" s="3">
        <v>2</v>
      </c>
      <c r="AF51" s="3">
        <v>10</v>
      </c>
      <c r="AG51" s="3">
        <v>26</v>
      </c>
      <c r="AH51" s="3">
        <v>4</v>
      </c>
      <c r="AI51" s="3">
        <v>12</v>
      </c>
      <c r="AJ51" s="3">
        <v>3</v>
      </c>
      <c r="AK51" s="3">
        <v>5</v>
      </c>
      <c r="AL51" s="3">
        <v>8</v>
      </c>
      <c r="AM51" s="3">
        <v>15</v>
      </c>
      <c r="AN51" s="3">
        <v>1</v>
      </c>
      <c r="AO51" s="3">
        <v>1</v>
      </c>
      <c r="AP51" s="3">
        <v>0</v>
      </c>
      <c r="AQ51" s="3">
        <v>0</v>
      </c>
      <c r="AR51" s="2" t="s">
        <v>63</v>
      </c>
      <c r="AS51" s="2" t="s">
        <v>76</v>
      </c>
      <c r="AT51" s="5" t="str">
        <f>HYPERLINK("http://catalog.hathitrust.org/Record/002577865","HathiTrust Record")</f>
        <v>HathiTrust Record</v>
      </c>
      <c r="AU51" s="5" t="str">
        <f>HYPERLINK("https://creighton-primo.hosted.exlibrisgroup.com/primo-explore/search?tab=default_tab&amp;search_scope=EVERYTHING&amp;vid=01CRU&amp;lang=en_US&amp;offset=0&amp;query=any,contains,991000686289702656","Catalog Record")</f>
        <v>Catalog Record</v>
      </c>
      <c r="AV51" s="5" t="str">
        <f>HYPERLINK("http://www.worldcat.org/oclc/25316345","WorldCat Record")</f>
        <v>WorldCat Record</v>
      </c>
      <c r="AW51" s="2" t="s">
        <v>662</v>
      </c>
      <c r="AX51" s="2" t="s">
        <v>663</v>
      </c>
      <c r="AY51" s="2" t="s">
        <v>664</v>
      </c>
      <c r="AZ51" s="2" t="s">
        <v>664</v>
      </c>
      <c r="BA51" s="2" t="s">
        <v>665</v>
      </c>
      <c r="BB51" s="2" t="s">
        <v>81</v>
      </c>
      <c r="BD51" s="2" t="s">
        <v>666</v>
      </c>
      <c r="BE51" s="2" t="s">
        <v>667</v>
      </c>
      <c r="BF51" s="2" t="s">
        <v>668</v>
      </c>
    </row>
    <row r="52" spans="1:58" ht="42" customHeight="1">
      <c r="A52" s="1"/>
      <c r="B52" s="1" t="s">
        <v>58</v>
      </c>
      <c r="C52" s="1" t="s">
        <v>59</v>
      </c>
      <c r="D52" s="1" t="s">
        <v>657</v>
      </c>
      <c r="E52" s="1" t="s">
        <v>658</v>
      </c>
      <c r="F52" s="1" t="s">
        <v>659</v>
      </c>
      <c r="G52" s="2" t="s">
        <v>178</v>
      </c>
      <c r="H52" s="2" t="s">
        <v>76</v>
      </c>
      <c r="I52" s="2" t="s">
        <v>64</v>
      </c>
      <c r="J52" s="2" t="s">
        <v>63</v>
      </c>
      <c r="K52" s="2" t="s">
        <v>76</v>
      </c>
      <c r="L52" s="2" t="s">
        <v>65</v>
      </c>
      <c r="N52" s="1" t="s">
        <v>660</v>
      </c>
      <c r="O52" s="2" t="s">
        <v>632</v>
      </c>
      <c r="Q52" s="2" t="s">
        <v>70</v>
      </c>
      <c r="R52" s="2" t="s">
        <v>71</v>
      </c>
      <c r="T52" s="2" t="s">
        <v>73</v>
      </c>
      <c r="U52" s="3">
        <v>5</v>
      </c>
      <c r="V52" s="3">
        <v>11</v>
      </c>
      <c r="W52" s="4" t="s">
        <v>661</v>
      </c>
      <c r="X52" s="4" t="s">
        <v>661</v>
      </c>
      <c r="Y52" s="4" t="s">
        <v>75</v>
      </c>
      <c r="Z52" s="4" t="s">
        <v>75</v>
      </c>
      <c r="AA52" s="3">
        <v>542</v>
      </c>
      <c r="AB52" s="3">
        <v>405</v>
      </c>
      <c r="AC52" s="3">
        <v>801</v>
      </c>
      <c r="AD52" s="3">
        <v>2</v>
      </c>
      <c r="AE52" s="3">
        <v>2</v>
      </c>
      <c r="AF52" s="3">
        <v>10</v>
      </c>
      <c r="AG52" s="3">
        <v>26</v>
      </c>
      <c r="AH52" s="3">
        <v>4</v>
      </c>
      <c r="AI52" s="3">
        <v>12</v>
      </c>
      <c r="AJ52" s="3">
        <v>3</v>
      </c>
      <c r="AK52" s="3">
        <v>5</v>
      </c>
      <c r="AL52" s="3">
        <v>8</v>
      </c>
      <c r="AM52" s="3">
        <v>15</v>
      </c>
      <c r="AN52" s="3">
        <v>1</v>
      </c>
      <c r="AO52" s="3">
        <v>1</v>
      </c>
      <c r="AP52" s="3">
        <v>0</v>
      </c>
      <c r="AQ52" s="3">
        <v>0</v>
      </c>
      <c r="AR52" s="2" t="s">
        <v>63</v>
      </c>
      <c r="AS52" s="2" t="s">
        <v>76</v>
      </c>
      <c r="AT52" s="5" t="str">
        <f>HYPERLINK("http://catalog.hathitrust.org/Record/002577865","HathiTrust Record")</f>
        <v>HathiTrust Record</v>
      </c>
      <c r="AU52" s="5" t="str">
        <f>HYPERLINK("https://creighton-primo.hosted.exlibrisgroup.com/primo-explore/search?tab=default_tab&amp;search_scope=EVERYTHING&amp;vid=01CRU&amp;lang=en_US&amp;offset=0&amp;query=any,contains,991000686289702656","Catalog Record")</f>
        <v>Catalog Record</v>
      </c>
      <c r="AV52" s="5" t="str">
        <f>HYPERLINK("http://www.worldcat.org/oclc/25316345","WorldCat Record")</f>
        <v>WorldCat Record</v>
      </c>
      <c r="AW52" s="2" t="s">
        <v>662</v>
      </c>
      <c r="AX52" s="2" t="s">
        <v>663</v>
      </c>
      <c r="AY52" s="2" t="s">
        <v>664</v>
      </c>
      <c r="AZ52" s="2" t="s">
        <v>664</v>
      </c>
      <c r="BA52" s="2" t="s">
        <v>665</v>
      </c>
      <c r="BB52" s="2" t="s">
        <v>81</v>
      </c>
      <c r="BD52" s="2" t="s">
        <v>666</v>
      </c>
      <c r="BE52" s="2" t="s">
        <v>669</v>
      </c>
      <c r="BF52" s="2" t="s">
        <v>670</v>
      </c>
    </row>
    <row r="53" spans="1:58" ht="42" customHeight="1">
      <c r="A53" s="1"/>
      <c r="B53" s="1" t="s">
        <v>58</v>
      </c>
      <c r="C53" s="1" t="s">
        <v>59</v>
      </c>
      <c r="D53" s="1" t="s">
        <v>657</v>
      </c>
      <c r="E53" s="1" t="s">
        <v>658</v>
      </c>
      <c r="F53" s="1" t="s">
        <v>659</v>
      </c>
      <c r="G53" s="2" t="s">
        <v>165</v>
      </c>
      <c r="H53" s="2" t="s">
        <v>76</v>
      </c>
      <c r="I53" s="2" t="s">
        <v>64</v>
      </c>
      <c r="J53" s="2" t="s">
        <v>63</v>
      </c>
      <c r="K53" s="2" t="s">
        <v>76</v>
      </c>
      <c r="L53" s="2" t="s">
        <v>65</v>
      </c>
      <c r="N53" s="1" t="s">
        <v>660</v>
      </c>
      <c r="O53" s="2" t="s">
        <v>632</v>
      </c>
      <c r="Q53" s="2" t="s">
        <v>70</v>
      </c>
      <c r="R53" s="2" t="s">
        <v>71</v>
      </c>
      <c r="T53" s="2" t="s">
        <v>73</v>
      </c>
      <c r="U53" s="3">
        <v>6</v>
      </c>
      <c r="V53" s="3">
        <v>11</v>
      </c>
      <c r="W53" s="4" t="s">
        <v>671</v>
      </c>
      <c r="X53" s="4" t="s">
        <v>661</v>
      </c>
      <c r="Y53" s="4" t="s">
        <v>75</v>
      </c>
      <c r="Z53" s="4" t="s">
        <v>75</v>
      </c>
      <c r="AA53" s="3">
        <v>542</v>
      </c>
      <c r="AB53" s="3">
        <v>405</v>
      </c>
      <c r="AC53" s="3">
        <v>801</v>
      </c>
      <c r="AD53" s="3">
        <v>2</v>
      </c>
      <c r="AE53" s="3">
        <v>2</v>
      </c>
      <c r="AF53" s="3">
        <v>10</v>
      </c>
      <c r="AG53" s="3">
        <v>26</v>
      </c>
      <c r="AH53" s="3">
        <v>4</v>
      </c>
      <c r="AI53" s="3">
        <v>12</v>
      </c>
      <c r="AJ53" s="3">
        <v>3</v>
      </c>
      <c r="AK53" s="3">
        <v>5</v>
      </c>
      <c r="AL53" s="3">
        <v>8</v>
      </c>
      <c r="AM53" s="3">
        <v>15</v>
      </c>
      <c r="AN53" s="3">
        <v>1</v>
      </c>
      <c r="AO53" s="3">
        <v>1</v>
      </c>
      <c r="AP53" s="3">
        <v>0</v>
      </c>
      <c r="AQ53" s="3">
        <v>0</v>
      </c>
      <c r="AR53" s="2" t="s">
        <v>63</v>
      </c>
      <c r="AS53" s="2" t="s">
        <v>76</v>
      </c>
      <c r="AT53" s="5" t="str">
        <f>HYPERLINK("http://catalog.hathitrust.org/Record/002577865","HathiTrust Record")</f>
        <v>HathiTrust Record</v>
      </c>
      <c r="AU53" s="5" t="str">
        <f>HYPERLINK("https://creighton-primo.hosted.exlibrisgroup.com/primo-explore/search?tab=default_tab&amp;search_scope=EVERYTHING&amp;vid=01CRU&amp;lang=en_US&amp;offset=0&amp;query=any,contains,991000686289702656","Catalog Record")</f>
        <v>Catalog Record</v>
      </c>
      <c r="AV53" s="5" t="str">
        <f>HYPERLINK("http://www.worldcat.org/oclc/25316345","WorldCat Record")</f>
        <v>WorldCat Record</v>
      </c>
      <c r="AW53" s="2" t="s">
        <v>662</v>
      </c>
      <c r="AX53" s="2" t="s">
        <v>663</v>
      </c>
      <c r="AY53" s="2" t="s">
        <v>664</v>
      </c>
      <c r="AZ53" s="2" t="s">
        <v>664</v>
      </c>
      <c r="BA53" s="2" t="s">
        <v>665</v>
      </c>
      <c r="BB53" s="2" t="s">
        <v>81</v>
      </c>
      <c r="BD53" s="2" t="s">
        <v>666</v>
      </c>
      <c r="BE53" s="2" t="s">
        <v>672</v>
      </c>
      <c r="BF53" s="2" t="s">
        <v>673</v>
      </c>
    </row>
    <row r="54" spans="1:58" ht="42" customHeight="1">
      <c r="A54" s="1"/>
      <c r="B54" s="1" t="s">
        <v>58</v>
      </c>
      <c r="C54" s="1" t="s">
        <v>59</v>
      </c>
      <c r="D54" s="1" t="s">
        <v>657</v>
      </c>
      <c r="E54" s="1" t="s">
        <v>658</v>
      </c>
      <c r="F54" s="1" t="s">
        <v>659</v>
      </c>
      <c r="G54" s="2" t="s">
        <v>193</v>
      </c>
      <c r="H54" s="2" t="s">
        <v>76</v>
      </c>
      <c r="I54" s="2" t="s">
        <v>64</v>
      </c>
      <c r="J54" s="2" t="s">
        <v>63</v>
      </c>
      <c r="K54" s="2" t="s">
        <v>76</v>
      </c>
      <c r="L54" s="2" t="s">
        <v>65</v>
      </c>
      <c r="N54" s="1" t="s">
        <v>660</v>
      </c>
      <c r="O54" s="2" t="s">
        <v>632</v>
      </c>
      <c r="Q54" s="2" t="s">
        <v>70</v>
      </c>
      <c r="R54" s="2" t="s">
        <v>71</v>
      </c>
      <c r="T54" s="2" t="s">
        <v>73</v>
      </c>
      <c r="U54" s="3">
        <v>0</v>
      </c>
      <c r="V54" s="3">
        <v>11</v>
      </c>
      <c r="X54" s="4" t="s">
        <v>661</v>
      </c>
      <c r="Y54" s="4" t="s">
        <v>75</v>
      </c>
      <c r="Z54" s="4" t="s">
        <v>75</v>
      </c>
      <c r="AA54" s="3">
        <v>542</v>
      </c>
      <c r="AB54" s="3">
        <v>405</v>
      </c>
      <c r="AC54" s="3">
        <v>801</v>
      </c>
      <c r="AD54" s="3">
        <v>2</v>
      </c>
      <c r="AE54" s="3">
        <v>2</v>
      </c>
      <c r="AF54" s="3">
        <v>10</v>
      </c>
      <c r="AG54" s="3">
        <v>26</v>
      </c>
      <c r="AH54" s="3">
        <v>4</v>
      </c>
      <c r="AI54" s="3">
        <v>12</v>
      </c>
      <c r="AJ54" s="3">
        <v>3</v>
      </c>
      <c r="AK54" s="3">
        <v>5</v>
      </c>
      <c r="AL54" s="3">
        <v>8</v>
      </c>
      <c r="AM54" s="3">
        <v>15</v>
      </c>
      <c r="AN54" s="3">
        <v>1</v>
      </c>
      <c r="AO54" s="3">
        <v>1</v>
      </c>
      <c r="AP54" s="3">
        <v>0</v>
      </c>
      <c r="AQ54" s="3">
        <v>0</v>
      </c>
      <c r="AR54" s="2" t="s">
        <v>63</v>
      </c>
      <c r="AS54" s="2" t="s">
        <v>76</v>
      </c>
      <c r="AT54" s="5" t="str">
        <f>HYPERLINK("http://catalog.hathitrust.org/Record/002577865","HathiTrust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HYPERLINK("https://creighton-primo.hosted.exlibrisgroup.com/primo-explore/search?tab=default_tab&amp;search_scope=EVERYTHING&amp;vid=01CRU&amp;lang=en_US&amp;offset=0&amp;query=any,contains,991000686289702656","Catalog Record")</f>
        <v>Catalog Record</v>
      </c>
      <c r="AV54" s="5" t="str">
        <f>HYPERLINK("http://www.worldcat.org/oclc/25316345","WorldCat Record")</f>
        <v>WorldCat Record</v>
      </c>
      <c r="AW54" s="2" t="s">
        <v>662</v>
      </c>
      <c r="AX54" s="2" t="s">
        <v>663</v>
      </c>
      <c r="AY54" s="2" t="s">
        <v>664</v>
      </c>
      <c r="AZ54" s="2" t="s">
        <v>664</v>
      </c>
      <c r="BA54" s="2" t="s">
        <v>665</v>
      </c>
      <c r="BB54" s="2" t="s">
        <v>81</v>
      </c>
      <c r="BD54" s="2" t="s">
        <v>666</v>
      </c>
      <c r="BE54" s="2" t="s">
        <v>674</v>
      </c>
      <c r="BF54" s="2" t="s">
        <v>675</v>
      </c>
    </row>
    <row r="55" spans="1:58" ht="42" customHeight="1">
      <c r="A55" s="1"/>
      <c r="B55" s="1" t="s">
        <v>58</v>
      </c>
      <c r="C55" s="1" t="s">
        <v>59</v>
      </c>
      <c r="D55" s="1" t="s">
        <v>676</v>
      </c>
      <c r="E55" s="1" t="s">
        <v>677</v>
      </c>
      <c r="F55" s="1" t="s">
        <v>678</v>
      </c>
      <c r="G55" s="2" t="s">
        <v>165</v>
      </c>
      <c r="H55" s="2" t="s">
        <v>76</v>
      </c>
      <c r="I55" s="2" t="s">
        <v>64</v>
      </c>
      <c r="J55" s="2" t="s">
        <v>63</v>
      </c>
      <c r="K55" s="2" t="s">
        <v>63</v>
      </c>
      <c r="L55" s="2" t="s">
        <v>65</v>
      </c>
      <c r="N55" s="1" t="s">
        <v>679</v>
      </c>
      <c r="O55" s="2" t="s">
        <v>68</v>
      </c>
      <c r="Q55" s="2" t="s">
        <v>70</v>
      </c>
      <c r="R55" s="2" t="s">
        <v>509</v>
      </c>
      <c r="T55" s="2" t="s">
        <v>73</v>
      </c>
      <c r="U55" s="3">
        <v>4</v>
      </c>
      <c r="V55" s="3">
        <v>19</v>
      </c>
      <c r="W55" s="4" t="s">
        <v>680</v>
      </c>
      <c r="X55" s="4" t="s">
        <v>680</v>
      </c>
      <c r="Y55" s="4" t="s">
        <v>680</v>
      </c>
      <c r="Z55" s="4" t="s">
        <v>680</v>
      </c>
      <c r="AA55" s="3">
        <v>374</v>
      </c>
      <c r="AB55" s="3">
        <v>281</v>
      </c>
      <c r="AC55" s="3">
        <v>482</v>
      </c>
      <c r="AD55" s="3">
        <v>2</v>
      </c>
      <c r="AE55" s="3">
        <v>2</v>
      </c>
      <c r="AF55" s="3">
        <v>8</v>
      </c>
      <c r="AG55" s="3">
        <v>19</v>
      </c>
      <c r="AH55" s="3">
        <v>3</v>
      </c>
      <c r="AI55" s="3">
        <v>7</v>
      </c>
      <c r="AJ55" s="3">
        <v>1</v>
      </c>
      <c r="AK55" s="3">
        <v>6</v>
      </c>
      <c r="AL55" s="3">
        <v>5</v>
      </c>
      <c r="AM55" s="3">
        <v>10</v>
      </c>
      <c r="AN55" s="3">
        <v>1</v>
      </c>
      <c r="AO55" s="3">
        <v>1</v>
      </c>
      <c r="AP55" s="3">
        <v>0</v>
      </c>
      <c r="AQ55" s="3">
        <v>0</v>
      </c>
      <c r="AR55" s="2" t="s">
        <v>63</v>
      </c>
      <c r="AS55" s="2" t="s">
        <v>76</v>
      </c>
      <c r="AT55" s="5" t="str">
        <f>HYPERLINK("http://catalog.hathitrust.org/Record/002856636","HathiTrust Record")</f>
        <v>HathiTrust Record</v>
      </c>
      <c r="AU55" s="5" t="str">
        <f>HYPERLINK("https://creighton-primo.hosted.exlibrisgroup.com/primo-explore/search?tab=default_tab&amp;search_scope=EVERYTHING&amp;vid=01CRU&amp;lang=en_US&amp;offset=0&amp;query=any,contains,991000670479702656","Catalog Record")</f>
        <v>Catalog Record</v>
      </c>
      <c r="AV55" s="5" t="str">
        <f>HYPERLINK("http://www.worldcat.org/oclc/30052976","WorldCat Record")</f>
        <v>WorldCat Record</v>
      </c>
      <c r="AW55" s="2" t="s">
        <v>681</v>
      </c>
      <c r="AX55" s="2" t="s">
        <v>682</v>
      </c>
      <c r="AY55" s="2" t="s">
        <v>683</v>
      </c>
      <c r="AZ55" s="2" t="s">
        <v>683</v>
      </c>
      <c r="BA55" s="2" t="s">
        <v>684</v>
      </c>
      <c r="BB55" s="2" t="s">
        <v>81</v>
      </c>
      <c r="BD55" s="2" t="s">
        <v>685</v>
      </c>
      <c r="BE55" s="2" t="s">
        <v>686</v>
      </c>
      <c r="BF55" s="2" t="s">
        <v>687</v>
      </c>
    </row>
    <row r="56" spans="1:58" ht="42" customHeight="1">
      <c r="A56" s="1"/>
      <c r="B56" s="1" t="s">
        <v>58</v>
      </c>
      <c r="C56" s="1" t="s">
        <v>59</v>
      </c>
      <c r="D56" s="1" t="s">
        <v>676</v>
      </c>
      <c r="E56" s="1" t="s">
        <v>677</v>
      </c>
      <c r="F56" s="1" t="s">
        <v>678</v>
      </c>
      <c r="G56" s="2" t="s">
        <v>178</v>
      </c>
      <c r="H56" s="2" t="s">
        <v>76</v>
      </c>
      <c r="I56" s="2" t="s">
        <v>64</v>
      </c>
      <c r="J56" s="2" t="s">
        <v>63</v>
      </c>
      <c r="K56" s="2" t="s">
        <v>63</v>
      </c>
      <c r="L56" s="2" t="s">
        <v>65</v>
      </c>
      <c r="N56" s="1" t="s">
        <v>679</v>
      </c>
      <c r="O56" s="2" t="s">
        <v>68</v>
      </c>
      <c r="Q56" s="2" t="s">
        <v>70</v>
      </c>
      <c r="R56" s="2" t="s">
        <v>509</v>
      </c>
      <c r="T56" s="2" t="s">
        <v>73</v>
      </c>
      <c r="U56" s="3">
        <v>6</v>
      </c>
      <c r="V56" s="3">
        <v>19</v>
      </c>
      <c r="W56" s="4" t="s">
        <v>680</v>
      </c>
      <c r="X56" s="4" t="s">
        <v>680</v>
      </c>
      <c r="Y56" s="4" t="s">
        <v>680</v>
      </c>
      <c r="Z56" s="4" t="s">
        <v>680</v>
      </c>
      <c r="AA56" s="3">
        <v>374</v>
      </c>
      <c r="AB56" s="3">
        <v>281</v>
      </c>
      <c r="AC56" s="3">
        <v>482</v>
      </c>
      <c r="AD56" s="3">
        <v>2</v>
      </c>
      <c r="AE56" s="3">
        <v>2</v>
      </c>
      <c r="AF56" s="3">
        <v>8</v>
      </c>
      <c r="AG56" s="3">
        <v>19</v>
      </c>
      <c r="AH56" s="3">
        <v>3</v>
      </c>
      <c r="AI56" s="3">
        <v>7</v>
      </c>
      <c r="AJ56" s="3">
        <v>1</v>
      </c>
      <c r="AK56" s="3">
        <v>6</v>
      </c>
      <c r="AL56" s="3">
        <v>5</v>
      </c>
      <c r="AM56" s="3">
        <v>10</v>
      </c>
      <c r="AN56" s="3">
        <v>1</v>
      </c>
      <c r="AO56" s="3">
        <v>1</v>
      </c>
      <c r="AP56" s="3">
        <v>0</v>
      </c>
      <c r="AQ56" s="3">
        <v>0</v>
      </c>
      <c r="AR56" s="2" t="s">
        <v>63</v>
      </c>
      <c r="AS56" s="2" t="s">
        <v>76</v>
      </c>
      <c r="AT56" s="5" t="str">
        <f>HYPERLINK("http://catalog.hathitrust.org/Record/002856636","HathiTrust Record")</f>
        <v>HathiTrust Record</v>
      </c>
      <c r="AU56" s="5" t="str">
        <f>HYPERLINK("https://creighton-primo.hosted.exlibrisgroup.com/primo-explore/search?tab=default_tab&amp;search_scope=EVERYTHING&amp;vid=01CRU&amp;lang=en_US&amp;offset=0&amp;query=any,contains,991000670479702656","Catalog Record")</f>
        <v>Catalog Record</v>
      </c>
      <c r="AV56" s="5" t="str">
        <f>HYPERLINK("http://www.worldcat.org/oclc/30052976","WorldCat Record")</f>
        <v>WorldCat Record</v>
      </c>
      <c r="AW56" s="2" t="s">
        <v>681</v>
      </c>
      <c r="AX56" s="2" t="s">
        <v>682</v>
      </c>
      <c r="AY56" s="2" t="s">
        <v>683</v>
      </c>
      <c r="AZ56" s="2" t="s">
        <v>683</v>
      </c>
      <c r="BA56" s="2" t="s">
        <v>684</v>
      </c>
      <c r="BB56" s="2" t="s">
        <v>81</v>
      </c>
      <c r="BD56" s="2" t="s">
        <v>685</v>
      </c>
      <c r="BE56" s="2" t="s">
        <v>688</v>
      </c>
      <c r="BF56" s="2" t="s">
        <v>689</v>
      </c>
    </row>
    <row r="57" spans="1:58" ht="42" customHeight="1">
      <c r="A57" s="1"/>
      <c r="B57" s="1" t="s">
        <v>58</v>
      </c>
      <c r="C57" s="1" t="s">
        <v>59</v>
      </c>
      <c r="D57" s="1" t="s">
        <v>676</v>
      </c>
      <c r="E57" s="1" t="s">
        <v>677</v>
      </c>
      <c r="F57" s="1" t="s">
        <v>678</v>
      </c>
      <c r="G57" s="2" t="s">
        <v>184</v>
      </c>
      <c r="H57" s="2" t="s">
        <v>76</v>
      </c>
      <c r="I57" s="2" t="s">
        <v>64</v>
      </c>
      <c r="J57" s="2" t="s">
        <v>63</v>
      </c>
      <c r="K57" s="2" t="s">
        <v>63</v>
      </c>
      <c r="L57" s="2" t="s">
        <v>65</v>
      </c>
      <c r="N57" s="1" t="s">
        <v>679</v>
      </c>
      <c r="O57" s="2" t="s">
        <v>68</v>
      </c>
      <c r="Q57" s="2" t="s">
        <v>70</v>
      </c>
      <c r="R57" s="2" t="s">
        <v>509</v>
      </c>
      <c r="T57" s="2" t="s">
        <v>73</v>
      </c>
      <c r="U57" s="3">
        <v>9</v>
      </c>
      <c r="V57" s="3">
        <v>19</v>
      </c>
      <c r="W57" s="4" t="s">
        <v>680</v>
      </c>
      <c r="X57" s="4" t="s">
        <v>680</v>
      </c>
      <c r="Y57" s="4" t="s">
        <v>680</v>
      </c>
      <c r="Z57" s="4" t="s">
        <v>680</v>
      </c>
      <c r="AA57" s="3">
        <v>374</v>
      </c>
      <c r="AB57" s="3">
        <v>281</v>
      </c>
      <c r="AC57" s="3">
        <v>482</v>
      </c>
      <c r="AD57" s="3">
        <v>2</v>
      </c>
      <c r="AE57" s="3">
        <v>2</v>
      </c>
      <c r="AF57" s="3">
        <v>8</v>
      </c>
      <c r="AG57" s="3">
        <v>19</v>
      </c>
      <c r="AH57" s="3">
        <v>3</v>
      </c>
      <c r="AI57" s="3">
        <v>7</v>
      </c>
      <c r="AJ57" s="3">
        <v>1</v>
      </c>
      <c r="AK57" s="3">
        <v>6</v>
      </c>
      <c r="AL57" s="3">
        <v>5</v>
      </c>
      <c r="AM57" s="3">
        <v>10</v>
      </c>
      <c r="AN57" s="3">
        <v>1</v>
      </c>
      <c r="AO57" s="3">
        <v>1</v>
      </c>
      <c r="AP57" s="3">
        <v>0</v>
      </c>
      <c r="AQ57" s="3">
        <v>0</v>
      </c>
      <c r="AR57" s="2" t="s">
        <v>63</v>
      </c>
      <c r="AS57" s="2" t="s">
        <v>76</v>
      </c>
      <c r="AT57" s="5" t="str">
        <f>HYPERLINK("http://catalog.hathitrust.org/Record/002856636","HathiTrust Record")</f>
        <v>HathiTrust Record</v>
      </c>
      <c r="AU57" s="5" t="str">
        <f>HYPERLINK("https://creighton-primo.hosted.exlibrisgroup.com/primo-explore/search?tab=default_tab&amp;search_scope=EVERYTHING&amp;vid=01CRU&amp;lang=en_US&amp;offset=0&amp;query=any,contains,991000670479702656","Catalog Record")</f>
        <v>Catalog Record</v>
      </c>
      <c r="AV57" s="5" t="str">
        <f>HYPERLINK("http://www.worldcat.org/oclc/30052976","WorldCat Record")</f>
        <v>WorldCat Record</v>
      </c>
      <c r="AW57" s="2" t="s">
        <v>681</v>
      </c>
      <c r="AX57" s="2" t="s">
        <v>682</v>
      </c>
      <c r="AY57" s="2" t="s">
        <v>683</v>
      </c>
      <c r="AZ57" s="2" t="s">
        <v>683</v>
      </c>
      <c r="BA57" s="2" t="s">
        <v>684</v>
      </c>
      <c r="BB57" s="2" t="s">
        <v>81</v>
      </c>
      <c r="BD57" s="2" t="s">
        <v>685</v>
      </c>
      <c r="BE57" s="2" t="s">
        <v>690</v>
      </c>
      <c r="BF57" s="2" t="s">
        <v>691</v>
      </c>
    </row>
    <row r="58" spans="1:58" ht="42" customHeight="1">
      <c r="A58" s="1"/>
      <c r="B58" s="1" t="s">
        <v>58</v>
      </c>
      <c r="C58" s="1" t="s">
        <v>59</v>
      </c>
      <c r="D58" s="1" t="s">
        <v>692</v>
      </c>
      <c r="E58" s="1" t="s">
        <v>693</v>
      </c>
      <c r="F58" s="1" t="s">
        <v>694</v>
      </c>
      <c r="H58" s="2" t="s">
        <v>63</v>
      </c>
      <c r="I58" s="2" t="s">
        <v>64</v>
      </c>
      <c r="J58" s="2" t="s">
        <v>63</v>
      </c>
      <c r="K58" s="2" t="s">
        <v>63</v>
      </c>
      <c r="L58" s="2" t="s">
        <v>65</v>
      </c>
      <c r="M58" s="1" t="s">
        <v>695</v>
      </c>
      <c r="N58" s="1" t="s">
        <v>696</v>
      </c>
      <c r="O58" s="2" t="s">
        <v>697</v>
      </c>
      <c r="Q58" s="2" t="s">
        <v>70</v>
      </c>
      <c r="R58" s="2" t="s">
        <v>698</v>
      </c>
      <c r="T58" s="2" t="s">
        <v>73</v>
      </c>
      <c r="U58" s="3">
        <v>1</v>
      </c>
      <c r="V58" s="3">
        <v>1</v>
      </c>
      <c r="W58" s="4" t="s">
        <v>699</v>
      </c>
      <c r="X58" s="4" t="s">
        <v>699</v>
      </c>
      <c r="Y58" s="4" t="s">
        <v>700</v>
      </c>
      <c r="Z58" s="4" t="s">
        <v>700</v>
      </c>
      <c r="AA58" s="3">
        <v>168</v>
      </c>
      <c r="AB58" s="3">
        <v>96</v>
      </c>
      <c r="AC58" s="3">
        <v>103</v>
      </c>
      <c r="AD58" s="3">
        <v>1</v>
      </c>
      <c r="AE58" s="3">
        <v>1</v>
      </c>
      <c r="AF58" s="3">
        <v>3</v>
      </c>
      <c r="AG58" s="3">
        <v>3</v>
      </c>
      <c r="AH58" s="3">
        <v>0</v>
      </c>
      <c r="AI58" s="3">
        <v>0</v>
      </c>
      <c r="AJ58" s="3">
        <v>2</v>
      </c>
      <c r="AK58" s="3">
        <v>2</v>
      </c>
      <c r="AL58" s="3">
        <v>2</v>
      </c>
      <c r="AM58" s="3">
        <v>2</v>
      </c>
      <c r="AN58" s="3">
        <v>0</v>
      </c>
      <c r="AO58" s="3">
        <v>0</v>
      </c>
      <c r="AP58" s="3">
        <v>0</v>
      </c>
      <c r="AQ58" s="3">
        <v>0</v>
      </c>
      <c r="AR58" s="2" t="s">
        <v>63</v>
      </c>
      <c r="AS58" s="2" t="s">
        <v>76</v>
      </c>
      <c r="AT58" s="5" t="str">
        <f>HYPERLINK("http://catalog.hathitrust.org/Record/002984134","HathiTrust Record")</f>
        <v>HathiTrust Record</v>
      </c>
      <c r="AU58" s="5" t="str">
        <f>HYPERLINK("https://creighton-primo.hosted.exlibrisgroup.com/primo-explore/search?tab=default_tab&amp;search_scope=EVERYTHING&amp;vid=01CRU&amp;lang=en_US&amp;offset=0&amp;query=any,contains,991001404689702656","Catalog Record")</f>
        <v>Catalog Record</v>
      </c>
      <c r="AV58" s="5" t="str">
        <f>HYPERLINK("http://www.worldcat.org/oclc/32016315","WorldCat Record")</f>
        <v>WorldCat Record</v>
      </c>
      <c r="AW58" s="2" t="s">
        <v>701</v>
      </c>
      <c r="AX58" s="2" t="s">
        <v>702</v>
      </c>
      <c r="AY58" s="2" t="s">
        <v>703</v>
      </c>
      <c r="AZ58" s="2" t="s">
        <v>703</v>
      </c>
      <c r="BA58" s="2" t="s">
        <v>704</v>
      </c>
      <c r="BB58" s="2" t="s">
        <v>81</v>
      </c>
      <c r="BD58" s="2" t="s">
        <v>705</v>
      </c>
      <c r="BE58" s="2" t="s">
        <v>706</v>
      </c>
      <c r="BF58" s="2" t="s">
        <v>707</v>
      </c>
    </row>
    <row r="59" spans="1:58" ht="42" customHeight="1">
      <c r="A59" s="1"/>
      <c r="B59" s="1" t="s">
        <v>58</v>
      </c>
      <c r="C59" s="1" t="s">
        <v>59</v>
      </c>
      <c r="D59" s="1" t="s">
        <v>708</v>
      </c>
      <c r="E59" s="1" t="s">
        <v>709</v>
      </c>
      <c r="F59" s="1" t="s">
        <v>710</v>
      </c>
      <c r="H59" s="2" t="s">
        <v>63</v>
      </c>
      <c r="I59" s="2" t="s">
        <v>64</v>
      </c>
      <c r="J59" s="2" t="s">
        <v>63</v>
      </c>
      <c r="K59" s="2" t="s">
        <v>63</v>
      </c>
      <c r="L59" s="2" t="s">
        <v>65</v>
      </c>
      <c r="M59" s="1" t="s">
        <v>711</v>
      </c>
      <c r="N59" s="1" t="s">
        <v>712</v>
      </c>
      <c r="O59" s="2" t="s">
        <v>713</v>
      </c>
      <c r="Q59" s="2" t="s">
        <v>70</v>
      </c>
      <c r="R59" s="2" t="s">
        <v>509</v>
      </c>
      <c r="T59" s="2" t="s">
        <v>73</v>
      </c>
      <c r="U59" s="3">
        <v>4</v>
      </c>
      <c r="V59" s="3">
        <v>4</v>
      </c>
      <c r="W59" s="4" t="s">
        <v>714</v>
      </c>
      <c r="X59" s="4" t="s">
        <v>714</v>
      </c>
      <c r="Y59" s="4" t="s">
        <v>715</v>
      </c>
      <c r="Z59" s="4" t="s">
        <v>715</v>
      </c>
      <c r="AA59" s="3">
        <v>212</v>
      </c>
      <c r="AB59" s="3">
        <v>142</v>
      </c>
      <c r="AC59" s="3">
        <v>142</v>
      </c>
      <c r="AD59" s="3">
        <v>1</v>
      </c>
      <c r="AE59" s="3">
        <v>1</v>
      </c>
      <c r="AF59" s="3">
        <v>2</v>
      </c>
      <c r="AG59" s="3">
        <v>2</v>
      </c>
      <c r="AH59" s="3">
        <v>0</v>
      </c>
      <c r="AI59" s="3">
        <v>0</v>
      </c>
      <c r="AJ59" s="3">
        <v>2</v>
      </c>
      <c r="AK59" s="3">
        <v>2</v>
      </c>
      <c r="AL59" s="3">
        <v>1</v>
      </c>
      <c r="AM59" s="3">
        <v>1</v>
      </c>
      <c r="AN59" s="3">
        <v>0</v>
      </c>
      <c r="AO59" s="3">
        <v>0</v>
      </c>
      <c r="AP59" s="3">
        <v>0</v>
      </c>
      <c r="AQ59" s="3">
        <v>0</v>
      </c>
      <c r="AR59" s="2" t="s">
        <v>63</v>
      </c>
      <c r="AS59" s="2" t="s">
        <v>63</v>
      </c>
      <c r="AU59" s="5" t="str">
        <f>HYPERLINK("https://creighton-primo.hosted.exlibrisgroup.com/primo-explore/search?tab=default_tab&amp;search_scope=EVERYTHING&amp;vid=01CRU&amp;lang=en_US&amp;offset=0&amp;query=any,contains,991001447909702656","Catalog Record")</f>
        <v>Catalog Record</v>
      </c>
      <c r="AV59" s="5" t="str">
        <f>HYPERLINK("http://www.worldcat.org/oclc/14164922","WorldCat Record")</f>
        <v>WorldCat Record</v>
      </c>
      <c r="AW59" s="2" t="s">
        <v>716</v>
      </c>
      <c r="AX59" s="2" t="s">
        <v>717</v>
      </c>
      <c r="AY59" s="2" t="s">
        <v>718</v>
      </c>
      <c r="AZ59" s="2" t="s">
        <v>718</v>
      </c>
      <c r="BA59" s="2" t="s">
        <v>719</v>
      </c>
      <c r="BB59" s="2" t="s">
        <v>81</v>
      </c>
      <c r="BD59" s="2" t="s">
        <v>720</v>
      </c>
      <c r="BE59" s="2" t="s">
        <v>721</v>
      </c>
      <c r="BF59" s="2" t="s">
        <v>722</v>
      </c>
    </row>
    <row r="60" spans="1:58" ht="42" customHeight="1">
      <c r="A60" s="1"/>
      <c r="B60" s="1" t="s">
        <v>58</v>
      </c>
      <c r="C60" s="1" t="s">
        <v>59</v>
      </c>
      <c r="D60" s="1" t="s">
        <v>723</v>
      </c>
      <c r="E60" s="1" t="s">
        <v>724</v>
      </c>
      <c r="F60" s="1" t="s">
        <v>725</v>
      </c>
      <c r="H60" s="2" t="s">
        <v>63</v>
      </c>
      <c r="I60" s="2" t="s">
        <v>64</v>
      </c>
      <c r="J60" s="2" t="s">
        <v>63</v>
      </c>
      <c r="K60" s="2" t="s">
        <v>63</v>
      </c>
      <c r="L60" s="2" t="s">
        <v>65</v>
      </c>
      <c r="M60" s="1" t="s">
        <v>726</v>
      </c>
      <c r="N60" s="1" t="s">
        <v>727</v>
      </c>
      <c r="O60" s="2" t="s">
        <v>728</v>
      </c>
      <c r="Q60" s="2" t="s">
        <v>70</v>
      </c>
      <c r="R60" s="2" t="s">
        <v>729</v>
      </c>
      <c r="T60" s="2" t="s">
        <v>73</v>
      </c>
      <c r="U60" s="3">
        <v>8</v>
      </c>
      <c r="V60" s="3">
        <v>8</v>
      </c>
      <c r="W60" s="4" t="s">
        <v>730</v>
      </c>
      <c r="X60" s="4" t="s">
        <v>730</v>
      </c>
      <c r="Y60" s="4" t="s">
        <v>109</v>
      </c>
      <c r="Z60" s="4" t="s">
        <v>109</v>
      </c>
      <c r="AA60" s="3">
        <v>184</v>
      </c>
      <c r="AB60" s="3">
        <v>155</v>
      </c>
      <c r="AC60" s="3">
        <v>172</v>
      </c>
      <c r="AD60" s="3">
        <v>1</v>
      </c>
      <c r="AE60" s="3">
        <v>1</v>
      </c>
      <c r="AF60" s="3">
        <v>3</v>
      </c>
      <c r="AG60" s="3">
        <v>3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0</v>
      </c>
      <c r="AO60" s="3">
        <v>0</v>
      </c>
      <c r="AP60" s="3">
        <v>0</v>
      </c>
      <c r="AQ60" s="3">
        <v>0</v>
      </c>
      <c r="AR60" s="2" t="s">
        <v>63</v>
      </c>
      <c r="AS60" s="2" t="s">
        <v>76</v>
      </c>
      <c r="AT60" s="5" t="str">
        <f>HYPERLINK("http://catalog.hathitrust.org/Record/000711939","HathiTrust Record")</f>
        <v>HathiTrust Record</v>
      </c>
      <c r="AU60" s="5" t="str">
        <f>HYPERLINK("https://creighton-primo.hosted.exlibrisgroup.com/primo-explore/search?tab=default_tab&amp;search_scope=EVERYTHING&amp;vid=01CRU&amp;lang=en_US&amp;offset=0&amp;query=any,contains,991000995319702656","Catalog Record")</f>
        <v>Catalog Record</v>
      </c>
      <c r="AV60" s="5" t="str">
        <f>HYPERLINK("http://www.worldcat.org/oclc/4857487","WorldCat Record")</f>
        <v>WorldCat Record</v>
      </c>
      <c r="AW60" s="2" t="s">
        <v>731</v>
      </c>
      <c r="AX60" s="2" t="s">
        <v>732</v>
      </c>
      <c r="AY60" s="2" t="s">
        <v>733</v>
      </c>
      <c r="AZ60" s="2" t="s">
        <v>733</v>
      </c>
      <c r="BA60" s="2" t="s">
        <v>734</v>
      </c>
      <c r="BB60" s="2" t="s">
        <v>81</v>
      </c>
      <c r="BD60" s="2" t="s">
        <v>735</v>
      </c>
      <c r="BE60" s="2" t="s">
        <v>736</v>
      </c>
      <c r="BF60" s="2" t="s">
        <v>737</v>
      </c>
    </row>
    <row r="61" spans="1:58" ht="42" customHeight="1">
      <c r="A61" s="1"/>
      <c r="B61" s="1" t="s">
        <v>58</v>
      </c>
      <c r="C61" s="1" t="s">
        <v>59</v>
      </c>
      <c r="D61" s="1" t="s">
        <v>738</v>
      </c>
      <c r="E61" s="1" t="s">
        <v>739</v>
      </c>
      <c r="F61" s="1" t="s">
        <v>740</v>
      </c>
      <c r="H61" s="2" t="s">
        <v>63</v>
      </c>
      <c r="I61" s="2" t="s">
        <v>64</v>
      </c>
      <c r="J61" s="2" t="s">
        <v>63</v>
      </c>
      <c r="K61" s="2" t="s">
        <v>63</v>
      </c>
      <c r="L61" s="2" t="s">
        <v>65</v>
      </c>
      <c r="M61" s="1" t="s">
        <v>741</v>
      </c>
      <c r="N61" s="1" t="s">
        <v>742</v>
      </c>
      <c r="O61" s="2" t="s">
        <v>743</v>
      </c>
      <c r="Q61" s="2" t="s">
        <v>70</v>
      </c>
      <c r="R61" s="2" t="s">
        <v>744</v>
      </c>
      <c r="T61" s="2" t="s">
        <v>73</v>
      </c>
      <c r="U61" s="3">
        <v>8</v>
      </c>
      <c r="V61" s="3">
        <v>8</v>
      </c>
      <c r="W61" s="4" t="s">
        <v>745</v>
      </c>
      <c r="X61" s="4" t="s">
        <v>745</v>
      </c>
      <c r="Y61" s="4" t="s">
        <v>512</v>
      </c>
      <c r="Z61" s="4" t="s">
        <v>512</v>
      </c>
      <c r="AA61" s="3">
        <v>26</v>
      </c>
      <c r="AB61" s="3">
        <v>15</v>
      </c>
      <c r="AC61" s="3">
        <v>86</v>
      </c>
      <c r="AD61" s="3">
        <v>1</v>
      </c>
      <c r="AE61" s="3">
        <v>2</v>
      </c>
      <c r="AF61" s="3">
        <v>2</v>
      </c>
      <c r="AG61" s="3">
        <v>5</v>
      </c>
      <c r="AH61" s="3">
        <v>1</v>
      </c>
      <c r="AI61" s="3">
        <v>2</v>
      </c>
      <c r="AJ61" s="3">
        <v>0</v>
      </c>
      <c r="AK61" s="3">
        <v>0</v>
      </c>
      <c r="AL61" s="3">
        <v>2</v>
      </c>
      <c r="AM61" s="3">
        <v>4</v>
      </c>
      <c r="AN61" s="3">
        <v>0</v>
      </c>
      <c r="AO61" s="3">
        <v>1</v>
      </c>
      <c r="AP61" s="3">
        <v>0</v>
      </c>
      <c r="AQ61" s="3">
        <v>0</v>
      </c>
      <c r="AR61" s="2" t="s">
        <v>63</v>
      </c>
      <c r="AS61" s="2" t="s">
        <v>63</v>
      </c>
      <c r="AU61" s="5" t="str">
        <f>HYPERLINK("https://creighton-primo.hosted.exlibrisgroup.com/primo-explore/search?tab=default_tab&amp;search_scope=EVERYTHING&amp;vid=01CRU&amp;lang=en_US&amp;offset=0&amp;query=any,contains,991000749049702656","Catalog Record")</f>
        <v>Catalog Record</v>
      </c>
      <c r="AV61" s="5" t="str">
        <f>HYPERLINK("http://www.worldcat.org/oclc/9692908","WorldCat Record")</f>
        <v>WorldCat Record</v>
      </c>
      <c r="AW61" s="2" t="s">
        <v>746</v>
      </c>
      <c r="AX61" s="2" t="s">
        <v>747</v>
      </c>
      <c r="AY61" s="2" t="s">
        <v>748</v>
      </c>
      <c r="AZ61" s="2" t="s">
        <v>748</v>
      </c>
      <c r="BA61" s="2" t="s">
        <v>749</v>
      </c>
      <c r="BB61" s="2" t="s">
        <v>81</v>
      </c>
      <c r="BE61" s="2" t="s">
        <v>750</v>
      </c>
      <c r="BF61" s="2" t="s">
        <v>751</v>
      </c>
    </row>
    <row r="62" spans="1:58" ht="42" customHeight="1">
      <c r="A62" s="1"/>
      <c r="B62" s="1" t="s">
        <v>58</v>
      </c>
      <c r="C62" s="1" t="s">
        <v>59</v>
      </c>
      <c r="D62" s="1" t="s">
        <v>752</v>
      </c>
      <c r="E62" s="1" t="s">
        <v>753</v>
      </c>
      <c r="F62" s="1" t="s">
        <v>754</v>
      </c>
      <c r="H62" s="2" t="s">
        <v>63</v>
      </c>
      <c r="I62" s="2" t="s">
        <v>64</v>
      </c>
      <c r="J62" s="2" t="s">
        <v>63</v>
      </c>
      <c r="K62" s="2" t="s">
        <v>63</v>
      </c>
      <c r="L62" s="2" t="s">
        <v>65</v>
      </c>
      <c r="M62" s="1" t="s">
        <v>755</v>
      </c>
      <c r="N62" s="1" t="s">
        <v>756</v>
      </c>
      <c r="O62" s="2" t="s">
        <v>757</v>
      </c>
      <c r="P62" s="1" t="s">
        <v>375</v>
      </c>
      <c r="Q62" s="2" t="s">
        <v>70</v>
      </c>
      <c r="R62" s="2" t="s">
        <v>729</v>
      </c>
      <c r="T62" s="2" t="s">
        <v>73</v>
      </c>
      <c r="U62" s="3">
        <v>9</v>
      </c>
      <c r="V62" s="3">
        <v>9</v>
      </c>
      <c r="W62" s="4" t="s">
        <v>758</v>
      </c>
      <c r="X62" s="4" t="s">
        <v>758</v>
      </c>
      <c r="Y62" s="4" t="s">
        <v>109</v>
      </c>
      <c r="Z62" s="4" t="s">
        <v>109</v>
      </c>
      <c r="AA62" s="3">
        <v>104</v>
      </c>
      <c r="AB62" s="3">
        <v>99</v>
      </c>
      <c r="AC62" s="3">
        <v>165</v>
      </c>
      <c r="AD62" s="3">
        <v>1</v>
      </c>
      <c r="AE62" s="3">
        <v>2</v>
      </c>
      <c r="AF62" s="3">
        <v>3</v>
      </c>
      <c r="AG62" s="3">
        <v>7</v>
      </c>
      <c r="AH62" s="3">
        <v>1</v>
      </c>
      <c r="AI62" s="3">
        <v>3</v>
      </c>
      <c r="AJ62" s="3">
        <v>1</v>
      </c>
      <c r="AK62" s="3">
        <v>1</v>
      </c>
      <c r="AL62" s="3">
        <v>1</v>
      </c>
      <c r="AM62" s="3">
        <v>3</v>
      </c>
      <c r="AN62" s="3">
        <v>0</v>
      </c>
      <c r="AO62" s="3">
        <v>1</v>
      </c>
      <c r="AP62" s="3">
        <v>0</v>
      </c>
      <c r="AQ62" s="3">
        <v>0</v>
      </c>
      <c r="AR62" s="2" t="s">
        <v>63</v>
      </c>
      <c r="AS62" s="2" t="s">
        <v>63</v>
      </c>
      <c r="AU62" s="5" t="str">
        <f>HYPERLINK("https://creighton-primo.hosted.exlibrisgroup.com/primo-explore/search?tab=default_tab&amp;search_scope=EVERYTHING&amp;vid=01CRU&amp;lang=en_US&amp;offset=0&amp;query=any,contains,991000995249702656","Catalog Record")</f>
        <v>Catalog Record</v>
      </c>
      <c r="AV62" s="5" t="str">
        <f>HYPERLINK("http://www.worldcat.org/oclc/9098935","WorldCat Record")</f>
        <v>WorldCat Record</v>
      </c>
      <c r="AW62" s="2" t="s">
        <v>759</v>
      </c>
      <c r="AX62" s="2" t="s">
        <v>760</v>
      </c>
      <c r="AY62" s="2" t="s">
        <v>761</v>
      </c>
      <c r="AZ62" s="2" t="s">
        <v>761</v>
      </c>
      <c r="BA62" s="2" t="s">
        <v>762</v>
      </c>
      <c r="BB62" s="2" t="s">
        <v>81</v>
      </c>
      <c r="BE62" s="2" t="s">
        <v>763</v>
      </c>
      <c r="BF62" s="2" t="s">
        <v>764</v>
      </c>
    </row>
    <row r="63" spans="1:58" ht="42" customHeight="1">
      <c r="A63" s="1"/>
      <c r="B63" s="1" t="s">
        <v>58</v>
      </c>
      <c r="C63" s="1" t="s">
        <v>59</v>
      </c>
      <c r="D63" s="1" t="s">
        <v>765</v>
      </c>
      <c r="E63" s="1" t="s">
        <v>766</v>
      </c>
      <c r="F63" s="1" t="s">
        <v>767</v>
      </c>
      <c r="H63" s="2" t="s">
        <v>63</v>
      </c>
      <c r="I63" s="2" t="s">
        <v>64</v>
      </c>
      <c r="J63" s="2" t="s">
        <v>63</v>
      </c>
      <c r="K63" s="2" t="s">
        <v>63</v>
      </c>
      <c r="L63" s="2" t="s">
        <v>65</v>
      </c>
      <c r="M63" s="1" t="s">
        <v>134</v>
      </c>
      <c r="N63" s="1" t="s">
        <v>286</v>
      </c>
      <c r="O63" s="2" t="s">
        <v>230</v>
      </c>
      <c r="Q63" s="2" t="s">
        <v>70</v>
      </c>
      <c r="R63" s="2" t="s">
        <v>107</v>
      </c>
      <c r="T63" s="2" t="s">
        <v>73</v>
      </c>
      <c r="U63" s="3">
        <v>22</v>
      </c>
      <c r="V63" s="3">
        <v>22</v>
      </c>
      <c r="W63" s="4" t="s">
        <v>768</v>
      </c>
      <c r="X63" s="4" t="s">
        <v>768</v>
      </c>
      <c r="Y63" s="4" t="s">
        <v>109</v>
      </c>
      <c r="Z63" s="4" t="s">
        <v>109</v>
      </c>
      <c r="AA63" s="3">
        <v>63</v>
      </c>
      <c r="AB63" s="3">
        <v>47</v>
      </c>
      <c r="AC63" s="3">
        <v>47</v>
      </c>
      <c r="AD63" s="3">
        <v>1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2" t="s">
        <v>63</v>
      </c>
      <c r="AS63" s="2" t="s">
        <v>63</v>
      </c>
      <c r="AU63" s="5" t="str">
        <f>HYPERLINK("https://creighton-primo.hosted.exlibrisgroup.com/primo-explore/search?tab=default_tab&amp;search_scope=EVERYTHING&amp;vid=01CRU&amp;lang=en_US&amp;offset=0&amp;query=any,contains,991000995279702656","Catalog Record")</f>
        <v>Catalog Record</v>
      </c>
      <c r="AV63" s="5" t="str">
        <f>HYPERLINK("http://www.worldcat.org/oclc/9464735","WorldCat Record")</f>
        <v>WorldCat Record</v>
      </c>
      <c r="AW63" s="2" t="s">
        <v>769</v>
      </c>
      <c r="AX63" s="2" t="s">
        <v>770</v>
      </c>
      <c r="AY63" s="2" t="s">
        <v>771</v>
      </c>
      <c r="AZ63" s="2" t="s">
        <v>771</v>
      </c>
      <c r="BA63" s="2" t="s">
        <v>772</v>
      </c>
      <c r="BB63" s="2" t="s">
        <v>81</v>
      </c>
      <c r="BD63" s="2" t="s">
        <v>773</v>
      </c>
      <c r="BE63" s="2" t="s">
        <v>774</v>
      </c>
      <c r="BF63" s="2" t="s">
        <v>775</v>
      </c>
    </row>
    <row r="64" spans="1:58" ht="42" customHeight="1">
      <c r="A64" s="1"/>
      <c r="B64" s="1" t="s">
        <v>58</v>
      </c>
      <c r="C64" s="1" t="s">
        <v>59</v>
      </c>
      <c r="D64" s="1" t="s">
        <v>776</v>
      </c>
      <c r="E64" s="1" t="s">
        <v>777</v>
      </c>
      <c r="F64" s="1" t="s">
        <v>778</v>
      </c>
      <c r="H64" s="2" t="s">
        <v>63</v>
      </c>
      <c r="I64" s="2" t="s">
        <v>64</v>
      </c>
      <c r="J64" s="2" t="s">
        <v>63</v>
      </c>
      <c r="K64" s="2" t="s">
        <v>63</v>
      </c>
      <c r="L64" s="2" t="s">
        <v>65</v>
      </c>
      <c r="M64" s="1" t="s">
        <v>779</v>
      </c>
      <c r="N64" s="1" t="s">
        <v>780</v>
      </c>
      <c r="O64" s="2" t="s">
        <v>713</v>
      </c>
      <c r="Q64" s="2" t="s">
        <v>70</v>
      </c>
      <c r="R64" s="2" t="s">
        <v>107</v>
      </c>
      <c r="S64" s="1" t="s">
        <v>781</v>
      </c>
      <c r="T64" s="2" t="s">
        <v>73</v>
      </c>
      <c r="U64" s="3">
        <v>25</v>
      </c>
      <c r="V64" s="3">
        <v>25</v>
      </c>
      <c r="W64" s="4" t="s">
        <v>730</v>
      </c>
      <c r="X64" s="4" t="s">
        <v>730</v>
      </c>
      <c r="Y64" s="4" t="s">
        <v>782</v>
      </c>
      <c r="Z64" s="4" t="s">
        <v>782</v>
      </c>
      <c r="AA64" s="3">
        <v>66</v>
      </c>
      <c r="AB64" s="3">
        <v>43</v>
      </c>
      <c r="AC64" s="3">
        <v>156</v>
      </c>
      <c r="AD64" s="3">
        <v>1</v>
      </c>
      <c r="AE64" s="3">
        <v>1</v>
      </c>
      <c r="AF64" s="3">
        <v>0</v>
      </c>
      <c r="AG64" s="3">
        <v>3</v>
      </c>
      <c r="AH64" s="3">
        <v>0</v>
      </c>
      <c r="AI64" s="3">
        <v>1</v>
      </c>
      <c r="AJ64" s="3">
        <v>0</v>
      </c>
      <c r="AK64" s="3">
        <v>1</v>
      </c>
      <c r="AL64" s="3">
        <v>0</v>
      </c>
      <c r="AM64" s="3">
        <v>1</v>
      </c>
      <c r="AN64" s="3">
        <v>0</v>
      </c>
      <c r="AO64" s="3">
        <v>0</v>
      </c>
      <c r="AP64" s="3">
        <v>0</v>
      </c>
      <c r="AQ64" s="3">
        <v>0</v>
      </c>
      <c r="AR64" s="2" t="s">
        <v>63</v>
      </c>
      <c r="AS64" s="2" t="s">
        <v>63</v>
      </c>
      <c r="AU64" s="5" t="str">
        <f>HYPERLINK("https://creighton-primo.hosted.exlibrisgroup.com/primo-explore/search?tab=default_tab&amp;search_scope=EVERYTHING&amp;vid=01CRU&amp;lang=en_US&amp;offset=0&amp;query=any,contains,991001238369702656","Catalog Record")</f>
        <v>Catalog Record</v>
      </c>
      <c r="AV64" s="5" t="str">
        <f>HYPERLINK("http://www.worldcat.org/oclc/14378896","WorldCat Record")</f>
        <v>WorldCat Record</v>
      </c>
      <c r="AW64" s="2" t="s">
        <v>783</v>
      </c>
      <c r="AX64" s="2" t="s">
        <v>784</v>
      </c>
      <c r="AY64" s="2" t="s">
        <v>785</v>
      </c>
      <c r="AZ64" s="2" t="s">
        <v>785</v>
      </c>
      <c r="BA64" s="2" t="s">
        <v>786</v>
      </c>
      <c r="BB64" s="2" t="s">
        <v>81</v>
      </c>
      <c r="BD64" s="2" t="s">
        <v>787</v>
      </c>
      <c r="BE64" s="2" t="s">
        <v>788</v>
      </c>
      <c r="BF64" s="2" t="s">
        <v>789</v>
      </c>
    </row>
    <row r="65" spans="1:58" ht="42" customHeight="1">
      <c r="A65" s="1"/>
      <c r="B65" s="1" t="s">
        <v>58</v>
      </c>
      <c r="C65" s="1" t="s">
        <v>59</v>
      </c>
      <c r="D65" s="1" t="s">
        <v>790</v>
      </c>
      <c r="E65" s="1" t="s">
        <v>791</v>
      </c>
      <c r="F65" s="1" t="s">
        <v>792</v>
      </c>
      <c r="H65" s="2" t="s">
        <v>63</v>
      </c>
      <c r="I65" s="2" t="s">
        <v>64</v>
      </c>
      <c r="J65" s="2" t="s">
        <v>63</v>
      </c>
      <c r="K65" s="2" t="s">
        <v>63</v>
      </c>
      <c r="L65" s="2" t="s">
        <v>65</v>
      </c>
      <c r="M65" s="1" t="s">
        <v>793</v>
      </c>
      <c r="N65" s="1" t="s">
        <v>794</v>
      </c>
      <c r="O65" s="2" t="s">
        <v>591</v>
      </c>
      <c r="P65" s="1" t="s">
        <v>795</v>
      </c>
      <c r="Q65" s="2" t="s">
        <v>70</v>
      </c>
      <c r="R65" s="2" t="s">
        <v>422</v>
      </c>
      <c r="S65" s="1" t="s">
        <v>796</v>
      </c>
      <c r="T65" s="2" t="s">
        <v>73</v>
      </c>
      <c r="U65" s="3">
        <v>13</v>
      </c>
      <c r="V65" s="3">
        <v>13</v>
      </c>
      <c r="W65" s="4" t="s">
        <v>797</v>
      </c>
      <c r="X65" s="4" t="s">
        <v>797</v>
      </c>
      <c r="Y65" s="4" t="s">
        <v>798</v>
      </c>
      <c r="Z65" s="4" t="s">
        <v>798</v>
      </c>
      <c r="AA65" s="3">
        <v>51</v>
      </c>
      <c r="AB65" s="3">
        <v>41</v>
      </c>
      <c r="AC65" s="3">
        <v>94</v>
      </c>
      <c r="AD65" s="3">
        <v>1</v>
      </c>
      <c r="AE65" s="3">
        <v>1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2" t="s">
        <v>63</v>
      </c>
      <c r="AS65" s="2" t="s">
        <v>63</v>
      </c>
      <c r="AU65" s="5" t="str">
        <f>HYPERLINK("https://creighton-primo.hosted.exlibrisgroup.com/primo-explore/search?tab=default_tab&amp;search_scope=EVERYTHING&amp;vid=01CRU&amp;lang=en_US&amp;offset=0&amp;query=any,contains,991000995209702656","Catalog Record")</f>
        <v>Catalog Record</v>
      </c>
      <c r="AV65" s="5" t="str">
        <f>HYPERLINK("http://www.worldcat.org/oclc/1207578","WorldCat Record")</f>
        <v>WorldCat Record</v>
      </c>
      <c r="AW65" s="2" t="s">
        <v>799</v>
      </c>
      <c r="AX65" s="2" t="s">
        <v>800</v>
      </c>
      <c r="AY65" s="2" t="s">
        <v>801</v>
      </c>
      <c r="AZ65" s="2" t="s">
        <v>801</v>
      </c>
      <c r="BA65" s="2" t="s">
        <v>802</v>
      </c>
      <c r="BB65" s="2" t="s">
        <v>81</v>
      </c>
      <c r="BE65" s="2" t="s">
        <v>803</v>
      </c>
      <c r="BF65" s="2" t="s">
        <v>804</v>
      </c>
    </row>
    <row r="66" spans="1:58" ht="42" customHeight="1">
      <c r="A66" s="1"/>
      <c r="B66" s="1" t="s">
        <v>58</v>
      </c>
      <c r="C66" s="1" t="s">
        <v>59</v>
      </c>
      <c r="D66" s="1" t="s">
        <v>805</v>
      </c>
      <c r="E66" s="1" t="s">
        <v>806</v>
      </c>
      <c r="F66" s="1" t="s">
        <v>807</v>
      </c>
      <c r="H66" s="2" t="s">
        <v>63</v>
      </c>
      <c r="I66" s="2" t="s">
        <v>64</v>
      </c>
      <c r="J66" s="2" t="s">
        <v>63</v>
      </c>
      <c r="K66" s="2" t="s">
        <v>76</v>
      </c>
      <c r="L66" s="2" t="s">
        <v>65</v>
      </c>
      <c r="M66" s="1" t="s">
        <v>808</v>
      </c>
      <c r="N66" s="1" t="s">
        <v>809</v>
      </c>
      <c r="O66" s="2" t="s">
        <v>106</v>
      </c>
      <c r="P66" s="1" t="s">
        <v>375</v>
      </c>
      <c r="Q66" s="2" t="s">
        <v>70</v>
      </c>
      <c r="R66" s="2" t="s">
        <v>422</v>
      </c>
      <c r="S66" s="1" t="s">
        <v>810</v>
      </c>
      <c r="T66" s="2" t="s">
        <v>73</v>
      </c>
      <c r="U66" s="3">
        <v>36</v>
      </c>
      <c r="V66" s="3">
        <v>36</v>
      </c>
      <c r="W66" s="4" t="s">
        <v>811</v>
      </c>
      <c r="X66" s="4" t="s">
        <v>811</v>
      </c>
      <c r="Y66" s="4" t="s">
        <v>301</v>
      </c>
      <c r="Z66" s="4" t="s">
        <v>301</v>
      </c>
      <c r="AA66" s="3">
        <v>64</v>
      </c>
      <c r="AB66" s="3">
        <v>46</v>
      </c>
      <c r="AC66" s="3">
        <v>94</v>
      </c>
      <c r="AD66" s="3">
        <v>1</v>
      </c>
      <c r="AE66" s="3">
        <v>1</v>
      </c>
      <c r="AF66" s="3">
        <v>0</v>
      </c>
      <c r="AG66" s="3">
        <v>1</v>
      </c>
      <c r="AH66" s="3">
        <v>0</v>
      </c>
      <c r="AI66" s="3">
        <v>0</v>
      </c>
      <c r="AJ66" s="3">
        <v>0</v>
      </c>
      <c r="AK66" s="3">
        <v>1</v>
      </c>
      <c r="AL66" s="3">
        <v>0</v>
      </c>
      <c r="AM66" s="3">
        <v>1</v>
      </c>
      <c r="AN66" s="3">
        <v>0</v>
      </c>
      <c r="AO66" s="3">
        <v>0</v>
      </c>
      <c r="AP66" s="3">
        <v>0</v>
      </c>
      <c r="AQ66" s="3">
        <v>0</v>
      </c>
      <c r="AR66" s="2" t="s">
        <v>63</v>
      </c>
      <c r="AS66" s="2" t="s">
        <v>76</v>
      </c>
      <c r="AT66" s="5" t="str">
        <f>HYPERLINK("http://catalog.hathitrust.org/Record/008385801","HathiTrust Record")</f>
        <v>HathiTrust Record</v>
      </c>
      <c r="AU66" s="5" t="str">
        <f>HYPERLINK("https://creighton-primo.hosted.exlibrisgroup.com/primo-explore/search?tab=default_tab&amp;search_scope=EVERYTHING&amp;vid=01CRU&amp;lang=en_US&amp;offset=0&amp;query=any,contains,991000749019702656","Catalog Record")</f>
        <v>Catalog Record</v>
      </c>
      <c r="AV66" s="5" t="str">
        <f>HYPERLINK("http://www.worldcat.org/oclc/11185592","WorldCat Record")</f>
        <v>WorldCat Record</v>
      </c>
      <c r="AW66" s="2" t="s">
        <v>812</v>
      </c>
      <c r="AX66" s="2" t="s">
        <v>813</v>
      </c>
      <c r="AY66" s="2" t="s">
        <v>814</v>
      </c>
      <c r="AZ66" s="2" t="s">
        <v>814</v>
      </c>
      <c r="BA66" s="2" t="s">
        <v>815</v>
      </c>
      <c r="BB66" s="2" t="s">
        <v>81</v>
      </c>
      <c r="BD66" s="2" t="s">
        <v>816</v>
      </c>
      <c r="BE66" s="2" t="s">
        <v>817</v>
      </c>
      <c r="BF66" s="2" t="s">
        <v>818</v>
      </c>
    </row>
    <row r="67" spans="1:58" ht="42" customHeight="1">
      <c r="A67" s="1"/>
      <c r="B67" s="1" t="s">
        <v>58</v>
      </c>
      <c r="C67" s="1" t="s">
        <v>59</v>
      </c>
      <c r="D67" s="1" t="s">
        <v>819</v>
      </c>
      <c r="E67" s="1" t="s">
        <v>820</v>
      </c>
      <c r="F67" s="1" t="s">
        <v>821</v>
      </c>
      <c r="H67" s="2" t="s">
        <v>63</v>
      </c>
      <c r="I67" s="2" t="s">
        <v>64</v>
      </c>
      <c r="J67" s="2" t="s">
        <v>63</v>
      </c>
      <c r="K67" s="2" t="s">
        <v>76</v>
      </c>
      <c r="L67" s="2" t="s">
        <v>65</v>
      </c>
      <c r="M67" s="1" t="s">
        <v>808</v>
      </c>
      <c r="N67" s="1" t="s">
        <v>822</v>
      </c>
      <c r="O67" s="2" t="s">
        <v>713</v>
      </c>
      <c r="P67" s="1" t="s">
        <v>392</v>
      </c>
      <c r="Q67" s="2" t="s">
        <v>70</v>
      </c>
      <c r="R67" s="2" t="s">
        <v>107</v>
      </c>
      <c r="S67" s="1" t="s">
        <v>810</v>
      </c>
      <c r="T67" s="2" t="s">
        <v>73</v>
      </c>
      <c r="U67" s="3">
        <v>8</v>
      </c>
      <c r="V67" s="3">
        <v>8</v>
      </c>
      <c r="W67" s="4" t="s">
        <v>823</v>
      </c>
      <c r="X67" s="4" t="s">
        <v>823</v>
      </c>
      <c r="Y67" s="4" t="s">
        <v>824</v>
      </c>
      <c r="Z67" s="4" t="s">
        <v>824</v>
      </c>
      <c r="AA67" s="3">
        <v>12</v>
      </c>
      <c r="AB67" s="3">
        <v>12</v>
      </c>
      <c r="AC67" s="3">
        <v>94</v>
      </c>
      <c r="AD67" s="3">
        <v>1</v>
      </c>
      <c r="AE67" s="3">
        <v>1</v>
      </c>
      <c r="AF67" s="3">
        <v>0</v>
      </c>
      <c r="AG67" s="3">
        <v>1</v>
      </c>
      <c r="AH67" s="3">
        <v>0</v>
      </c>
      <c r="AI67" s="3">
        <v>0</v>
      </c>
      <c r="AJ67" s="3">
        <v>0</v>
      </c>
      <c r="AK67" s="3">
        <v>1</v>
      </c>
      <c r="AL67" s="3">
        <v>0</v>
      </c>
      <c r="AM67" s="3">
        <v>1</v>
      </c>
      <c r="AN67" s="3">
        <v>0</v>
      </c>
      <c r="AO67" s="3">
        <v>0</v>
      </c>
      <c r="AP67" s="3">
        <v>0</v>
      </c>
      <c r="AQ67" s="3">
        <v>0</v>
      </c>
      <c r="AR67" s="2" t="s">
        <v>63</v>
      </c>
      <c r="AS67" s="2" t="s">
        <v>63</v>
      </c>
      <c r="AU67" s="5" t="str">
        <f>HYPERLINK("https://creighton-primo.hosted.exlibrisgroup.com/primo-explore/search?tab=default_tab&amp;search_scope=EVERYTHING&amp;vid=01CRU&amp;lang=en_US&amp;offset=0&amp;query=any,contains,991001528929702656","Catalog Record")</f>
        <v>Catalog Record</v>
      </c>
      <c r="AV67" s="5" t="str">
        <f>HYPERLINK("http://www.worldcat.org/oclc/16439224","WorldCat Record")</f>
        <v>WorldCat Record</v>
      </c>
      <c r="AW67" s="2" t="s">
        <v>812</v>
      </c>
      <c r="AX67" s="2" t="s">
        <v>825</v>
      </c>
      <c r="AY67" s="2" t="s">
        <v>826</v>
      </c>
      <c r="AZ67" s="2" t="s">
        <v>826</v>
      </c>
      <c r="BA67" s="2" t="s">
        <v>827</v>
      </c>
      <c r="BB67" s="2" t="s">
        <v>81</v>
      </c>
      <c r="BD67" s="2" t="s">
        <v>828</v>
      </c>
      <c r="BE67" s="2" t="s">
        <v>829</v>
      </c>
      <c r="BF67" s="2" t="s">
        <v>830</v>
      </c>
    </row>
    <row r="68" spans="1:58" ht="42" customHeight="1">
      <c r="A68" s="1"/>
      <c r="B68" s="1" t="s">
        <v>58</v>
      </c>
      <c r="C68" s="1" t="s">
        <v>59</v>
      </c>
      <c r="D68" s="1" t="s">
        <v>831</v>
      </c>
      <c r="E68" s="1" t="s">
        <v>832</v>
      </c>
      <c r="F68" s="1" t="s">
        <v>833</v>
      </c>
      <c r="H68" s="2" t="s">
        <v>63</v>
      </c>
      <c r="I68" s="2" t="s">
        <v>64</v>
      </c>
      <c r="J68" s="2" t="s">
        <v>63</v>
      </c>
      <c r="K68" s="2" t="s">
        <v>76</v>
      </c>
      <c r="L68" s="2" t="s">
        <v>65</v>
      </c>
      <c r="M68" s="1" t="s">
        <v>834</v>
      </c>
      <c r="N68" s="1" t="s">
        <v>835</v>
      </c>
      <c r="O68" s="2" t="s">
        <v>632</v>
      </c>
      <c r="P68" s="1" t="s">
        <v>231</v>
      </c>
      <c r="Q68" s="2" t="s">
        <v>70</v>
      </c>
      <c r="R68" s="2" t="s">
        <v>316</v>
      </c>
      <c r="S68" s="1" t="s">
        <v>836</v>
      </c>
      <c r="T68" s="2" t="s">
        <v>73</v>
      </c>
      <c r="U68" s="3">
        <v>97</v>
      </c>
      <c r="V68" s="3">
        <v>97</v>
      </c>
      <c r="W68" s="4" t="s">
        <v>837</v>
      </c>
      <c r="X68" s="4" t="s">
        <v>837</v>
      </c>
      <c r="Y68" s="4" t="s">
        <v>838</v>
      </c>
      <c r="Z68" s="4" t="s">
        <v>838</v>
      </c>
      <c r="AA68" s="3">
        <v>73</v>
      </c>
      <c r="AB68" s="3">
        <v>61</v>
      </c>
      <c r="AC68" s="3">
        <v>295</v>
      </c>
      <c r="AD68" s="3">
        <v>1</v>
      </c>
      <c r="AE68" s="3">
        <v>3</v>
      </c>
      <c r="AF68" s="3">
        <v>1</v>
      </c>
      <c r="AG68" s="3">
        <v>9</v>
      </c>
      <c r="AH68" s="3">
        <v>0</v>
      </c>
      <c r="AI68" s="3">
        <v>1</v>
      </c>
      <c r="AJ68" s="3">
        <v>0</v>
      </c>
      <c r="AK68" s="3">
        <v>1</v>
      </c>
      <c r="AL68" s="3">
        <v>1</v>
      </c>
      <c r="AM68" s="3">
        <v>5</v>
      </c>
      <c r="AN68" s="3">
        <v>0</v>
      </c>
      <c r="AO68" s="3">
        <v>2</v>
      </c>
      <c r="AP68" s="3">
        <v>0</v>
      </c>
      <c r="AQ68" s="3">
        <v>0</v>
      </c>
      <c r="AR68" s="2" t="s">
        <v>63</v>
      </c>
      <c r="AS68" s="2" t="s">
        <v>76</v>
      </c>
      <c r="AT68" s="5" t="str">
        <f>HYPERLINK("http://catalog.hathitrust.org/Record/002528841","HathiTrust Record")</f>
        <v>HathiTrust Record</v>
      </c>
      <c r="AU68" s="5" t="str">
        <f>HYPERLINK("https://creighton-primo.hosted.exlibrisgroup.com/primo-explore/search?tab=default_tab&amp;search_scope=EVERYTHING&amp;vid=01CRU&amp;lang=en_US&amp;offset=0&amp;query=any,contains,991001023199702656","Catalog Record")</f>
        <v>Catalog Record</v>
      </c>
      <c r="AV68" s="5" t="str">
        <f>HYPERLINK("http://www.worldcat.org/oclc/24704681","WorldCat Record")</f>
        <v>WorldCat Record</v>
      </c>
      <c r="AW68" s="2" t="s">
        <v>839</v>
      </c>
      <c r="AX68" s="2" t="s">
        <v>840</v>
      </c>
      <c r="AY68" s="2" t="s">
        <v>841</v>
      </c>
      <c r="AZ68" s="2" t="s">
        <v>841</v>
      </c>
      <c r="BA68" s="2" t="s">
        <v>842</v>
      </c>
      <c r="BB68" s="2" t="s">
        <v>81</v>
      </c>
      <c r="BD68" s="2" t="s">
        <v>843</v>
      </c>
      <c r="BE68" s="2" t="s">
        <v>844</v>
      </c>
      <c r="BF68" s="2" t="s">
        <v>845</v>
      </c>
    </row>
    <row r="69" spans="1:58" ht="42" customHeight="1">
      <c r="A69" s="1"/>
      <c r="B69" s="1" t="s">
        <v>58</v>
      </c>
      <c r="C69" s="1" t="s">
        <v>59</v>
      </c>
      <c r="D69" s="1" t="s">
        <v>846</v>
      </c>
      <c r="E69" s="1" t="s">
        <v>847</v>
      </c>
      <c r="F69" s="1" t="s">
        <v>848</v>
      </c>
      <c r="H69" s="2" t="s">
        <v>63</v>
      </c>
      <c r="I69" s="2" t="s">
        <v>64</v>
      </c>
      <c r="J69" s="2" t="s">
        <v>63</v>
      </c>
      <c r="K69" s="2" t="s">
        <v>63</v>
      </c>
      <c r="L69" s="2" t="s">
        <v>65</v>
      </c>
      <c r="N69" s="1" t="s">
        <v>849</v>
      </c>
      <c r="O69" s="2" t="s">
        <v>215</v>
      </c>
      <c r="Q69" s="2" t="s">
        <v>70</v>
      </c>
      <c r="R69" s="2" t="s">
        <v>107</v>
      </c>
      <c r="S69" s="1" t="s">
        <v>850</v>
      </c>
      <c r="T69" s="2" t="s">
        <v>73</v>
      </c>
      <c r="U69" s="3">
        <v>8</v>
      </c>
      <c r="V69" s="3">
        <v>8</v>
      </c>
      <c r="W69" s="4" t="s">
        <v>851</v>
      </c>
      <c r="X69" s="4" t="s">
        <v>851</v>
      </c>
      <c r="Y69" s="4" t="s">
        <v>301</v>
      </c>
      <c r="Z69" s="4" t="s">
        <v>301</v>
      </c>
      <c r="AA69" s="3">
        <v>154</v>
      </c>
      <c r="AB69" s="3">
        <v>100</v>
      </c>
      <c r="AC69" s="3">
        <v>162</v>
      </c>
      <c r="AD69" s="3">
        <v>1</v>
      </c>
      <c r="AE69" s="3">
        <v>1</v>
      </c>
      <c r="AF69" s="3">
        <v>3</v>
      </c>
      <c r="AG69" s="3">
        <v>4</v>
      </c>
      <c r="AH69" s="3">
        <v>2</v>
      </c>
      <c r="AI69" s="3">
        <v>2</v>
      </c>
      <c r="AJ69" s="3">
        <v>1</v>
      </c>
      <c r="AK69" s="3">
        <v>2</v>
      </c>
      <c r="AL69" s="3">
        <v>1</v>
      </c>
      <c r="AM69" s="3">
        <v>1</v>
      </c>
      <c r="AN69" s="3">
        <v>0</v>
      </c>
      <c r="AO69" s="3">
        <v>0</v>
      </c>
      <c r="AP69" s="3">
        <v>0</v>
      </c>
      <c r="AQ69" s="3">
        <v>0</v>
      </c>
      <c r="AR69" s="2" t="s">
        <v>63</v>
      </c>
      <c r="AS69" s="2" t="s">
        <v>63</v>
      </c>
      <c r="AU69" s="5" t="str">
        <f>HYPERLINK("https://creighton-primo.hosted.exlibrisgroup.com/primo-explore/search?tab=default_tab&amp;search_scope=EVERYTHING&amp;vid=01CRU&amp;lang=en_US&amp;offset=0&amp;query=any,contains,991000748979702656","Catalog Record")</f>
        <v>Catalog Record</v>
      </c>
      <c r="AV69" s="5" t="str">
        <f>HYPERLINK("http://www.worldcat.org/oclc/11291107","WorldCat Record")</f>
        <v>WorldCat Record</v>
      </c>
      <c r="AW69" s="2" t="s">
        <v>852</v>
      </c>
      <c r="AX69" s="2" t="s">
        <v>853</v>
      </c>
      <c r="AY69" s="2" t="s">
        <v>854</v>
      </c>
      <c r="AZ69" s="2" t="s">
        <v>854</v>
      </c>
      <c r="BA69" s="2" t="s">
        <v>855</v>
      </c>
      <c r="BB69" s="2" t="s">
        <v>81</v>
      </c>
      <c r="BD69" s="2" t="s">
        <v>856</v>
      </c>
      <c r="BE69" s="2" t="s">
        <v>857</v>
      </c>
      <c r="BF69" s="2" t="s">
        <v>858</v>
      </c>
    </row>
    <row r="70" spans="1:58" ht="42" customHeight="1">
      <c r="A70" s="1"/>
      <c r="B70" s="1" t="s">
        <v>58</v>
      </c>
      <c r="C70" s="1" t="s">
        <v>59</v>
      </c>
      <c r="D70" s="1" t="s">
        <v>859</v>
      </c>
      <c r="E70" s="1" t="s">
        <v>860</v>
      </c>
      <c r="F70" s="1" t="s">
        <v>861</v>
      </c>
      <c r="H70" s="2" t="s">
        <v>63</v>
      </c>
      <c r="I70" s="2" t="s">
        <v>64</v>
      </c>
      <c r="J70" s="2" t="s">
        <v>63</v>
      </c>
      <c r="K70" s="2" t="s">
        <v>76</v>
      </c>
      <c r="L70" s="2" t="s">
        <v>65</v>
      </c>
      <c r="N70" s="1" t="s">
        <v>862</v>
      </c>
      <c r="O70" s="2" t="s">
        <v>863</v>
      </c>
      <c r="P70" s="1" t="s">
        <v>795</v>
      </c>
      <c r="Q70" s="2" t="s">
        <v>70</v>
      </c>
      <c r="R70" s="2" t="s">
        <v>107</v>
      </c>
      <c r="S70" s="1" t="s">
        <v>864</v>
      </c>
      <c r="T70" s="2" t="s">
        <v>73</v>
      </c>
      <c r="U70" s="3">
        <v>15</v>
      </c>
      <c r="V70" s="3">
        <v>15</v>
      </c>
      <c r="W70" s="4" t="s">
        <v>865</v>
      </c>
      <c r="X70" s="4" t="s">
        <v>865</v>
      </c>
      <c r="Y70" s="4" t="s">
        <v>866</v>
      </c>
      <c r="Z70" s="4" t="s">
        <v>866</v>
      </c>
      <c r="AA70" s="3">
        <v>49</v>
      </c>
      <c r="AB70" s="3">
        <v>37</v>
      </c>
      <c r="AC70" s="3">
        <v>1120</v>
      </c>
      <c r="AD70" s="3">
        <v>1</v>
      </c>
      <c r="AE70" s="3">
        <v>4</v>
      </c>
      <c r="AF70" s="3">
        <v>0</v>
      </c>
      <c r="AG70" s="3">
        <v>21</v>
      </c>
      <c r="AH70" s="3">
        <v>0</v>
      </c>
      <c r="AI70" s="3">
        <v>8</v>
      </c>
      <c r="AJ70" s="3">
        <v>0</v>
      </c>
      <c r="AK70" s="3">
        <v>7</v>
      </c>
      <c r="AL70" s="3">
        <v>0</v>
      </c>
      <c r="AM70" s="3">
        <v>8</v>
      </c>
      <c r="AN70" s="3">
        <v>0</v>
      </c>
      <c r="AO70" s="3">
        <v>2</v>
      </c>
      <c r="AP70" s="3">
        <v>0</v>
      </c>
      <c r="AQ70" s="3">
        <v>0</v>
      </c>
      <c r="AR70" s="2" t="s">
        <v>63</v>
      </c>
      <c r="AS70" s="2" t="s">
        <v>63</v>
      </c>
      <c r="AU70" s="5" t="str">
        <f>HYPERLINK("https://creighton-primo.hosted.exlibrisgroup.com/primo-explore/search?tab=default_tab&amp;search_scope=EVERYTHING&amp;vid=01CRU&amp;lang=en_US&amp;offset=0&amp;query=any,contains,991001107819702656","Catalog Record")</f>
        <v>Catalog Record</v>
      </c>
      <c r="AV70" s="5" t="str">
        <f>HYPERLINK("http://www.worldcat.org/oclc/16806294","WorldCat Record")</f>
        <v>WorldCat Record</v>
      </c>
      <c r="AW70" s="2" t="s">
        <v>867</v>
      </c>
      <c r="AX70" s="2" t="s">
        <v>868</v>
      </c>
      <c r="AY70" s="2" t="s">
        <v>869</v>
      </c>
      <c r="AZ70" s="2" t="s">
        <v>869</v>
      </c>
      <c r="BA70" s="2" t="s">
        <v>870</v>
      </c>
      <c r="BB70" s="2" t="s">
        <v>81</v>
      </c>
      <c r="BD70" s="2" t="s">
        <v>871</v>
      </c>
      <c r="BE70" s="2" t="s">
        <v>872</v>
      </c>
      <c r="BF70" s="2" t="s">
        <v>873</v>
      </c>
    </row>
    <row r="71" spans="1:58" ht="42" customHeight="1">
      <c r="A71" s="1"/>
      <c r="B71" s="1" t="s">
        <v>58</v>
      </c>
      <c r="C71" s="1" t="s">
        <v>59</v>
      </c>
      <c r="D71" s="1" t="s">
        <v>874</v>
      </c>
      <c r="E71" s="1" t="s">
        <v>875</v>
      </c>
      <c r="F71" s="1" t="s">
        <v>876</v>
      </c>
      <c r="H71" s="2" t="s">
        <v>63</v>
      </c>
      <c r="I71" s="2" t="s">
        <v>64</v>
      </c>
      <c r="J71" s="2" t="s">
        <v>63</v>
      </c>
      <c r="K71" s="2" t="s">
        <v>63</v>
      </c>
      <c r="L71" s="2" t="s">
        <v>65</v>
      </c>
      <c r="N71" s="1" t="s">
        <v>877</v>
      </c>
      <c r="O71" s="2" t="s">
        <v>878</v>
      </c>
      <c r="P71" s="1" t="s">
        <v>879</v>
      </c>
      <c r="Q71" s="2" t="s">
        <v>70</v>
      </c>
      <c r="R71" s="2" t="s">
        <v>92</v>
      </c>
      <c r="T71" s="2" t="s">
        <v>73</v>
      </c>
      <c r="U71" s="3">
        <v>55</v>
      </c>
      <c r="V71" s="3">
        <v>55</v>
      </c>
      <c r="W71" s="4" t="s">
        <v>880</v>
      </c>
      <c r="X71" s="4" t="s">
        <v>880</v>
      </c>
      <c r="Y71" s="4" t="s">
        <v>881</v>
      </c>
      <c r="Z71" s="4" t="s">
        <v>881</v>
      </c>
      <c r="AA71" s="3">
        <v>126</v>
      </c>
      <c r="AB71" s="3">
        <v>88</v>
      </c>
      <c r="AC71" s="3">
        <v>454</v>
      </c>
      <c r="AD71" s="3">
        <v>1</v>
      </c>
      <c r="AE71" s="3">
        <v>4</v>
      </c>
      <c r="AF71" s="3">
        <v>4</v>
      </c>
      <c r="AG71" s="3">
        <v>14</v>
      </c>
      <c r="AH71" s="3">
        <v>3</v>
      </c>
      <c r="AI71" s="3">
        <v>3</v>
      </c>
      <c r="AJ71" s="3">
        <v>1</v>
      </c>
      <c r="AK71" s="3">
        <v>5</v>
      </c>
      <c r="AL71" s="3">
        <v>2</v>
      </c>
      <c r="AM71" s="3">
        <v>6</v>
      </c>
      <c r="AN71" s="3">
        <v>0</v>
      </c>
      <c r="AO71" s="3">
        <v>3</v>
      </c>
      <c r="AP71" s="3">
        <v>0</v>
      </c>
      <c r="AQ71" s="3">
        <v>0</v>
      </c>
      <c r="AR71" s="2" t="s">
        <v>63</v>
      </c>
      <c r="AS71" s="2" t="s">
        <v>63</v>
      </c>
      <c r="AU71" s="5" t="str">
        <f>HYPERLINK("https://creighton-primo.hosted.exlibrisgroup.com/primo-explore/search?tab=default_tab&amp;search_scope=EVERYTHING&amp;vid=01CRU&amp;lang=en_US&amp;offset=0&amp;query=any,contains,991001532169702656","Catalog Record")</f>
        <v>Catalog Record</v>
      </c>
      <c r="AV71" s="5" t="str">
        <f>HYPERLINK("http://www.worldcat.org/oclc/36783811","WorldCat Record")</f>
        <v>WorldCat Record</v>
      </c>
      <c r="AW71" s="2" t="s">
        <v>882</v>
      </c>
      <c r="AX71" s="2" t="s">
        <v>883</v>
      </c>
      <c r="AY71" s="2" t="s">
        <v>884</v>
      </c>
      <c r="AZ71" s="2" t="s">
        <v>884</v>
      </c>
      <c r="BA71" s="2" t="s">
        <v>885</v>
      </c>
      <c r="BB71" s="2" t="s">
        <v>81</v>
      </c>
      <c r="BD71" s="2" t="s">
        <v>886</v>
      </c>
      <c r="BE71" s="2" t="s">
        <v>887</v>
      </c>
      <c r="BF71" s="2" t="s">
        <v>888</v>
      </c>
    </row>
    <row r="72" spans="1:58" ht="42" customHeight="1">
      <c r="A72" s="1"/>
      <c r="B72" s="1" t="s">
        <v>58</v>
      </c>
      <c r="C72" s="1" t="s">
        <v>59</v>
      </c>
      <c r="D72" s="1" t="s">
        <v>889</v>
      </c>
      <c r="E72" s="1" t="s">
        <v>890</v>
      </c>
      <c r="F72" s="1" t="s">
        <v>891</v>
      </c>
      <c r="H72" s="2" t="s">
        <v>63</v>
      </c>
      <c r="I72" s="2" t="s">
        <v>64</v>
      </c>
      <c r="J72" s="2" t="s">
        <v>63</v>
      </c>
      <c r="K72" s="2" t="s">
        <v>63</v>
      </c>
      <c r="L72" s="2" t="s">
        <v>65</v>
      </c>
      <c r="M72" s="1" t="s">
        <v>892</v>
      </c>
      <c r="N72" s="1" t="s">
        <v>893</v>
      </c>
      <c r="O72" s="2" t="s">
        <v>894</v>
      </c>
      <c r="Q72" s="2" t="s">
        <v>70</v>
      </c>
      <c r="R72" s="2" t="s">
        <v>422</v>
      </c>
      <c r="T72" s="2" t="s">
        <v>73</v>
      </c>
      <c r="U72" s="3">
        <v>6</v>
      </c>
      <c r="V72" s="3">
        <v>6</v>
      </c>
      <c r="W72" s="4" t="s">
        <v>895</v>
      </c>
      <c r="X72" s="4" t="s">
        <v>895</v>
      </c>
      <c r="Y72" s="4" t="s">
        <v>109</v>
      </c>
      <c r="Z72" s="4" t="s">
        <v>109</v>
      </c>
      <c r="AA72" s="3">
        <v>118</v>
      </c>
      <c r="AB72" s="3">
        <v>91</v>
      </c>
      <c r="AC72" s="3">
        <v>91</v>
      </c>
      <c r="AD72" s="3">
        <v>2</v>
      </c>
      <c r="AE72" s="3">
        <v>2</v>
      </c>
      <c r="AF72" s="3">
        <v>1</v>
      </c>
      <c r="AG72" s="3">
        <v>1</v>
      </c>
      <c r="AH72" s="3">
        <v>1</v>
      </c>
      <c r="AI72" s="3">
        <v>1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2" t="s">
        <v>63</v>
      </c>
      <c r="AS72" s="2" t="s">
        <v>63</v>
      </c>
      <c r="AU72" s="5" t="str">
        <f>HYPERLINK("https://creighton-primo.hosted.exlibrisgroup.com/primo-explore/search?tab=default_tab&amp;search_scope=EVERYTHING&amp;vid=01CRU&amp;lang=en_US&amp;offset=0&amp;query=any,contains,991000995169702656","Catalog Record")</f>
        <v>Catalog Record</v>
      </c>
      <c r="AV72" s="5" t="str">
        <f>HYPERLINK("http://www.worldcat.org/oclc/3913163","WorldCat Record")</f>
        <v>WorldCat Record</v>
      </c>
      <c r="AW72" s="2" t="s">
        <v>896</v>
      </c>
      <c r="AX72" s="2" t="s">
        <v>897</v>
      </c>
      <c r="AY72" s="2" t="s">
        <v>898</v>
      </c>
      <c r="AZ72" s="2" t="s">
        <v>898</v>
      </c>
      <c r="BA72" s="2" t="s">
        <v>899</v>
      </c>
      <c r="BB72" s="2" t="s">
        <v>81</v>
      </c>
      <c r="BD72" s="2" t="s">
        <v>900</v>
      </c>
      <c r="BE72" s="2" t="s">
        <v>901</v>
      </c>
      <c r="BF72" s="2" t="s">
        <v>902</v>
      </c>
    </row>
    <row r="73" spans="1:58" ht="42" customHeight="1">
      <c r="A73" s="1"/>
      <c r="B73" s="1" t="s">
        <v>58</v>
      </c>
      <c r="C73" s="1" t="s">
        <v>59</v>
      </c>
      <c r="D73" s="1" t="s">
        <v>903</v>
      </c>
      <c r="E73" s="1" t="s">
        <v>904</v>
      </c>
      <c r="F73" s="1" t="s">
        <v>905</v>
      </c>
      <c r="H73" s="2" t="s">
        <v>63</v>
      </c>
      <c r="I73" s="2" t="s">
        <v>64</v>
      </c>
      <c r="J73" s="2" t="s">
        <v>63</v>
      </c>
      <c r="K73" s="2" t="s">
        <v>63</v>
      </c>
      <c r="L73" s="2" t="s">
        <v>65</v>
      </c>
      <c r="M73" s="1" t="s">
        <v>906</v>
      </c>
      <c r="N73" s="1" t="s">
        <v>907</v>
      </c>
      <c r="O73" s="2" t="s">
        <v>908</v>
      </c>
      <c r="P73" s="1" t="s">
        <v>231</v>
      </c>
      <c r="Q73" s="2" t="s">
        <v>70</v>
      </c>
      <c r="R73" s="2" t="s">
        <v>316</v>
      </c>
      <c r="S73" s="1" t="s">
        <v>909</v>
      </c>
      <c r="T73" s="2" t="s">
        <v>73</v>
      </c>
      <c r="U73" s="3">
        <v>35</v>
      </c>
      <c r="V73" s="3">
        <v>35</v>
      </c>
      <c r="W73" s="4" t="s">
        <v>910</v>
      </c>
      <c r="X73" s="4" t="s">
        <v>910</v>
      </c>
      <c r="Y73" s="4" t="s">
        <v>911</v>
      </c>
      <c r="Z73" s="4" t="s">
        <v>911</v>
      </c>
      <c r="AA73" s="3">
        <v>52</v>
      </c>
      <c r="AB73" s="3">
        <v>34</v>
      </c>
      <c r="AC73" s="3">
        <v>159</v>
      </c>
      <c r="AD73" s="3">
        <v>1</v>
      </c>
      <c r="AE73" s="3">
        <v>1</v>
      </c>
      <c r="AF73" s="3">
        <v>1</v>
      </c>
      <c r="AG73" s="3">
        <v>2</v>
      </c>
      <c r="AH73" s="3">
        <v>0</v>
      </c>
      <c r="AI73" s="3">
        <v>1</v>
      </c>
      <c r="AJ73" s="3">
        <v>1</v>
      </c>
      <c r="AK73" s="3">
        <v>1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2" t="s">
        <v>63</v>
      </c>
      <c r="AS73" s="2" t="s">
        <v>63</v>
      </c>
      <c r="AU73" s="5" t="str">
        <f>HYPERLINK("https://creighton-primo.hosted.exlibrisgroup.com/primo-explore/search?tab=default_tab&amp;search_scope=EVERYTHING&amp;vid=01CRU&amp;lang=en_US&amp;offset=0&amp;query=any,contains,991001398759702656","Catalog Record")</f>
        <v>Catalog Record</v>
      </c>
      <c r="AV73" s="5" t="str">
        <f>HYPERLINK("http://www.worldcat.org/oclc/27379719","WorldCat Record")</f>
        <v>WorldCat Record</v>
      </c>
      <c r="AW73" s="2" t="s">
        <v>912</v>
      </c>
      <c r="AX73" s="2" t="s">
        <v>913</v>
      </c>
      <c r="AY73" s="2" t="s">
        <v>914</v>
      </c>
      <c r="AZ73" s="2" t="s">
        <v>914</v>
      </c>
      <c r="BA73" s="2" t="s">
        <v>915</v>
      </c>
      <c r="BB73" s="2" t="s">
        <v>81</v>
      </c>
      <c r="BD73" s="2" t="s">
        <v>916</v>
      </c>
      <c r="BE73" s="2" t="s">
        <v>917</v>
      </c>
      <c r="BF73" s="2" t="s">
        <v>918</v>
      </c>
    </row>
    <row r="74" spans="1:58" ht="42" customHeight="1">
      <c r="A74" s="1"/>
      <c r="B74" s="1" t="s">
        <v>58</v>
      </c>
      <c r="C74" s="1" t="s">
        <v>59</v>
      </c>
      <c r="D74" s="1" t="s">
        <v>919</v>
      </c>
      <c r="E74" s="1" t="s">
        <v>920</v>
      </c>
      <c r="F74" s="1" t="s">
        <v>921</v>
      </c>
      <c r="H74" s="2" t="s">
        <v>63</v>
      </c>
      <c r="I74" s="2" t="s">
        <v>64</v>
      </c>
      <c r="J74" s="2" t="s">
        <v>63</v>
      </c>
      <c r="K74" s="2" t="s">
        <v>76</v>
      </c>
      <c r="L74" s="2" t="s">
        <v>65</v>
      </c>
      <c r="M74" s="1" t="s">
        <v>834</v>
      </c>
      <c r="N74" s="1" t="s">
        <v>922</v>
      </c>
      <c r="O74" s="2" t="s">
        <v>475</v>
      </c>
      <c r="P74" s="1" t="s">
        <v>152</v>
      </c>
      <c r="Q74" s="2" t="s">
        <v>70</v>
      </c>
      <c r="R74" s="2" t="s">
        <v>422</v>
      </c>
      <c r="T74" s="2" t="s">
        <v>73</v>
      </c>
      <c r="U74" s="3">
        <v>29</v>
      </c>
      <c r="V74" s="3">
        <v>29</v>
      </c>
      <c r="W74" s="4" t="s">
        <v>123</v>
      </c>
      <c r="X74" s="4" t="s">
        <v>123</v>
      </c>
      <c r="Y74" s="4" t="s">
        <v>923</v>
      </c>
      <c r="Z74" s="4" t="s">
        <v>923</v>
      </c>
      <c r="AA74" s="3">
        <v>104</v>
      </c>
      <c r="AB74" s="3">
        <v>55</v>
      </c>
      <c r="AC74" s="3">
        <v>295</v>
      </c>
      <c r="AD74" s="3">
        <v>1</v>
      </c>
      <c r="AE74" s="3">
        <v>3</v>
      </c>
      <c r="AF74" s="3">
        <v>1</v>
      </c>
      <c r="AG74" s="3">
        <v>9</v>
      </c>
      <c r="AH74" s="3">
        <v>0</v>
      </c>
      <c r="AI74" s="3">
        <v>1</v>
      </c>
      <c r="AJ74" s="3">
        <v>0</v>
      </c>
      <c r="AK74" s="3">
        <v>1</v>
      </c>
      <c r="AL74" s="3">
        <v>1</v>
      </c>
      <c r="AM74" s="3">
        <v>5</v>
      </c>
      <c r="AN74" s="3">
        <v>0</v>
      </c>
      <c r="AO74" s="3">
        <v>2</v>
      </c>
      <c r="AP74" s="3">
        <v>0</v>
      </c>
      <c r="AQ74" s="3">
        <v>0</v>
      </c>
      <c r="AR74" s="2" t="s">
        <v>63</v>
      </c>
      <c r="AS74" s="2" t="s">
        <v>63</v>
      </c>
      <c r="AU74" s="5" t="str">
        <f>HYPERLINK("https://creighton-primo.hosted.exlibrisgroup.com/primo-explore/search?tab=default_tab&amp;search_scope=EVERYTHING&amp;vid=01CRU&amp;lang=en_US&amp;offset=0&amp;query=any,contains,991000336069702656","Catalog Record")</f>
        <v>Catalog Record</v>
      </c>
      <c r="AV74" s="5" t="str">
        <f>HYPERLINK("http://www.worldcat.org/oclc/50334431","WorldCat Record")</f>
        <v>WorldCat Record</v>
      </c>
      <c r="AW74" s="2" t="s">
        <v>839</v>
      </c>
      <c r="AX74" s="2" t="s">
        <v>924</v>
      </c>
      <c r="AY74" s="2" t="s">
        <v>925</v>
      </c>
      <c r="AZ74" s="2" t="s">
        <v>925</v>
      </c>
      <c r="BA74" s="2" t="s">
        <v>926</v>
      </c>
      <c r="BB74" s="2" t="s">
        <v>81</v>
      </c>
      <c r="BD74" s="2" t="s">
        <v>927</v>
      </c>
      <c r="BE74" s="2" t="s">
        <v>928</v>
      </c>
      <c r="BF74" s="2" t="s">
        <v>929</v>
      </c>
    </row>
    <row r="75" spans="1:58" ht="42" customHeight="1">
      <c r="A75" s="1"/>
      <c r="B75" s="1" t="s">
        <v>58</v>
      </c>
      <c r="C75" s="1" t="s">
        <v>59</v>
      </c>
      <c r="D75" s="1" t="s">
        <v>930</v>
      </c>
      <c r="E75" s="1" t="s">
        <v>931</v>
      </c>
      <c r="F75" s="1" t="s">
        <v>932</v>
      </c>
      <c r="H75" s="2" t="s">
        <v>63</v>
      </c>
      <c r="I75" s="2" t="s">
        <v>64</v>
      </c>
      <c r="J75" s="2" t="s">
        <v>63</v>
      </c>
      <c r="K75" s="2" t="s">
        <v>63</v>
      </c>
      <c r="L75" s="2" t="s">
        <v>65</v>
      </c>
      <c r="M75" s="1" t="s">
        <v>933</v>
      </c>
      <c r="N75" s="1" t="s">
        <v>934</v>
      </c>
      <c r="O75" s="2" t="s">
        <v>68</v>
      </c>
      <c r="P75" s="1" t="s">
        <v>935</v>
      </c>
      <c r="Q75" s="2" t="s">
        <v>70</v>
      </c>
      <c r="R75" s="2" t="s">
        <v>71</v>
      </c>
      <c r="T75" s="2" t="s">
        <v>73</v>
      </c>
      <c r="U75" s="3">
        <v>6</v>
      </c>
      <c r="V75" s="3">
        <v>6</v>
      </c>
      <c r="W75" s="4" t="s">
        <v>936</v>
      </c>
      <c r="X75" s="4" t="s">
        <v>936</v>
      </c>
      <c r="Y75" s="4" t="s">
        <v>937</v>
      </c>
      <c r="Z75" s="4" t="s">
        <v>937</v>
      </c>
      <c r="AA75" s="3">
        <v>25</v>
      </c>
      <c r="AB75" s="3">
        <v>14</v>
      </c>
      <c r="AC75" s="3">
        <v>14</v>
      </c>
      <c r="AD75" s="3">
        <v>1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2" t="s">
        <v>63</v>
      </c>
      <c r="AS75" s="2" t="s">
        <v>63</v>
      </c>
      <c r="AU75" s="5" t="str">
        <f>HYPERLINK("https://creighton-primo.hosted.exlibrisgroup.com/primo-explore/search?tab=default_tab&amp;search_scope=EVERYTHING&amp;vid=01CRU&amp;lang=en_US&amp;offset=0&amp;query=any,contains,991000644669702656","Catalog Record")</f>
        <v>Catalog Record</v>
      </c>
      <c r="AV75" s="5" t="str">
        <f>HYPERLINK("http://www.worldcat.org/oclc/29908353","WorldCat Record")</f>
        <v>WorldCat Record</v>
      </c>
      <c r="AW75" s="2" t="s">
        <v>938</v>
      </c>
      <c r="AX75" s="2" t="s">
        <v>939</v>
      </c>
      <c r="AY75" s="2" t="s">
        <v>940</v>
      </c>
      <c r="AZ75" s="2" t="s">
        <v>940</v>
      </c>
      <c r="BA75" s="2" t="s">
        <v>941</v>
      </c>
      <c r="BB75" s="2" t="s">
        <v>81</v>
      </c>
      <c r="BD75" s="2" t="s">
        <v>942</v>
      </c>
      <c r="BE75" s="2" t="s">
        <v>943</v>
      </c>
      <c r="BF75" s="2" t="s">
        <v>944</v>
      </c>
    </row>
    <row r="76" spans="1:58" ht="42" customHeight="1">
      <c r="A76" s="1"/>
      <c r="B76" s="1" t="s">
        <v>58</v>
      </c>
      <c r="C76" s="1" t="s">
        <v>59</v>
      </c>
      <c r="D76" s="1" t="s">
        <v>945</v>
      </c>
      <c r="E76" s="1" t="s">
        <v>946</v>
      </c>
      <c r="F76" s="1" t="s">
        <v>947</v>
      </c>
      <c r="H76" s="2" t="s">
        <v>63</v>
      </c>
      <c r="I76" s="2" t="s">
        <v>64</v>
      </c>
      <c r="J76" s="2" t="s">
        <v>63</v>
      </c>
      <c r="K76" s="2" t="s">
        <v>63</v>
      </c>
      <c r="L76" s="2" t="s">
        <v>65</v>
      </c>
      <c r="M76" s="1" t="s">
        <v>948</v>
      </c>
      <c r="N76" s="1" t="s">
        <v>949</v>
      </c>
      <c r="O76" s="2" t="s">
        <v>878</v>
      </c>
      <c r="Q76" s="2" t="s">
        <v>70</v>
      </c>
      <c r="R76" s="2" t="s">
        <v>509</v>
      </c>
      <c r="S76" s="1" t="s">
        <v>950</v>
      </c>
      <c r="T76" s="2" t="s">
        <v>73</v>
      </c>
      <c r="U76" s="3">
        <v>4</v>
      </c>
      <c r="V76" s="3">
        <v>4</v>
      </c>
      <c r="W76" s="4" t="s">
        <v>951</v>
      </c>
      <c r="X76" s="4" t="s">
        <v>951</v>
      </c>
      <c r="Y76" s="4" t="s">
        <v>952</v>
      </c>
      <c r="Z76" s="4" t="s">
        <v>952</v>
      </c>
      <c r="AA76" s="3">
        <v>179</v>
      </c>
      <c r="AB76" s="3">
        <v>112</v>
      </c>
      <c r="AC76" s="3">
        <v>113</v>
      </c>
      <c r="AD76" s="3">
        <v>1</v>
      </c>
      <c r="AE76" s="3">
        <v>1</v>
      </c>
      <c r="AF76" s="3">
        <v>2</v>
      </c>
      <c r="AG76" s="3">
        <v>2</v>
      </c>
      <c r="AH76" s="3">
        <v>0</v>
      </c>
      <c r="AI76" s="3">
        <v>0</v>
      </c>
      <c r="AJ76" s="3">
        <v>1</v>
      </c>
      <c r="AK76" s="3">
        <v>1</v>
      </c>
      <c r="AL76" s="3">
        <v>2</v>
      </c>
      <c r="AM76" s="3">
        <v>2</v>
      </c>
      <c r="AN76" s="3">
        <v>0</v>
      </c>
      <c r="AO76" s="3">
        <v>0</v>
      </c>
      <c r="AP76" s="3">
        <v>0</v>
      </c>
      <c r="AQ76" s="3">
        <v>0</v>
      </c>
      <c r="AR76" s="2" t="s">
        <v>63</v>
      </c>
      <c r="AS76" s="2" t="s">
        <v>76</v>
      </c>
      <c r="AT76" s="5" t="str">
        <f>HYPERLINK("http://catalog.hathitrust.org/Record/003168477","HathiTrust Record")</f>
        <v>HathiTrust Record</v>
      </c>
      <c r="AU76" s="5" t="str">
        <f>HYPERLINK("https://creighton-primo.hosted.exlibrisgroup.com/primo-explore/search?tab=default_tab&amp;search_scope=EVERYTHING&amp;vid=01CRU&amp;lang=en_US&amp;offset=0&amp;query=any,contains,991000818099702656","Catalog Record")</f>
        <v>Catalog Record</v>
      </c>
      <c r="AV76" s="5" t="str">
        <f>HYPERLINK("http://www.worldcat.org/oclc/36225971","WorldCat Record")</f>
        <v>WorldCat Record</v>
      </c>
      <c r="AW76" s="2" t="s">
        <v>953</v>
      </c>
      <c r="AX76" s="2" t="s">
        <v>954</v>
      </c>
      <c r="AY76" s="2" t="s">
        <v>955</v>
      </c>
      <c r="AZ76" s="2" t="s">
        <v>955</v>
      </c>
      <c r="BA76" s="2" t="s">
        <v>956</v>
      </c>
      <c r="BB76" s="2" t="s">
        <v>81</v>
      </c>
      <c r="BD76" s="2" t="s">
        <v>957</v>
      </c>
      <c r="BE76" s="2" t="s">
        <v>958</v>
      </c>
      <c r="BF76" s="2" t="s">
        <v>959</v>
      </c>
    </row>
    <row r="77" spans="1:58" ht="42" customHeight="1">
      <c r="A77" s="1"/>
      <c r="B77" s="1" t="s">
        <v>58</v>
      </c>
      <c r="C77" s="1" t="s">
        <v>59</v>
      </c>
      <c r="D77" s="1" t="s">
        <v>960</v>
      </c>
      <c r="E77" s="1" t="s">
        <v>961</v>
      </c>
      <c r="F77" s="1" t="s">
        <v>962</v>
      </c>
      <c r="H77" s="2" t="s">
        <v>63</v>
      </c>
      <c r="I77" s="2" t="s">
        <v>64</v>
      </c>
      <c r="J77" s="2" t="s">
        <v>63</v>
      </c>
      <c r="K77" s="2" t="s">
        <v>63</v>
      </c>
      <c r="L77" s="2" t="s">
        <v>65</v>
      </c>
      <c r="M77" s="1" t="s">
        <v>963</v>
      </c>
      <c r="N77" s="1" t="s">
        <v>964</v>
      </c>
      <c r="O77" s="2" t="s">
        <v>965</v>
      </c>
      <c r="Q77" s="2" t="s">
        <v>70</v>
      </c>
      <c r="R77" s="2" t="s">
        <v>422</v>
      </c>
      <c r="T77" s="2" t="s">
        <v>73</v>
      </c>
      <c r="U77" s="3">
        <v>3</v>
      </c>
      <c r="V77" s="3">
        <v>3</v>
      </c>
      <c r="W77" s="4" t="s">
        <v>865</v>
      </c>
      <c r="X77" s="4" t="s">
        <v>865</v>
      </c>
      <c r="Y77" s="4" t="s">
        <v>109</v>
      </c>
      <c r="Z77" s="4" t="s">
        <v>109</v>
      </c>
      <c r="AA77" s="3">
        <v>97</v>
      </c>
      <c r="AB77" s="3">
        <v>77</v>
      </c>
      <c r="AC77" s="3">
        <v>130</v>
      </c>
      <c r="AD77" s="3">
        <v>1</v>
      </c>
      <c r="AE77" s="3">
        <v>2</v>
      </c>
      <c r="AF77" s="3">
        <v>1</v>
      </c>
      <c r="AG77" s="3">
        <v>3</v>
      </c>
      <c r="AH77" s="3">
        <v>1</v>
      </c>
      <c r="AI77" s="3">
        <v>1</v>
      </c>
      <c r="AJ77" s="3">
        <v>0</v>
      </c>
      <c r="AK77" s="3">
        <v>1</v>
      </c>
      <c r="AL77" s="3">
        <v>0</v>
      </c>
      <c r="AM77" s="3">
        <v>0</v>
      </c>
      <c r="AN77" s="3">
        <v>0</v>
      </c>
      <c r="AO77" s="3">
        <v>1</v>
      </c>
      <c r="AP77" s="3">
        <v>0</v>
      </c>
      <c r="AQ77" s="3">
        <v>0</v>
      </c>
      <c r="AR77" s="2" t="s">
        <v>76</v>
      </c>
      <c r="AS77" s="2" t="s">
        <v>63</v>
      </c>
      <c r="AT77" s="5" t="str">
        <f>HYPERLINK("http://catalog.hathitrust.org/Record/006496951","HathiTrust Record")</f>
        <v>HathiTrust Record</v>
      </c>
      <c r="AU77" s="5" t="str">
        <f>HYPERLINK("https://creighton-primo.hosted.exlibrisgroup.com/primo-explore/search?tab=default_tab&amp;search_scope=EVERYTHING&amp;vid=01CRU&amp;lang=en_US&amp;offset=0&amp;query=any,contains,991000994809702656","Catalog Record")</f>
        <v>Catalog Record</v>
      </c>
      <c r="AV77" s="5" t="str">
        <f>HYPERLINK("http://www.worldcat.org/oclc/3182025","WorldCat Record")</f>
        <v>WorldCat Record</v>
      </c>
      <c r="AW77" s="2" t="s">
        <v>966</v>
      </c>
      <c r="AX77" s="2" t="s">
        <v>967</v>
      </c>
      <c r="AY77" s="2" t="s">
        <v>968</v>
      </c>
      <c r="AZ77" s="2" t="s">
        <v>968</v>
      </c>
      <c r="BA77" s="2" t="s">
        <v>969</v>
      </c>
      <c r="BB77" s="2" t="s">
        <v>81</v>
      </c>
      <c r="BE77" s="2" t="s">
        <v>970</v>
      </c>
      <c r="BF77" s="2" t="s">
        <v>971</v>
      </c>
    </row>
    <row r="78" spans="1:58" ht="42" customHeight="1">
      <c r="A78" s="1"/>
      <c r="B78" s="1" t="s">
        <v>58</v>
      </c>
      <c r="C78" s="1" t="s">
        <v>59</v>
      </c>
      <c r="D78" s="1" t="s">
        <v>972</v>
      </c>
      <c r="E78" s="1" t="s">
        <v>973</v>
      </c>
      <c r="F78" s="1" t="s">
        <v>974</v>
      </c>
      <c r="H78" s="2" t="s">
        <v>63</v>
      </c>
      <c r="I78" s="2" t="s">
        <v>64</v>
      </c>
      <c r="J78" s="2" t="s">
        <v>63</v>
      </c>
      <c r="K78" s="2" t="s">
        <v>63</v>
      </c>
      <c r="L78" s="2" t="s">
        <v>65</v>
      </c>
      <c r="N78" s="1" t="s">
        <v>975</v>
      </c>
      <c r="O78" s="2" t="s">
        <v>186</v>
      </c>
      <c r="P78" s="1" t="s">
        <v>976</v>
      </c>
      <c r="Q78" s="2" t="s">
        <v>70</v>
      </c>
      <c r="R78" s="2" t="s">
        <v>509</v>
      </c>
      <c r="T78" s="2" t="s">
        <v>73</v>
      </c>
      <c r="U78" s="3">
        <v>7</v>
      </c>
      <c r="V78" s="3">
        <v>7</v>
      </c>
      <c r="W78" s="4" t="s">
        <v>977</v>
      </c>
      <c r="X78" s="4" t="s">
        <v>977</v>
      </c>
      <c r="Y78" s="4" t="s">
        <v>978</v>
      </c>
      <c r="Z78" s="4" t="s">
        <v>978</v>
      </c>
      <c r="AA78" s="3">
        <v>242</v>
      </c>
      <c r="AB78" s="3">
        <v>144</v>
      </c>
      <c r="AC78" s="3">
        <v>316</v>
      </c>
      <c r="AD78" s="3">
        <v>2</v>
      </c>
      <c r="AE78" s="3">
        <v>3</v>
      </c>
      <c r="AF78" s="3">
        <v>4</v>
      </c>
      <c r="AG78" s="3">
        <v>13</v>
      </c>
      <c r="AH78" s="3">
        <v>0</v>
      </c>
      <c r="AI78" s="3">
        <v>6</v>
      </c>
      <c r="AJ78" s="3">
        <v>2</v>
      </c>
      <c r="AK78" s="3">
        <v>4</v>
      </c>
      <c r="AL78" s="3">
        <v>3</v>
      </c>
      <c r="AM78" s="3">
        <v>6</v>
      </c>
      <c r="AN78" s="3">
        <v>1</v>
      </c>
      <c r="AO78" s="3">
        <v>2</v>
      </c>
      <c r="AP78" s="3">
        <v>0</v>
      </c>
      <c r="AQ78" s="3">
        <v>0</v>
      </c>
      <c r="AR78" s="2" t="s">
        <v>63</v>
      </c>
      <c r="AS78" s="2" t="s">
        <v>76</v>
      </c>
      <c r="AT78" s="5" t="str">
        <f>HYPERLINK("http://catalog.hathitrust.org/Record/001528027","HathiTrust Record")</f>
        <v>HathiTrust Record</v>
      </c>
      <c r="AU78" s="5" t="str">
        <f>HYPERLINK("https://creighton-primo.hosted.exlibrisgroup.com/primo-explore/search?tab=default_tab&amp;search_scope=EVERYTHING&amp;vid=01CRU&amp;lang=en_US&amp;offset=0&amp;query=any,contains,991001371439702656","Catalog Record")</f>
        <v>Catalog Record</v>
      </c>
      <c r="AV78" s="5" t="str">
        <f>HYPERLINK("http://www.worldcat.org/oclc/18836943","WorldCat Record")</f>
        <v>WorldCat Record</v>
      </c>
      <c r="AW78" s="2" t="s">
        <v>979</v>
      </c>
      <c r="AX78" s="2" t="s">
        <v>980</v>
      </c>
      <c r="AY78" s="2" t="s">
        <v>981</v>
      </c>
      <c r="AZ78" s="2" t="s">
        <v>981</v>
      </c>
      <c r="BA78" s="2" t="s">
        <v>982</v>
      </c>
      <c r="BB78" s="2" t="s">
        <v>81</v>
      </c>
      <c r="BD78" s="2" t="s">
        <v>983</v>
      </c>
      <c r="BE78" s="2" t="s">
        <v>984</v>
      </c>
      <c r="BF78" s="2" t="s">
        <v>985</v>
      </c>
    </row>
    <row r="79" spans="1:58" ht="42" customHeight="1">
      <c r="A79" s="1"/>
      <c r="B79" s="1" t="s">
        <v>58</v>
      </c>
      <c r="C79" s="1" t="s">
        <v>59</v>
      </c>
      <c r="D79" s="1" t="s">
        <v>986</v>
      </c>
      <c r="E79" s="1" t="s">
        <v>987</v>
      </c>
      <c r="F79" s="1" t="s">
        <v>988</v>
      </c>
      <c r="G79" s="2" t="s">
        <v>372</v>
      </c>
      <c r="H79" s="2" t="s">
        <v>63</v>
      </c>
      <c r="I79" s="2" t="s">
        <v>64</v>
      </c>
      <c r="J79" s="2" t="s">
        <v>63</v>
      </c>
      <c r="K79" s="2" t="s">
        <v>63</v>
      </c>
      <c r="L79" s="2" t="s">
        <v>65</v>
      </c>
      <c r="M79" s="1" t="s">
        <v>989</v>
      </c>
      <c r="N79" s="1" t="s">
        <v>990</v>
      </c>
      <c r="O79" s="2" t="s">
        <v>215</v>
      </c>
      <c r="Q79" s="2" t="s">
        <v>70</v>
      </c>
      <c r="R79" s="2" t="s">
        <v>107</v>
      </c>
      <c r="T79" s="2" t="s">
        <v>73</v>
      </c>
      <c r="U79" s="3">
        <v>7</v>
      </c>
      <c r="V79" s="3">
        <v>7</v>
      </c>
      <c r="W79" s="4" t="s">
        <v>991</v>
      </c>
      <c r="X79" s="4" t="s">
        <v>991</v>
      </c>
      <c r="Y79" s="4" t="s">
        <v>109</v>
      </c>
      <c r="Z79" s="4" t="s">
        <v>109</v>
      </c>
      <c r="AA79" s="3">
        <v>154</v>
      </c>
      <c r="AB79" s="3">
        <v>122</v>
      </c>
      <c r="AC79" s="3">
        <v>124</v>
      </c>
      <c r="AD79" s="3">
        <v>1</v>
      </c>
      <c r="AE79" s="3">
        <v>1</v>
      </c>
      <c r="AF79" s="3">
        <v>4</v>
      </c>
      <c r="AG79" s="3">
        <v>4</v>
      </c>
      <c r="AH79" s="3">
        <v>0</v>
      </c>
      <c r="AI79" s="3">
        <v>0</v>
      </c>
      <c r="AJ79" s="3">
        <v>2</v>
      </c>
      <c r="AK79" s="3">
        <v>2</v>
      </c>
      <c r="AL79" s="3">
        <v>2</v>
      </c>
      <c r="AM79" s="3">
        <v>2</v>
      </c>
      <c r="AN79" s="3">
        <v>0</v>
      </c>
      <c r="AO79" s="3">
        <v>0</v>
      </c>
      <c r="AP79" s="3">
        <v>0</v>
      </c>
      <c r="AQ79" s="3">
        <v>0</v>
      </c>
      <c r="AR79" s="2" t="s">
        <v>63</v>
      </c>
      <c r="AS79" s="2" t="s">
        <v>76</v>
      </c>
      <c r="AT79" s="5" t="str">
        <f>HYPERLINK("http://catalog.hathitrust.org/Record/000602986","HathiTrust Record")</f>
        <v>HathiTrust Record</v>
      </c>
      <c r="AU79" s="5" t="str">
        <f>HYPERLINK("https://creighton-primo.hosted.exlibrisgroup.com/primo-explore/search?tab=default_tab&amp;search_scope=EVERYTHING&amp;vid=01CRU&amp;lang=en_US&amp;offset=0&amp;query=any,contains,991000995569702656","Catalog Record")</f>
        <v>Catalog Record</v>
      </c>
      <c r="AV79" s="5" t="str">
        <f>HYPERLINK("http://www.worldcat.org/oclc/10876826","WorldCat Record")</f>
        <v>WorldCat Record</v>
      </c>
      <c r="AW79" s="2" t="s">
        <v>992</v>
      </c>
      <c r="AX79" s="2" t="s">
        <v>993</v>
      </c>
      <c r="AY79" s="2" t="s">
        <v>994</v>
      </c>
      <c r="AZ79" s="2" t="s">
        <v>994</v>
      </c>
      <c r="BA79" s="2" t="s">
        <v>995</v>
      </c>
      <c r="BB79" s="2" t="s">
        <v>81</v>
      </c>
      <c r="BD79" s="2" t="s">
        <v>996</v>
      </c>
      <c r="BE79" s="2" t="s">
        <v>997</v>
      </c>
      <c r="BF79" s="2" t="s">
        <v>998</v>
      </c>
    </row>
    <row r="80" spans="1:58" ht="42" customHeight="1">
      <c r="A80" s="1"/>
      <c r="B80" s="1" t="s">
        <v>58</v>
      </c>
      <c r="C80" s="1" t="s">
        <v>59</v>
      </c>
      <c r="D80" s="1" t="s">
        <v>999</v>
      </c>
      <c r="E80" s="1" t="s">
        <v>1000</v>
      </c>
      <c r="F80" s="1" t="s">
        <v>1001</v>
      </c>
      <c r="G80" s="2" t="s">
        <v>1002</v>
      </c>
      <c r="H80" s="2" t="s">
        <v>76</v>
      </c>
      <c r="I80" s="2" t="s">
        <v>64</v>
      </c>
      <c r="J80" s="2" t="s">
        <v>63</v>
      </c>
      <c r="K80" s="2" t="s">
        <v>63</v>
      </c>
      <c r="L80" s="2" t="s">
        <v>65</v>
      </c>
      <c r="M80" s="1" t="s">
        <v>1003</v>
      </c>
      <c r="N80" s="1" t="s">
        <v>1004</v>
      </c>
      <c r="O80" s="2" t="s">
        <v>1005</v>
      </c>
      <c r="Q80" s="2" t="s">
        <v>70</v>
      </c>
      <c r="R80" s="2" t="s">
        <v>509</v>
      </c>
      <c r="T80" s="2" t="s">
        <v>73</v>
      </c>
      <c r="U80" s="3">
        <v>1</v>
      </c>
      <c r="V80" s="3">
        <v>6</v>
      </c>
      <c r="X80" s="4" t="s">
        <v>977</v>
      </c>
      <c r="Y80" s="4" t="s">
        <v>1006</v>
      </c>
      <c r="Z80" s="4" t="s">
        <v>1006</v>
      </c>
      <c r="AA80" s="3">
        <v>409</v>
      </c>
      <c r="AB80" s="3">
        <v>297</v>
      </c>
      <c r="AC80" s="3">
        <v>298</v>
      </c>
      <c r="AD80" s="3">
        <v>4</v>
      </c>
      <c r="AE80" s="3">
        <v>4</v>
      </c>
      <c r="AF80" s="3">
        <v>14</v>
      </c>
      <c r="AG80" s="3">
        <v>14</v>
      </c>
      <c r="AH80" s="3">
        <v>5</v>
      </c>
      <c r="AI80" s="3">
        <v>5</v>
      </c>
      <c r="AJ80" s="3">
        <v>3</v>
      </c>
      <c r="AK80" s="3">
        <v>3</v>
      </c>
      <c r="AL80" s="3">
        <v>9</v>
      </c>
      <c r="AM80" s="3">
        <v>9</v>
      </c>
      <c r="AN80" s="3">
        <v>2</v>
      </c>
      <c r="AO80" s="3">
        <v>2</v>
      </c>
      <c r="AP80" s="3">
        <v>0</v>
      </c>
      <c r="AQ80" s="3">
        <v>0</v>
      </c>
      <c r="AR80" s="2" t="s">
        <v>63</v>
      </c>
      <c r="AS80" s="2" t="s">
        <v>76</v>
      </c>
      <c r="AT80" s="5" t="str">
        <f>HYPERLINK("http://catalog.hathitrust.org/Record/000455020","HathiTrust Record")</f>
        <v>HathiTrust Record</v>
      </c>
      <c r="AU80" s="5" t="str">
        <f>HYPERLINK("https://creighton-primo.hosted.exlibrisgroup.com/primo-explore/search?tab=default_tab&amp;search_scope=EVERYTHING&amp;vid=01CRU&amp;lang=en_US&amp;offset=0&amp;query=any,contains,991000995529702656","Catalog Record")</f>
        <v>Catalog Record</v>
      </c>
      <c r="AV80" s="5" t="str">
        <f>HYPERLINK("http://www.worldcat.org/oclc/21981","WorldCat Record")</f>
        <v>WorldCat Record</v>
      </c>
      <c r="AW80" s="2" t="s">
        <v>1007</v>
      </c>
      <c r="AX80" s="2" t="s">
        <v>1008</v>
      </c>
      <c r="AY80" s="2" t="s">
        <v>1009</v>
      </c>
      <c r="AZ80" s="2" t="s">
        <v>1009</v>
      </c>
      <c r="BA80" s="2" t="s">
        <v>1010</v>
      </c>
      <c r="BB80" s="2" t="s">
        <v>81</v>
      </c>
      <c r="BD80" s="2" t="s">
        <v>1011</v>
      </c>
      <c r="BE80" s="2" t="s">
        <v>1012</v>
      </c>
      <c r="BF80" s="2" t="s">
        <v>1013</v>
      </c>
    </row>
    <row r="81" spans="1:58" ht="42" customHeight="1">
      <c r="A81" s="1"/>
      <c r="B81" s="1" t="s">
        <v>58</v>
      </c>
      <c r="C81" s="1" t="s">
        <v>59</v>
      </c>
      <c r="D81" s="1" t="s">
        <v>999</v>
      </c>
      <c r="E81" s="1" t="s">
        <v>1000</v>
      </c>
      <c r="F81" s="1" t="s">
        <v>1001</v>
      </c>
      <c r="G81" s="2" t="s">
        <v>178</v>
      </c>
      <c r="H81" s="2" t="s">
        <v>76</v>
      </c>
      <c r="I81" s="2" t="s">
        <v>64</v>
      </c>
      <c r="J81" s="2" t="s">
        <v>63</v>
      </c>
      <c r="K81" s="2" t="s">
        <v>63</v>
      </c>
      <c r="L81" s="2" t="s">
        <v>65</v>
      </c>
      <c r="M81" s="1" t="s">
        <v>1003</v>
      </c>
      <c r="N81" s="1" t="s">
        <v>1004</v>
      </c>
      <c r="O81" s="2" t="s">
        <v>1005</v>
      </c>
      <c r="Q81" s="2" t="s">
        <v>70</v>
      </c>
      <c r="R81" s="2" t="s">
        <v>509</v>
      </c>
      <c r="T81" s="2" t="s">
        <v>73</v>
      </c>
      <c r="U81" s="3">
        <v>2</v>
      </c>
      <c r="V81" s="3">
        <v>6</v>
      </c>
      <c r="W81" s="4" t="s">
        <v>977</v>
      </c>
      <c r="X81" s="4" t="s">
        <v>977</v>
      </c>
      <c r="Y81" s="4" t="s">
        <v>1006</v>
      </c>
      <c r="Z81" s="4" t="s">
        <v>1006</v>
      </c>
      <c r="AA81" s="3">
        <v>409</v>
      </c>
      <c r="AB81" s="3">
        <v>297</v>
      </c>
      <c r="AC81" s="3">
        <v>298</v>
      </c>
      <c r="AD81" s="3">
        <v>4</v>
      </c>
      <c r="AE81" s="3">
        <v>4</v>
      </c>
      <c r="AF81" s="3">
        <v>14</v>
      </c>
      <c r="AG81" s="3">
        <v>14</v>
      </c>
      <c r="AH81" s="3">
        <v>5</v>
      </c>
      <c r="AI81" s="3">
        <v>5</v>
      </c>
      <c r="AJ81" s="3">
        <v>3</v>
      </c>
      <c r="AK81" s="3">
        <v>3</v>
      </c>
      <c r="AL81" s="3">
        <v>9</v>
      </c>
      <c r="AM81" s="3">
        <v>9</v>
      </c>
      <c r="AN81" s="3">
        <v>2</v>
      </c>
      <c r="AO81" s="3">
        <v>2</v>
      </c>
      <c r="AP81" s="3">
        <v>0</v>
      </c>
      <c r="AQ81" s="3">
        <v>0</v>
      </c>
      <c r="AR81" s="2" t="s">
        <v>63</v>
      </c>
      <c r="AS81" s="2" t="s">
        <v>76</v>
      </c>
      <c r="AT81" s="5" t="str">
        <f>HYPERLINK("http://catalog.hathitrust.org/Record/000455020","HathiTrust Record")</f>
        <v>HathiTrust Record</v>
      </c>
      <c r="AU81" s="5" t="str">
        <f>HYPERLINK("https://creighton-primo.hosted.exlibrisgroup.com/primo-explore/search?tab=default_tab&amp;search_scope=EVERYTHING&amp;vid=01CRU&amp;lang=en_US&amp;offset=0&amp;query=any,contains,991000995529702656","Catalog Record")</f>
        <v>Catalog Record</v>
      </c>
      <c r="AV81" s="5" t="str">
        <f>HYPERLINK("http://www.worldcat.org/oclc/21981","WorldCat Record")</f>
        <v>WorldCat Record</v>
      </c>
      <c r="AW81" s="2" t="s">
        <v>1007</v>
      </c>
      <c r="AX81" s="2" t="s">
        <v>1008</v>
      </c>
      <c r="AY81" s="2" t="s">
        <v>1009</v>
      </c>
      <c r="AZ81" s="2" t="s">
        <v>1009</v>
      </c>
      <c r="BA81" s="2" t="s">
        <v>1010</v>
      </c>
      <c r="BB81" s="2" t="s">
        <v>81</v>
      </c>
      <c r="BD81" s="2" t="s">
        <v>1011</v>
      </c>
      <c r="BE81" s="2" t="s">
        <v>1014</v>
      </c>
      <c r="BF81" s="2" t="s">
        <v>1015</v>
      </c>
    </row>
    <row r="82" spans="1:58" ht="42" customHeight="1">
      <c r="A82" s="1"/>
      <c r="B82" s="1" t="s">
        <v>58</v>
      </c>
      <c r="C82" s="1" t="s">
        <v>59</v>
      </c>
      <c r="D82" s="1" t="s">
        <v>999</v>
      </c>
      <c r="E82" s="1" t="s">
        <v>1000</v>
      </c>
      <c r="F82" s="1" t="s">
        <v>1001</v>
      </c>
      <c r="G82" s="2" t="s">
        <v>193</v>
      </c>
      <c r="H82" s="2" t="s">
        <v>76</v>
      </c>
      <c r="I82" s="2" t="s">
        <v>64</v>
      </c>
      <c r="J82" s="2" t="s">
        <v>63</v>
      </c>
      <c r="K82" s="2" t="s">
        <v>63</v>
      </c>
      <c r="L82" s="2" t="s">
        <v>65</v>
      </c>
      <c r="M82" s="1" t="s">
        <v>1003</v>
      </c>
      <c r="N82" s="1" t="s">
        <v>1004</v>
      </c>
      <c r="O82" s="2" t="s">
        <v>1005</v>
      </c>
      <c r="Q82" s="2" t="s">
        <v>70</v>
      </c>
      <c r="R82" s="2" t="s">
        <v>509</v>
      </c>
      <c r="T82" s="2" t="s">
        <v>73</v>
      </c>
      <c r="U82" s="3">
        <v>1</v>
      </c>
      <c r="V82" s="3">
        <v>6</v>
      </c>
      <c r="X82" s="4" t="s">
        <v>977</v>
      </c>
      <c r="Y82" s="4" t="s">
        <v>1006</v>
      </c>
      <c r="Z82" s="4" t="s">
        <v>1006</v>
      </c>
      <c r="AA82" s="3">
        <v>409</v>
      </c>
      <c r="AB82" s="3">
        <v>297</v>
      </c>
      <c r="AC82" s="3">
        <v>298</v>
      </c>
      <c r="AD82" s="3">
        <v>4</v>
      </c>
      <c r="AE82" s="3">
        <v>4</v>
      </c>
      <c r="AF82" s="3">
        <v>14</v>
      </c>
      <c r="AG82" s="3">
        <v>14</v>
      </c>
      <c r="AH82" s="3">
        <v>5</v>
      </c>
      <c r="AI82" s="3">
        <v>5</v>
      </c>
      <c r="AJ82" s="3">
        <v>3</v>
      </c>
      <c r="AK82" s="3">
        <v>3</v>
      </c>
      <c r="AL82" s="3">
        <v>9</v>
      </c>
      <c r="AM82" s="3">
        <v>9</v>
      </c>
      <c r="AN82" s="3">
        <v>2</v>
      </c>
      <c r="AO82" s="3">
        <v>2</v>
      </c>
      <c r="AP82" s="3">
        <v>0</v>
      </c>
      <c r="AQ82" s="3">
        <v>0</v>
      </c>
      <c r="AR82" s="2" t="s">
        <v>63</v>
      </c>
      <c r="AS82" s="2" t="s">
        <v>76</v>
      </c>
      <c r="AT82" s="5" t="str">
        <f>HYPERLINK("http://catalog.hathitrust.org/Record/000455020","HathiTrust Record")</f>
        <v>HathiTrust Record</v>
      </c>
      <c r="AU82" s="5" t="str">
        <f>HYPERLINK("https://creighton-primo.hosted.exlibrisgroup.com/primo-explore/search?tab=default_tab&amp;search_scope=EVERYTHING&amp;vid=01CRU&amp;lang=en_US&amp;offset=0&amp;query=any,contains,991000995529702656","Catalog Record")</f>
        <v>Catalog Record</v>
      </c>
      <c r="AV82" s="5" t="str">
        <f>HYPERLINK("http://www.worldcat.org/oclc/21981","WorldCat Record")</f>
        <v>WorldCat Record</v>
      </c>
      <c r="AW82" s="2" t="s">
        <v>1007</v>
      </c>
      <c r="AX82" s="2" t="s">
        <v>1008</v>
      </c>
      <c r="AY82" s="2" t="s">
        <v>1009</v>
      </c>
      <c r="AZ82" s="2" t="s">
        <v>1009</v>
      </c>
      <c r="BA82" s="2" t="s">
        <v>1010</v>
      </c>
      <c r="BB82" s="2" t="s">
        <v>81</v>
      </c>
      <c r="BD82" s="2" t="s">
        <v>1011</v>
      </c>
      <c r="BE82" s="2" t="s">
        <v>1016</v>
      </c>
      <c r="BF82" s="2" t="s">
        <v>1017</v>
      </c>
    </row>
    <row r="83" spans="1:58" ht="42" customHeight="1">
      <c r="A83" s="1"/>
      <c r="B83" s="1" t="s">
        <v>58</v>
      </c>
      <c r="C83" s="1" t="s">
        <v>59</v>
      </c>
      <c r="D83" s="1" t="s">
        <v>999</v>
      </c>
      <c r="E83" s="1" t="s">
        <v>1000</v>
      </c>
      <c r="F83" s="1" t="s">
        <v>1001</v>
      </c>
      <c r="G83" s="2" t="s">
        <v>165</v>
      </c>
      <c r="H83" s="2" t="s">
        <v>76</v>
      </c>
      <c r="I83" s="2" t="s">
        <v>64</v>
      </c>
      <c r="J83" s="2" t="s">
        <v>63</v>
      </c>
      <c r="K83" s="2" t="s">
        <v>63</v>
      </c>
      <c r="L83" s="2" t="s">
        <v>65</v>
      </c>
      <c r="M83" s="1" t="s">
        <v>1003</v>
      </c>
      <c r="N83" s="1" t="s">
        <v>1004</v>
      </c>
      <c r="O83" s="2" t="s">
        <v>1005</v>
      </c>
      <c r="Q83" s="2" t="s">
        <v>70</v>
      </c>
      <c r="R83" s="2" t="s">
        <v>509</v>
      </c>
      <c r="T83" s="2" t="s">
        <v>73</v>
      </c>
      <c r="U83" s="3">
        <v>1</v>
      </c>
      <c r="V83" s="3">
        <v>6</v>
      </c>
      <c r="X83" s="4" t="s">
        <v>977</v>
      </c>
      <c r="Y83" s="4" t="s">
        <v>1006</v>
      </c>
      <c r="Z83" s="4" t="s">
        <v>1006</v>
      </c>
      <c r="AA83" s="3">
        <v>409</v>
      </c>
      <c r="AB83" s="3">
        <v>297</v>
      </c>
      <c r="AC83" s="3">
        <v>298</v>
      </c>
      <c r="AD83" s="3">
        <v>4</v>
      </c>
      <c r="AE83" s="3">
        <v>4</v>
      </c>
      <c r="AF83" s="3">
        <v>14</v>
      </c>
      <c r="AG83" s="3">
        <v>14</v>
      </c>
      <c r="AH83" s="3">
        <v>5</v>
      </c>
      <c r="AI83" s="3">
        <v>5</v>
      </c>
      <c r="AJ83" s="3">
        <v>3</v>
      </c>
      <c r="AK83" s="3">
        <v>3</v>
      </c>
      <c r="AL83" s="3">
        <v>9</v>
      </c>
      <c r="AM83" s="3">
        <v>9</v>
      </c>
      <c r="AN83" s="3">
        <v>2</v>
      </c>
      <c r="AO83" s="3">
        <v>2</v>
      </c>
      <c r="AP83" s="3">
        <v>0</v>
      </c>
      <c r="AQ83" s="3">
        <v>0</v>
      </c>
      <c r="AR83" s="2" t="s">
        <v>63</v>
      </c>
      <c r="AS83" s="2" t="s">
        <v>76</v>
      </c>
      <c r="AT83" s="5" t="str">
        <f>HYPERLINK("http://catalog.hathitrust.org/Record/000455020","HathiTrust Record")</f>
        <v>HathiTrust Record</v>
      </c>
      <c r="AU83" s="5" t="str">
        <f>HYPERLINK("https://creighton-primo.hosted.exlibrisgroup.com/primo-explore/search?tab=default_tab&amp;search_scope=EVERYTHING&amp;vid=01CRU&amp;lang=en_US&amp;offset=0&amp;query=any,contains,991000995529702656","Catalog Record")</f>
        <v>Catalog Record</v>
      </c>
      <c r="AV83" s="5" t="str">
        <f>HYPERLINK("http://www.worldcat.org/oclc/21981","WorldCat Record")</f>
        <v>WorldCat Record</v>
      </c>
      <c r="AW83" s="2" t="s">
        <v>1007</v>
      </c>
      <c r="AX83" s="2" t="s">
        <v>1008</v>
      </c>
      <c r="AY83" s="2" t="s">
        <v>1009</v>
      </c>
      <c r="AZ83" s="2" t="s">
        <v>1009</v>
      </c>
      <c r="BA83" s="2" t="s">
        <v>1010</v>
      </c>
      <c r="BB83" s="2" t="s">
        <v>81</v>
      </c>
      <c r="BD83" s="2" t="s">
        <v>1011</v>
      </c>
      <c r="BE83" s="2" t="s">
        <v>1018</v>
      </c>
      <c r="BF83" s="2" t="s">
        <v>1019</v>
      </c>
    </row>
    <row r="84" spans="1:58" ht="42" customHeight="1">
      <c r="A84" s="1"/>
      <c r="B84" s="1" t="s">
        <v>58</v>
      </c>
      <c r="C84" s="1" t="s">
        <v>59</v>
      </c>
      <c r="D84" s="1" t="s">
        <v>999</v>
      </c>
      <c r="E84" s="1" t="s">
        <v>1000</v>
      </c>
      <c r="F84" s="1" t="s">
        <v>1001</v>
      </c>
      <c r="G84" s="2" t="s">
        <v>1020</v>
      </c>
      <c r="H84" s="2" t="s">
        <v>76</v>
      </c>
      <c r="I84" s="2" t="s">
        <v>64</v>
      </c>
      <c r="J84" s="2" t="s">
        <v>63</v>
      </c>
      <c r="K84" s="2" t="s">
        <v>63</v>
      </c>
      <c r="L84" s="2" t="s">
        <v>65</v>
      </c>
      <c r="M84" s="1" t="s">
        <v>1003</v>
      </c>
      <c r="N84" s="1" t="s">
        <v>1004</v>
      </c>
      <c r="O84" s="2" t="s">
        <v>1005</v>
      </c>
      <c r="Q84" s="2" t="s">
        <v>70</v>
      </c>
      <c r="R84" s="2" t="s">
        <v>509</v>
      </c>
      <c r="T84" s="2" t="s">
        <v>73</v>
      </c>
      <c r="U84" s="3">
        <v>0</v>
      </c>
      <c r="V84" s="3">
        <v>6</v>
      </c>
      <c r="X84" s="4" t="s">
        <v>977</v>
      </c>
      <c r="Y84" s="4" t="s">
        <v>1006</v>
      </c>
      <c r="Z84" s="4" t="s">
        <v>1006</v>
      </c>
      <c r="AA84" s="3">
        <v>409</v>
      </c>
      <c r="AB84" s="3">
        <v>297</v>
      </c>
      <c r="AC84" s="3">
        <v>298</v>
      </c>
      <c r="AD84" s="3">
        <v>4</v>
      </c>
      <c r="AE84" s="3">
        <v>4</v>
      </c>
      <c r="AF84" s="3">
        <v>14</v>
      </c>
      <c r="AG84" s="3">
        <v>14</v>
      </c>
      <c r="AH84" s="3">
        <v>5</v>
      </c>
      <c r="AI84" s="3">
        <v>5</v>
      </c>
      <c r="AJ84" s="3">
        <v>3</v>
      </c>
      <c r="AK84" s="3">
        <v>3</v>
      </c>
      <c r="AL84" s="3">
        <v>9</v>
      </c>
      <c r="AM84" s="3">
        <v>9</v>
      </c>
      <c r="AN84" s="3">
        <v>2</v>
      </c>
      <c r="AO84" s="3">
        <v>2</v>
      </c>
      <c r="AP84" s="3">
        <v>0</v>
      </c>
      <c r="AQ84" s="3">
        <v>0</v>
      </c>
      <c r="AR84" s="2" t="s">
        <v>63</v>
      </c>
      <c r="AS84" s="2" t="s">
        <v>76</v>
      </c>
      <c r="AT84" s="5" t="str">
        <f>HYPERLINK("http://catalog.hathitrust.org/Record/000455020","HathiTrust Record")</f>
        <v>HathiTrust Record</v>
      </c>
      <c r="AU84" s="5" t="str">
        <f>HYPERLINK("https://creighton-primo.hosted.exlibrisgroup.com/primo-explore/search?tab=default_tab&amp;search_scope=EVERYTHING&amp;vid=01CRU&amp;lang=en_US&amp;offset=0&amp;query=any,contains,991000995529702656","Catalog Record")</f>
        <v>Catalog Record</v>
      </c>
      <c r="AV84" s="5" t="str">
        <f>HYPERLINK("http://www.worldcat.org/oclc/21981","WorldCat Record")</f>
        <v>WorldCat Record</v>
      </c>
      <c r="AW84" s="2" t="s">
        <v>1007</v>
      </c>
      <c r="AX84" s="2" t="s">
        <v>1008</v>
      </c>
      <c r="AY84" s="2" t="s">
        <v>1009</v>
      </c>
      <c r="AZ84" s="2" t="s">
        <v>1009</v>
      </c>
      <c r="BA84" s="2" t="s">
        <v>1010</v>
      </c>
      <c r="BB84" s="2" t="s">
        <v>81</v>
      </c>
      <c r="BD84" s="2" t="s">
        <v>1011</v>
      </c>
      <c r="BE84" s="2" t="s">
        <v>1021</v>
      </c>
      <c r="BF84" s="2" t="s">
        <v>1022</v>
      </c>
    </row>
    <row r="85" spans="1:58" ht="42" customHeight="1">
      <c r="A85" s="1"/>
      <c r="B85" s="1" t="s">
        <v>58</v>
      </c>
      <c r="C85" s="1" t="s">
        <v>59</v>
      </c>
      <c r="D85" s="1" t="s">
        <v>999</v>
      </c>
      <c r="E85" s="1" t="s">
        <v>1000</v>
      </c>
      <c r="F85" s="1" t="s">
        <v>1001</v>
      </c>
      <c r="G85" s="2" t="s">
        <v>1023</v>
      </c>
      <c r="H85" s="2" t="s">
        <v>76</v>
      </c>
      <c r="I85" s="2" t="s">
        <v>64</v>
      </c>
      <c r="J85" s="2" t="s">
        <v>63</v>
      </c>
      <c r="K85" s="2" t="s">
        <v>63</v>
      </c>
      <c r="L85" s="2" t="s">
        <v>65</v>
      </c>
      <c r="M85" s="1" t="s">
        <v>1003</v>
      </c>
      <c r="N85" s="1" t="s">
        <v>1004</v>
      </c>
      <c r="O85" s="2" t="s">
        <v>1005</v>
      </c>
      <c r="Q85" s="2" t="s">
        <v>70</v>
      </c>
      <c r="R85" s="2" t="s">
        <v>509</v>
      </c>
      <c r="T85" s="2" t="s">
        <v>73</v>
      </c>
      <c r="U85" s="3">
        <v>0</v>
      </c>
      <c r="V85" s="3">
        <v>6</v>
      </c>
      <c r="X85" s="4" t="s">
        <v>977</v>
      </c>
      <c r="Y85" s="4" t="s">
        <v>1006</v>
      </c>
      <c r="Z85" s="4" t="s">
        <v>1006</v>
      </c>
      <c r="AA85" s="3">
        <v>409</v>
      </c>
      <c r="AB85" s="3">
        <v>297</v>
      </c>
      <c r="AC85" s="3">
        <v>298</v>
      </c>
      <c r="AD85" s="3">
        <v>4</v>
      </c>
      <c r="AE85" s="3">
        <v>4</v>
      </c>
      <c r="AF85" s="3">
        <v>14</v>
      </c>
      <c r="AG85" s="3">
        <v>14</v>
      </c>
      <c r="AH85" s="3">
        <v>5</v>
      </c>
      <c r="AI85" s="3">
        <v>5</v>
      </c>
      <c r="AJ85" s="3">
        <v>3</v>
      </c>
      <c r="AK85" s="3">
        <v>3</v>
      </c>
      <c r="AL85" s="3">
        <v>9</v>
      </c>
      <c r="AM85" s="3">
        <v>9</v>
      </c>
      <c r="AN85" s="3">
        <v>2</v>
      </c>
      <c r="AO85" s="3">
        <v>2</v>
      </c>
      <c r="AP85" s="3">
        <v>0</v>
      </c>
      <c r="AQ85" s="3">
        <v>0</v>
      </c>
      <c r="AR85" s="2" t="s">
        <v>63</v>
      </c>
      <c r="AS85" s="2" t="s">
        <v>76</v>
      </c>
      <c r="AT85" s="5" t="str">
        <f>HYPERLINK("http://catalog.hathitrust.org/Record/000455020","HathiTrust Record")</f>
        <v>HathiTrust Record</v>
      </c>
      <c r="AU85" s="5" t="str">
        <f>HYPERLINK("https://creighton-primo.hosted.exlibrisgroup.com/primo-explore/search?tab=default_tab&amp;search_scope=EVERYTHING&amp;vid=01CRU&amp;lang=en_US&amp;offset=0&amp;query=any,contains,991000995529702656","Catalog Record")</f>
        <v>Catalog Record</v>
      </c>
      <c r="AV85" s="5" t="str">
        <f>HYPERLINK("http://www.worldcat.org/oclc/21981","WorldCat Record")</f>
        <v>WorldCat Record</v>
      </c>
      <c r="AW85" s="2" t="s">
        <v>1007</v>
      </c>
      <c r="AX85" s="2" t="s">
        <v>1008</v>
      </c>
      <c r="AY85" s="2" t="s">
        <v>1009</v>
      </c>
      <c r="AZ85" s="2" t="s">
        <v>1009</v>
      </c>
      <c r="BA85" s="2" t="s">
        <v>1010</v>
      </c>
      <c r="BB85" s="2" t="s">
        <v>81</v>
      </c>
      <c r="BD85" s="2" t="s">
        <v>1011</v>
      </c>
      <c r="BE85" s="2" t="s">
        <v>1024</v>
      </c>
      <c r="BF85" s="2" t="s">
        <v>1025</v>
      </c>
    </row>
    <row r="86" spans="1:58" ht="42" customHeight="1">
      <c r="A86" s="1"/>
      <c r="B86" s="1" t="s">
        <v>58</v>
      </c>
      <c r="C86" s="1" t="s">
        <v>59</v>
      </c>
      <c r="D86" s="1" t="s">
        <v>999</v>
      </c>
      <c r="E86" s="1" t="s">
        <v>1000</v>
      </c>
      <c r="F86" s="1" t="s">
        <v>1001</v>
      </c>
      <c r="G86" s="2" t="s">
        <v>1026</v>
      </c>
      <c r="H86" s="2" t="s">
        <v>76</v>
      </c>
      <c r="I86" s="2" t="s">
        <v>64</v>
      </c>
      <c r="J86" s="2" t="s">
        <v>63</v>
      </c>
      <c r="K86" s="2" t="s">
        <v>63</v>
      </c>
      <c r="L86" s="2" t="s">
        <v>65</v>
      </c>
      <c r="M86" s="1" t="s">
        <v>1003</v>
      </c>
      <c r="N86" s="1" t="s">
        <v>1004</v>
      </c>
      <c r="O86" s="2" t="s">
        <v>1005</v>
      </c>
      <c r="Q86" s="2" t="s">
        <v>70</v>
      </c>
      <c r="R86" s="2" t="s">
        <v>509</v>
      </c>
      <c r="T86" s="2" t="s">
        <v>73</v>
      </c>
      <c r="U86" s="3">
        <v>1</v>
      </c>
      <c r="V86" s="3">
        <v>6</v>
      </c>
      <c r="W86" s="4" t="s">
        <v>1027</v>
      </c>
      <c r="X86" s="4" t="s">
        <v>977</v>
      </c>
      <c r="Y86" s="4" t="s">
        <v>1006</v>
      </c>
      <c r="Z86" s="4" t="s">
        <v>1006</v>
      </c>
      <c r="AA86" s="3">
        <v>409</v>
      </c>
      <c r="AB86" s="3">
        <v>297</v>
      </c>
      <c r="AC86" s="3">
        <v>298</v>
      </c>
      <c r="AD86" s="3">
        <v>4</v>
      </c>
      <c r="AE86" s="3">
        <v>4</v>
      </c>
      <c r="AF86" s="3">
        <v>14</v>
      </c>
      <c r="AG86" s="3">
        <v>14</v>
      </c>
      <c r="AH86" s="3">
        <v>5</v>
      </c>
      <c r="AI86" s="3">
        <v>5</v>
      </c>
      <c r="AJ86" s="3">
        <v>3</v>
      </c>
      <c r="AK86" s="3">
        <v>3</v>
      </c>
      <c r="AL86" s="3">
        <v>9</v>
      </c>
      <c r="AM86" s="3">
        <v>9</v>
      </c>
      <c r="AN86" s="3">
        <v>2</v>
      </c>
      <c r="AO86" s="3">
        <v>2</v>
      </c>
      <c r="AP86" s="3">
        <v>0</v>
      </c>
      <c r="AQ86" s="3">
        <v>0</v>
      </c>
      <c r="AR86" s="2" t="s">
        <v>63</v>
      </c>
      <c r="AS86" s="2" t="s">
        <v>76</v>
      </c>
      <c r="AT86" s="5" t="str">
        <f>HYPERLINK("http://catalog.hathitrust.org/Record/000455020","HathiTrust Record")</f>
        <v>HathiTrust Record</v>
      </c>
      <c r="AU86" s="5" t="str">
        <f>HYPERLINK("https://creighton-primo.hosted.exlibrisgroup.com/primo-explore/search?tab=default_tab&amp;search_scope=EVERYTHING&amp;vid=01CRU&amp;lang=en_US&amp;offset=0&amp;query=any,contains,991000995529702656","Catalog Record")</f>
        <v>Catalog Record</v>
      </c>
      <c r="AV86" s="5" t="str">
        <f>HYPERLINK("http://www.worldcat.org/oclc/21981","WorldCat Record")</f>
        <v>WorldCat Record</v>
      </c>
      <c r="AW86" s="2" t="s">
        <v>1007</v>
      </c>
      <c r="AX86" s="2" t="s">
        <v>1008</v>
      </c>
      <c r="AY86" s="2" t="s">
        <v>1009</v>
      </c>
      <c r="AZ86" s="2" t="s">
        <v>1009</v>
      </c>
      <c r="BA86" s="2" t="s">
        <v>1010</v>
      </c>
      <c r="BB86" s="2" t="s">
        <v>81</v>
      </c>
      <c r="BD86" s="2" t="s">
        <v>1011</v>
      </c>
      <c r="BE86" s="2" t="s">
        <v>1028</v>
      </c>
      <c r="BF86" s="2" t="s">
        <v>1029</v>
      </c>
    </row>
    <row r="87" spans="1:58" ht="42" customHeight="1">
      <c r="A87" s="1"/>
      <c r="B87" s="1" t="s">
        <v>58</v>
      </c>
      <c r="C87" s="1" t="s">
        <v>59</v>
      </c>
      <c r="D87" s="1" t="s">
        <v>1030</v>
      </c>
      <c r="E87" s="1" t="s">
        <v>1031</v>
      </c>
      <c r="F87" s="1" t="s">
        <v>1032</v>
      </c>
      <c r="H87" s="2" t="s">
        <v>63</v>
      </c>
      <c r="I87" s="2" t="s">
        <v>64</v>
      </c>
      <c r="J87" s="2" t="s">
        <v>63</v>
      </c>
      <c r="K87" s="2" t="s">
        <v>63</v>
      </c>
      <c r="L87" s="2" t="s">
        <v>64</v>
      </c>
      <c r="N87" s="1" t="s">
        <v>1033</v>
      </c>
      <c r="O87" s="2" t="s">
        <v>1034</v>
      </c>
      <c r="Q87" s="2" t="s">
        <v>70</v>
      </c>
      <c r="R87" s="2" t="s">
        <v>71</v>
      </c>
      <c r="T87" s="2" t="s">
        <v>73</v>
      </c>
      <c r="U87" s="3">
        <v>5</v>
      </c>
      <c r="V87" s="3">
        <v>5</v>
      </c>
      <c r="W87" s="4" t="s">
        <v>1035</v>
      </c>
      <c r="X87" s="4" t="s">
        <v>1035</v>
      </c>
      <c r="Y87" s="4" t="s">
        <v>1036</v>
      </c>
      <c r="Z87" s="4" t="s">
        <v>1036</v>
      </c>
      <c r="AA87" s="3">
        <v>133</v>
      </c>
      <c r="AB87" s="3">
        <v>85</v>
      </c>
      <c r="AC87" s="3">
        <v>899</v>
      </c>
      <c r="AD87" s="3">
        <v>1</v>
      </c>
      <c r="AE87" s="3">
        <v>14</v>
      </c>
      <c r="AF87" s="3">
        <v>3</v>
      </c>
      <c r="AG87" s="3">
        <v>33</v>
      </c>
      <c r="AH87" s="3">
        <v>0</v>
      </c>
      <c r="AI87" s="3">
        <v>9</v>
      </c>
      <c r="AJ87" s="3">
        <v>0</v>
      </c>
      <c r="AK87" s="3">
        <v>6</v>
      </c>
      <c r="AL87" s="3">
        <v>3</v>
      </c>
      <c r="AM87" s="3">
        <v>10</v>
      </c>
      <c r="AN87" s="3">
        <v>0</v>
      </c>
      <c r="AO87" s="3">
        <v>12</v>
      </c>
      <c r="AP87" s="3">
        <v>0</v>
      </c>
      <c r="AQ87" s="3">
        <v>1</v>
      </c>
      <c r="AR87" s="2" t="s">
        <v>63</v>
      </c>
      <c r="AS87" s="2" t="s">
        <v>76</v>
      </c>
      <c r="AT87" s="5" t="str">
        <f>HYPERLINK("http://catalog.hathitrust.org/Record/003102232","HathiTrust Record")</f>
        <v>HathiTrust Record</v>
      </c>
      <c r="AU87" s="5" t="str">
        <f>HYPERLINK("https://creighton-primo.hosted.exlibrisgroup.com/primo-explore/search?tab=default_tab&amp;search_scope=EVERYTHING&amp;vid=01CRU&amp;lang=en_US&amp;offset=0&amp;query=any,contains,991001294899702656","Catalog Record")</f>
        <v>Catalog Record</v>
      </c>
      <c r="AV87" s="5" t="str">
        <f>HYPERLINK("http://www.worldcat.org/oclc/34409484","WorldCat Record")</f>
        <v>WorldCat Record</v>
      </c>
      <c r="AW87" s="2" t="s">
        <v>1037</v>
      </c>
      <c r="AX87" s="2" t="s">
        <v>1038</v>
      </c>
      <c r="AY87" s="2" t="s">
        <v>1039</v>
      </c>
      <c r="AZ87" s="2" t="s">
        <v>1039</v>
      </c>
      <c r="BA87" s="2" t="s">
        <v>1040</v>
      </c>
      <c r="BB87" s="2" t="s">
        <v>81</v>
      </c>
      <c r="BD87" s="2" t="s">
        <v>1041</v>
      </c>
      <c r="BE87" s="2" t="s">
        <v>1042</v>
      </c>
      <c r="BF87" s="2" t="s">
        <v>1043</v>
      </c>
    </row>
    <row r="88" spans="1:58" ht="42" customHeight="1">
      <c r="A88" s="1"/>
      <c r="B88" s="1" t="s">
        <v>58</v>
      </c>
      <c r="C88" s="1" t="s">
        <v>59</v>
      </c>
      <c r="D88" s="1" t="s">
        <v>1044</v>
      </c>
      <c r="E88" s="1" t="s">
        <v>1045</v>
      </c>
      <c r="F88" s="1" t="s">
        <v>1046</v>
      </c>
      <c r="H88" s="2" t="s">
        <v>63</v>
      </c>
      <c r="I88" s="2" t="s">
        <v>64</v>
      </c>
      <c r="J88" s="2" t="s">
        <v>63</v>
      </c>
      <c r="K88" s="2" t="s">
        <v>63</v>
      </c>
      <c r="L88" s="2" t="s">
        <v>65</v>
      </c>
      <c r="N88" s="1" t="s">
        <v>1047</v>
      </c>
      <c r="O88" s="2" t="s">
        <v>136</v>
      </c>
      <c r="P88" s="1" t="s">
        <v>69</v>
      </c>
      <c r="Q88" s="2" t="s">
        <v>70</v>
      </c>
      <c r="R88" s="2" t="s">
        <v>168</v>
      </c>
      <c r="T88" s="2" t="s">
        <v>73</v>
      </c>
      <c r="U88" s="3">
        <v>5</v>
      </c>
      <c r="V88" s="3">
        <v>5</v>
      </c>
      <c r="W88" s="4" t="s">
        <v>1048</v>
      </c>
      <c r="X88" s="4" t="s">
        <v>1048</v>
      </c>
      <c r="Y88" s="4" t="s">
        <v>109</v>
      </c>
      <c r="Z88" s="4" t="s">
        <v>109</v>
      </c>
      <c r="AA88" s="3">
        <v>425</v>
      </c>
      <c r="AB88" s="3">
        <v>301</v>
      </c>
      <c r="AC88" s="3">
        <v>304</v>
      </c>
      <c r="AD88" s="3">
        <v>2</v>
      </c>
      <c r="AE88" s="3">
        <v>2</v>
      </c>
      <c r="AF88" s="3">
        <v>7</v>
      </c>
      <c r="AG88" s="3">
        <v>7</v>
      </c>
      <c r="AH88" s="3">
        <v>2</v>
      </c>
      <c r="AI88" s="3">
        <v>2</v>
      </c>
      <c r="AJ88" s="3">
        <v>3</v>
      </c>
      <c r="AK88" s="3">
        <v>3</v>
      </c>
      <c r="AL88" s="3">
        <v>2</v>
      </c>
      <c r="AM88" s="3">
        <v>2</v>
      </c>
      <c r="AN88" s="3">
        <v>1</v>
      </c>
      <c r="AO88" s="3">
        <v>1</v>
      </c>
      <c r="AP88" s="3">
        <v>0</v>
      </c>
      <c r="AQ88" s="3">
        <v>0</v>
      </c>
      <c r="AR88" s="2" t="s">
        <v>63</v>
      </c>
      <c r="AS88" s="2" t="s">
        <v>76</v>
      </c>
      <c r="AT88" s="5" t="str">
        <f>HYPERLINK("http://catalog.hathitrust.org/Record/000742227","HathiTrust Record")</f>
        <v>HathiTrust Record</v>
      </c>
      <c r="AU88" s="5" t="str">
        <f>HYPERLINK("https://creighton-primo.hosted.exlibrisgroup.com/primo-explore/search?tab=default_tab&amp;search_scope=EVERYTHING&amp;vid=01CRU&amp;lang=en_US&amp;offset=0&amp;query=any,contains,991000995429702656","Catalog Record")</f>
        <v>Catalog Record</v>
      </c>
      <c r="AV88" s="5" t="str">
        <f>HYPERLINK("http://www.worldcat.org/oclc/5889312","WorldCat Record")</f>
        <v>WorldCat Record</v>
      </c>
      <c r="AW88" s="2" t="s">
        <v>1049</v>
      </c>
      <c r="AX88" s="2" t="s">
        <v>1050</v>
      </c>
      <c r="AY88" s="2" t="s">
        <v>1051</v>
      </c>
      <c r="AZ88" s="2" t="s">
        <v>1051</v>
      </c>
      <c r="BA88" s="2" t="s">
        <v>1052</v>
      </c>
      <c r="BB88" s="2" t="s">
        <v>81</v>
      </c>
      <c r="BD88" s="2" t="s">
        <v>1053</v>
      </c>
      <c r="BE88" s="2" t="s">
        <v>1054</v>
      </c>
      <c r="BF88" s="2" t="s">
        <v>1055</v>
      </c>
    </row>
    <row r="89" spans="1:58" ht="42" customHeight="1">
      <c r="A89" s="1"/>
      <c r="B89" s="1" t="s">
        <v>58</v>
      </c>
      <c r="C89" s="1" t="s">
        <v>59</v>
      </c>
      <c r="D89" s="1" t="s">
        <v>1056</v>
      </c>
      <c r="E89" s="1" t="s">
        <v>1057</v>
      </c>
      <c r="F89" s="1" t="s">
        <v>1058</v>
      </c>
      <c r="H89" s="2" t="s">
        <v>63</v>
      </c>
      <c r="I89" s="2" t="s">
        <v>64</v>
      </c>
      <c r="J89" s="2" t="s">
        <v>63</v>
      </c>
      <c r="K89" s="2" t="s">
        <v>76</v>
      </c>
      <c r="L89" s="2" t="s">
        <v>65</v>
      </c>
      <c r="N89" s="1" t="s">
        <v>1059</v>
      </c>
      <c r="O89" s="2" t="s">
        <v>563</v>
      </c>
      <c r="P89" s="1" t="s">
        <v>231</v>
      </c>
      <c r="Q89" s="2" t="s">
        <v>70</v>
      </c>
      <c r="R89" s="2" t="s">
        <v>246</v>
      </c>
      <c r="T89" s="2" t="s">
        <v>73</v>
      </c>
      <c r="U89" s="3">
        <v>17</v>
      </c>
      <c r="V89" s="3">
        <v>17</v>
      </c>
      <c r="W89" s="4" t="s">
        <v>1060</v>
      </c>
      <c r="X89" s="4" t="s">
        <v>1060</v>
      </c>
      <c r="Y89" s="4" t="s">
        <v>410</v>
      </c>
      <c r="Z89" s="4" t="s">
        <v>410</v>
      </c>
      <c r="AA89" s="3">
        <v>245</v>
      </c>
      <c r="AB89" s="3">
        <v>188</v>
      </c>
      <c r="AC89" s="3">
        <v>506</v>
      </c>
      <c r="AD89" s="3">
        <v>1</v>
      </c>
      <c r="AE89" s="3">
        <v>2</v>
      </c>
      <c r="AF89" s="3">
        <v>2</v>
      </c>
      <c r="AG89" s="3">
        <v>10</v>
      </c>
      <c r="AH89" s="3">
        <v>0</v>
      </c>
      <c r="AI89" s="3">
        <v>4</v>
      </c>
      <c r="AJ89" s="3">
        <v>2</v>
      </c>
      <c r="AK89" s="3">
        <v>4</v>
      </c>
      <c r="AL89" s="3">
        <v>1</v>
      </c>
      <c r="AM89" s="3">
        <v>4</v>
      </c>
      <c r="AN89" s="3">
        <v>0</v>
      </c>
      <c r="AO89" s="3">
        <v>1</v>
      </c>
      <c r="AP89" s="3">
        <v>0</v>
      </c>
      <c r="AQ89" s="3">
        <v>0</v>
      </c>
      <c r="AR89" s="2" t="s">
        <v>63</v>
      </c>
      <c r="AS89" s="2" t="s">
        <v>76</v>
      </c>
      <c r="AT89" s="5" t="str">
        <f>HYPERLINK("http://catalog.hathitrust.org/Record/004097892","HathiTrust Record")</f>
        <v>HathiTrust Record</v>
      </c>
      <c r="AU89" s="5" t="str">
        <f>HYPERLINK("https://creighton-primo.hosted.exlibrisgroup.com/primo-explore/search?tab=default_tab&amp;search_scope=EVERYTHING&amp;vid=01CRU&amp;lang=en_US&amp;offset=0&amp;query=any,contains,991000276329702656","Catalog Record")</f>
        <v>Catalog Record</v>
      </c>
      <c r="AV89" s="5" t="str">
        <f>HYPERLINK("http://www.worldcat.org/oclc/43207947","WorldCat Record")</f>
        <v>WorldCat Record</v>
      </c>
      <c r="AW89" s="2" t="s">
        <v>1061</v>
      </c>
      <c r="AX89" s="2" t="s">
        <v>1062</v>
      </c>
      <c r="AY89" s="2" t="s">
        <v>1063</v>
      </c>
      <c r="AZ89" s="2" t="s">
        <v>1063</v>
      </c>
      <c r="BA89" s="2" t="s">
        <v>1064</v>
      </c>
      <c r="BB89" s="2" t="s">
        <v>81</v>
      </c>
      <c r="BD89" s="2" t="s">
        <v>1065</v>
      </c>
      <c r="BE89" s="2" t="s">
        <v>1066</v>
      </c>
      <c r="BF89" s="2" t="s">
        <v>1067</v>
      </c>
    </row>
    <row r="90" spans="1:58" ht="42" customHeight="1">
      <c r="A90" s="1"/>
      <c r="B90" s="1" t="s">
        <v>58</v>
      </c>
      <c r="C90" s="1" t="s">
        <v>59</v>
      </c>
      <c r="D90" s="1" t="s">
        <v>1068</v>
      </c>
      <c r="E90" s="1" t="s">
        <v>1069</v>
      </c>
      <c r="F90" s="1" t="s">
        <v>1070</v>
      </c>
      <c r="H90" s="2" t="s">
        <v>63</v>
      </c>
      <c r="I90" s="2" t="s">
        <v>64</v>
      </c>
      <c r="J90" s="2" t="s">
        <v>63</v>
      </c>
      <c r="K90" s="2" t="s">
        <v>63</v>
      </c>
      <c r="L90" s="2" t="s">
        <v>65</v>
      </c>
      <c r="M90" s="1" t="s">
        <v>1071</v>
      </c>
      <c r="N90" s="1" t="s">
        <v>1072</v>
      </c>
      <c r="O90" s="2" t="s">
        <v>508</v>
      </c>
      <c r="Q90" s="2" t="s">
        <v>70</v>
      </c>
      <c r="R90" s="2" t="s">
        <v>422</v>
      </c>
      <c r="T90" s="2" t="s">
        <v>73</v>
      </c>
      <c r="U90" s="3">
        <v>4</v>
      </c>
      <c r="V90" s="3">
        <v>4</v>
      </c>
      <c r="W90" s="4" t="s">
        <v>977</v>
      </c>
      <c r="X90" s="4" t="s">
        <v>977</v>
      </c>
      <c r="Y90" s="4" t="s">
        <v>1073</v>
      </c>
      <c r="Z90" s="4" t="s">
        <v>1073</v>
      </c>
      <c r="AA90" s="3">
        <v>42</v>
      </c>
      <c r="AB90" s="3">
        <v>35</v>
      </c>
      <c r="AC90" s="3">
        <v>35</v>
      </c>
      <c r="AD90" s="3">
        <v>1</v>
      </c>
      <c r="AE90" s="3">
        <v>1</v>
      </c>
      <c r="AF90" s="3">
        <v>1</v>
      </c>
      <c r="AG90" s="3">
        <v>1</v>
      </c>
      <c r="AH90" s="3">
        <v>0</v>
      </c>
      <c r="AI90" s="3">
        <v>0</v>
      </c>
      <c r="AJ90" s="3">
        <v>0</v>
      </c>
      <c r="AK90" s="3">
        <v>0</v>
      </c>
      <c r="AL90" s="3">
        <v>1</v>
      </c>
      <c r="AM90" s="3">
        <v>1</v>
      </c>
      <c r="AN90" s="3">
        <v>0</v>
      </c>
      <c r="AO90" s="3">
        <v>0</v>
      </c>
      <c r="AP90" s="3">
        <v>0</v>
      </c>
      <c r="AQ90" s="3">
        <v>0</v>
      </c>
      <c r="AR90" s="2" t="s">
        <v>63</v>
      </c>
      <c r="AS90" s="2" t="s">
        <v>63</v>
      </c>
      <c r="AU90" s="5" t="str">
        <f>HYPERLINK("https://creighton-primo.hosted.exlibrisgroup.com/primo-explore/search?tab=default_tab&amp;search_scope=EVERYTHING&amp;vid=01CRU&amp;lang=en_US&amp;offset=0&amp;query=any,contains,991000995389702656","Catalog Record")</f>
        <v>Catalog Record</v>
      </c>
      <c r="AV90" s="5" t="str">
        <f>HYPERLINK("http://www.worldcat.org/oclc/3268321","WorldCat Record")</f>
        <v>WorldCat Record</v>
      </c>
      <c r="AW90" s="2" t="s">
        <v>1074</v>
      </c>
      <c r="AX90" s="2" t="s">
        <v>1075</v>
      </c>
      <c r="AY90" s="2" t="s">
        <v>1076</v>
      </c>
      <c r="AZ90" s="2" t="s">
        <v>1076</v>
      </c>
      <c r="BA90" s="2" t="s">
        <v>1077</v>
      </c>
      <c r="BB90" s="2" t="s">
        <v>81</v>
      </c>
      <c r="BE90" s="2" t="s">
        <v>1078</v>
      </c>
      <c r="BF90" s="2" t="s">
        <v>1079</v>
      </c>
    </row>
    <row r="91" spans="1:58" ht="42" customHeight="1">
      <c r="A91" s="1"/>
      <c r="B91" s="1" t="s">
        <v>58</v>
      </c>
      <c r="C91" s="1" t="s">
        <v>59</v>
      </c>
      <c r="D91" s="1" t="s">
        <v>1080</v>
      </c>
      <c r="E91" s="1" t="s">
        <v>1081</v>
      </c>
      <c r="F91" s="1" t="s">
        <v>1082</v>
      </c>
      <c r="H91" s="2" t="s">
        <v>63</v>
      </c>
      <c r="I91" s="2" t="s">
        <v>64</v>
      </c>
      <c r="J91" s="2" t="s">
        <v>63</v>
      </c>
      <c r="K91" s="2" t="s">
        <v>63</v>
      </c>
      <c r="L91" s="2" t="s">
        <v>64</v>
      </c>
      <c r="N91" s="1" t="s">
        <v>1083</v>
      </c>
      <c r="O91" s="2" t="s">
        <v>475</v>
      </c>
      <c r="Q91" s="2" t="s">
        <v>70</v>
      </c>
      <c r="R91" s="2" t="s">
        <v>360</v>
      </c>
      <c r="T91" s="2" t="s">
        <v>73</v>
      </c>
      <c r="U91" s="3">
        <v>1</v>
      </c>
      <c r="V91" s="3">
        <v>1</v>
      </c>
      <c r="W91" s="4" t="s">
        <v>951</v>
      </c>
      <c r="X91" s="4" t="s">
        <v>951</v>
      </c>
      <c r="Y91" s="4" t="s">
        <v>1084</v>
      </c>
      <c r="Z91" s="4" t="s">
        <v>1084</v>
      </c>
      <c r="AA91" s="3">
        <v>128</v>
      </c>
      <c r="AB91" s="3">
        <v>93</v>
      </c>
      <c r="AC91" s="3">
        <v>237</v>
      </c>
      <c r="AD91" s="3">
        <v>1</v>
      </c>
      <c r="AE91" s="3">
        <v>1</v>
      </c>
      <c r="AF91" s="3">
        <v>3</v>
      </c>
      <c r="AG91" s="3">
        <v>4</v>
      </c>
      <c r="AH91" s="3">
        <v>1</v>
      </c>
      <c r="AI91" s="3">
        <v>2</v>
      </c>
      <c r="AJ91" s="3">
        <v>2</v>
      </c>
      <c r="AK91" s="3">
        <v>2</v>
      </c>
      <c r="AL91" s="3">
        <v>2</v>
      </c>
      <c r="AM91" s="3">
        <v>2</v>
      </c>
      <c r="AN91" s="3">
        <v>0</v>
      </c>
      <c r="AO91" s="3">
        <v>0</v>
      </c>
      <c r="AP91" s="3">
        <v>0</v>
      </c>
      <c r="AQ91" s="3">
        <v>0</v>
      </c>
      <c r="AR91" s="2" t="s">
        <v>63</v>
      </c>
      <c r="AS91" s="2" t="s">
        <v>76</v>
      </c>
      <c r="AT91" s="5" t="str">
        <f>HYPERLINK("http://catalog.hathitrust.org/Record/004217517","HathiTrust Record")</f>
        <v>HathiTrust Record</v>
      </c>
      <c r="AU91" s="5" t="str">
        <f>HYPERLINK("https://creighton-primo.hosted.exlibrisgroup.com/primo-explore/search?tab=default_tab&amp;search_scope=EVERYTHING&amp;vid=01CRU&amp;lang=en_US&amp;offset=0&amp;query=any,contains,991000406239702656","Catalog Record")</f>
        <v>Catalog Record</v>
      </c>
      <c r="AV91" s="5" t="str">
        <f>HYPERLINK("http://www.worldcat.org/oclc/45420245","WorldCat Record")</f>
        <v>WorldCat Record</v>
      </c>
      <c r="AW91" s="2" t="s">
        <v>1085</v>
      </c>
      <c r="AX91" s="2" t="s">
        <v>1086</v>
      </c>
      <c r="AY91" s="2" t="s">
        <v>1087</v>
      </c>
      <c r="AZ91" s="2" t="s">
        <v>1087</v>
      </c>
      <c r="BA91" s="2" t="s">
        <v>1088</v>
      </c>
      <c r="BB91" s="2" t="s">
        <v>81</v>
      </c>
      <c r="BD91" s="2" t="s">
        <v>1089</v>
      </c>
      <c r="BE91" s="2" t="s">
        <v>1090</v>
      </c>
      <c r="BF91" s="2" t="s">
        <v>1091</v>
      </c>
    </row>
    <row r="92" spans="1:58" ht="42" customHeight="1">
      <c r="A92" s="1"/>
      <c r="B92" s="1" t="s">
        <v>58</v>
      </c>
      <c r="C92" s="1" t="s">
        <v>59</v>
      </c>
      <c r="D92" s="1" t="s">
        <v>1092</v>
      </c>
      <c r="E92" s="1" t="s">
        <v>1093</v>
      </c>
      <c r="F92" s="1" t="s">
        <v>1094</v>
      </c>
      <c r="H92" s="2" t="s">
        <v>63</v>
      </c>
      <c r="I92" s="2" t="s">
        <v>64</v>
      </c>
      <c r="J92" s="2" t="s">
        <v>63</v>
      </c>
      <c r="K92" s="2" t="s">
        <v>63</v>
      </c>
      <c r="L92" s="2" t="s">
        <v>65</v>
      </c>
      <c r="N92" s="1" t="s">
        <v>1095</v>
      </c>
      <c r="O92" s="2" t="s">
        <v>435</v>
      </c>
      <c r="P92" s="1" t="s">
        <v>231</v>
      </c>
      <c r="Q92" s="2" t="s">
        <v>70</v>
      </c>
      <c r="R92" s="2" t="s">
        <v>246</v>
      </c>
      <c r="T92" s="2" t="s">
        <v>73</v>
      </c>
      <c r="U92" s="3">
        <v>6</v>
      </c>
      <c r="V92" s="3">
        <v>6</v>
      </c>
      <c r="W92" s="4" t="s">
        <v>1096</v>
      </c>
      <c r="X92" s="4" t="s">
        <v>1096</v>
      </c>
      <c r="Y92" s="4" t="s">
        <v>1097</v>
      </c>
      <c r="Z92" s="4" t="s">
        <v>1097</v>
      </c>
      <c r="AA92" s="3">
        <v>138</v>
      </c>
      <c r="AB92" s="3">
        <v>119</v>
      </c>
      <c r="AC92" s="3">
        <v>250</v>
      </c>
      <c r="AD92" s="3">
        <v>1</v>
      </c>
      <c r="AE92" s="3">
        <v>1</v>
      </c>
      <c r="AF92" s="3">
        <v>0</v>
      </c>
      <c r="AG92" s="3">
        <v>1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1</v>
      </c>
      <c r="AN92" s="3">
        <v>0</v>
      </c>
      <c r="AO92" s="3">
        <v>0</v>
      </c>
      <c r="AP92" s="3">
        <v>0</v>
      </c>
      <c r="AQ92" s="3">
        <v>0</v>
      </c>
      <c r="AR92" s="2" t="s">
        <v>63</v>
      </c>
      <c r="AS92" s="2" t="s">
        <v>76</v>
      </c>
      <c r="AT92" s="5" t="str">
        <f>HYPERLINK("http://catalog.hathitrust.org/Record/002478411","HathiTrust Record")</f>
        <v>HathiTrust Record</v>
      </c>
      <c r="AU92" s="5" t="str">
        <f>HYPERLINK("https://creighton-primo.hosted.exlibrisgroup.com/primo-explore/search?tab=default_tab&amp;search_scope=EVERYTHING&amp;vid=01CRU&amp;lang=en_US&amp;offset=0&amp;query=any,contains,991001350609702656","Catalog Record")</f>
        <v>Catalog Record</v>
      </c>
      <c r="AV92" s="5" t="str">
        <f>HYPERLINK("http://www.worldcat.org/oclc/19455414","WorldCat Record")</f>
        <v>WorldCat Record</v>
      </c>
      <c r="AW92" s="2" t="s">
        <v>1098</v>
      </c>
      <c r="AX92" s="2" t="s">
        <v>1099</v>
      </c>
      <c r="AY92" s="2" t="s">
        <v>1100</v>
      </c>
      <c r="AZ92" s="2" t="s">
        <v>1100</v>
      </c>
      <c r="BA92" s="2" t="s">
        <v>1101</v>
      </c>
      <c r="BB92" s="2" t="s">
        <v>81</v>
      </c>
      <c r="BD92" s="2" t="s">
        <v>1102</v>
      </c>
      <c r="BE92" s="2" t="s">
        <v>1103</v>
      </c>
      <c r="BF92" s="2" t="s">
        <v>1104</v>
      </c>
    </row>
    <row r="93" spans="1:58" ht="42" customHeight="1">
      <c r="A93" s="1"/>
      <c r="B93" s="1" t="s">
        <v>58</v>
      </c>
      <c r="C93" s="1" t="s">
        <v>59</v>
      </c>
      <c r="D93" s="1" t="s">
        <v>1105</v>
      </c>
      <c r="E93" s="1" t="s">
        <v>1106</v>
      </c>
      <c r="F93" s="1" t="s">
        <v>1107</v>
      </c>
      <c r="H93" s="2" t="s">
        <v>63</v>
      </c>
      <c r="I93" s="2" t="s">
        <v>64</v>
      </c>
      <c r="J93" s="2" t="s">
        <v>63</v>
      </c>
      <c r="K93" s="2" t="s">
        <v>63</v>
      </c>
      <c r="L93" s="2" t="s">
        <v>65</v>
      </c>
      <c r="M93" s="1" t="s">
        <v>1108</v>
      </c>
      <c r="N93" s="1" t="s">
        <v>1109</v>
      </c>
      <c r="O93" s="2" t="s">
        <v>494</v>
      </c>
      <c r="Q93" s="2" t="s">
        <v>70</v>
      </c>
      <c r="R93" s="2" t="s">
        <v>246</v>
      </c>
      <c r="T93" s="2" t="s">
        <v>73</v>
      </c>
      <c r="U93" s="3">
        <v>1</v>
      </c>
      <c r="V93" s="3">
        <v>1</v>
      </c>
      <c r="W93" s="4" t="s">
        <v>1110</v>
      </c>
      <c r="X93" s="4" t="s">
        <v>1110</v>
      </c>
      <c r="Y93" s="4" t="s">
        <v>1111</v>
      </c>
      <c r="Z93" s="4" t="s">
        <v>1111</v>
      </c>
      <c r="AA93" s="3">
        <v>112</v>
      </c>
      <c r="AB93" s="3">
        <v>72</v>
      </c>
      <c r="AC93" s="3">
        <v>113</v>
      </c>
      <c r="AD93" s="3">
        <v>1</v>
      </c>
      <c r="AE93" s="3">
        <v>1</v>
      </c>
      <c r="AF93" s="3">
        <v>2</v>
      </c>
      <c r="AG93" s="3">
        <v>2</v>
      </c>
      <c r="AH93" s="3">
        <v>1</v>
      </c>
      <c r="AI93" s="3">
        <v>1</v>
      </c>
      <c r="AJ93" s="3">
        <v>0</v>
      </c>
      <c r="AK93" s="3">
        <v>0</v>
      </c>
      <c r="AL93" s="3">
        <v>1</v>
      </c>
      <c r="AM93" s="3">
        <v>1</v>
      </c>
      <c r="AN93" s="3">
        <v>0</v>
      </c>
      <c r="AO93" s="3">
        <v>0</v>
      </c>
      <c r="AP93" s="3">
        <v>0</v>
      </c>
      <c r="AQ93" s="3">
        <v>0</v>
      </c>
      <c r="AR93" s="2" t="s">
        <v>63</v>
      </c>
      <c r="AS93" s="2" t="s">
        <v>63</v>
      </c>
      <c r="AU93" s="5" t="str">
        <f>HYPERLINK("https://creighton-primo.hosted.exlibrisgroup.com/primo-explore/search?tab=default_tab&amp;search_scope=EVERYTHING&amp;vid=01CRU&amp;lang=en_US&amp;offset=0&amp;query=any,contains,991000461779702656","Catalog Record")</f>
        <v>Catalog Record</v>
      </c>
      <c r="AV93" s="5" t="str">
        <f>HYPERLINK("http://www.worldcat.org/oclc/53326223","WorldCat Record")</f>
        <v>WorldCat Record</v>
      </c>
      <c r="AW93" s="2" t="s">
        <v>1112</v>
      </c>
      <c r="AX93" s="2" t="s">
        <v>1113</v>
      </c>
      <c r="AY93" s="2" t="s">
        <v>1114</v>
      </c>
      <c r="AZ93" s="2" t="s">
        <v>1114</v>
      </c>
      <c r="BA93" s="2" t="s">
        <v>1115</v>
      </c>
      <c r="BB93" s="2" t="s">
        <v>81</v>
      </c>
      <c r="BD93" s="2" t="s">
        <v>1116</v>
      </c>
      <c r="BE93" s="2" t="s">
        <v>1117</v>
      </c>
      <c r="BF93" s="2" t="s">
        <v>1118</v>
      </c>
    </row>
    <row r="94" spans="1:58" ht="42" customHeight="1">
      <c r="A94" s="1"/>
      <c r="B94" s="1" t="s">
        <v>58</v>
      </c>
      <c r="C94" s="1" t="s">
        <v>59</v>
      </c>
      <c r="D94" s="1" t="s">
        <v>1119</v>
      </c>
      <c r="E94" s="1" t="s">
        <v>1120</v>
      </c>
      <c r="F94" s="1" t="s">
        <v>1121</v>
      </c>
      <c r="H94" s="2" t="s">
        <v>63</v>
      </c>
      <c r="I94" s="2" t="s">
        <v>64</v>
      </c>
      <c r="J94" s="2" t="s">
        <v>63</v>
      </c>
      <c r="K94" s="2" t="s">
        <v>63</v>
      </c>
      <c r="L94" s="2" t="s">
        <v>65</v>
      </c>
      <c r="N94" s="1" t="s">
        <v>1122</v>
      </c>
      <c r="O94" s="2" t="s">
        <v>697</v>
      </c>
      <c r="Q94" s="2" t="s">
        <v>70</v>
      </c>
      <c r="R94" s="2" t="s">
        <v>509</v>
      </c>
      <c r="T94" s="2" t="s">
        <v>73</v>
      </c>
      <c r="U94" s="3">
        <v>4</v>
      </c>
      <c r="V94" s="3">
        <v>4</v>
      </c>
      <c r="W94" s="4" t="s">
        <v>1123</v>
      </c>
      <c r="X94" s="4" t="s">
        <v>1123</v>
      </c>
      <c r="Y94" s="4" t="s">
        <v>1124</v>
      </c>
      <c r="Z94" s="4" t="s">
        <v>1124</v>
      </c>
      <c r="AA94" s="3">
        <v>172</v>
      </c>
      <c r="AB94" s="3">
        <v>75</v>
      </c>
      <c r="AC94" s="3">
        <v>77</v>
      </c>
      <c r="AD94" s="3">
        <v>1</v>
      </c>
      <c r="AE94" s="3">
        <v>1</v>
      </c>
      <c r="AF94" s="3">
        <v>2</v>
      </c>
      <c r="AG94" s="3">
        <v>2</v>
      </c>
      <c r="AH94" s="3">
        <v>1</v>
      </c>
      <c r="AI94" s="3">
        <v>1</v>
      </c>
      <c r="AJ94" s="3">
        <v>1</v>
      </c>
      <c r="AK94" s="3">
        <v>1</v>
      </c>
      <c r="AL94" s="3">
        <v>1</v>
      </c>
      <c r="AM94" s="3">
        <v>1</v>
      </c>
      <c r="AN94" s="3">
        <v>0</v>
      </c>
      <c r="AO94" s="3">
        <v>0</v>
      </c>
      <c r="AP94" s="3">
        <v>0</v>
      </c>
      <c r="AQ94" s="3">
        <v>0</v>
      </c>
      <c r="AR94" s="2" t="s">
        <v>63</v>
      </c>
      <c r="AS94" s="2" t="s">
        <v>76</v>
      </c>
      <c r="AT94" s="5" t="str">
        <f>HYPERLINK("http://catalog.hathitrust.org/Record/003027420","HathiTrust Record")</f>
        <v>HathiTrust Record</v>
      </c>
      <c r="AU94" s="5" t="str">
        <f>HYPERLINK("https://creighton-primo.hosted.exlibrisgroup.com/primo-explore/search?tab=default_tab&amp;search_scope=EVERYTHING&amp;vid=01CRU&amp;lang=en_US&amp;offset=0&amp;query=any,contains,991000835629702656","Catalog Record")</f>
        <v>Catalog Record</v>
      </c>
      <c r="AV94" s="5" t="str">
        <f>HYPERLINK("http://www.worldcat.org/oclc/31374873","WorldCat Record")</f>
        <v>WorldCat Record</v>
      </c>
      <c r="AW94" s="2" t="s">
        <v>1125</v>
      </c>
      <c r="AX94" s="2" t="s">
        <v>1126</v>
      </c>
      <c r="AY94" s="2" t="s">
        <v>1127</v>
      </c>
      <c r="AZ94" s="2" t="s">
        <v>1127</v>
      </c>
      <c r="BA94" s="2" t="s">
        <v>1128</v>
      </c>
      <c r="BB94" s="2" t="s">
        <v>81</v>
      </c>
      <c r="BD94" s="2" t="s">
        <v>1129</v>
      </c>
      <c r="BE94" s="2" t="s">
        <v>1130</v>
      </c>
      <c r="BF94" s="2" t="s">
        <v>1131</v>
      </c>
    </row>
    <row r="95" spans="1:58" ht="42" customHeight="1">
      <c r="A95" s="1"/>
      <c r="B95" s="1" t="s">
        <v>58</v>
      </c>
      <c r="C95" s="1" t="s">
        <v>59</v>
      </c>
      <c r="D95" s="1" t="s">
        <v>1132</v>
      </c>
      <c r="E95" s="1" t="s">
        <v>1133</v>
      </c>
      <c r="F95" s="1" t="s">
        <v>1134</v>
      </c>
      <c r="H95" s="2" t="s">
        <v>63</v>
      </c>
      <c r="I95" s="2" t="s">
        <v>64</v>
      </c>
      <c r="J95" s="2" t="s">
        <v>63</v>
      </c>
      <c r="K95" s="2" t="s">
        <v>76</v>
      </c>
      <c r="L95" s="2" t="s">
        <v>65</v>
      </c>
      <c r="M95" s="1" t="s">
        <v>88</v>
      </c>
      <c r="N95" s="1" t="s">
        <v>1135</v>
      </c>
      <c r="O95" s="2" t="s">
        <v>697</v>
      </c>
      <c r="P95" s="1" t="s">
        <v>795</v>
      </c>
      <c r="Q95" s="2" t="s">
        <v>70</v>
      </c>
      <c r="R95" s="2" t="s">
        <v>92</v>
      </c>
      <c r="T95" s="2" t="s">
        <v>73</v>
      </c>
      <c r="U95" s="3">
        <v>145</v>
      </c>
      <c r="V95" s="3">
        <v>145</v>
      </c>
      <c r="W95" s="4" t="s">
        <v>123</v>
      </c>
      <c r="X95" s="4" t="s">
        <v>123</v>
      </c>
      <c r="Y95" s="4" t="s">
        <v>1136</v>
      </c>
      <c r="Z95" s="4" t="s">
        <v>1136</v>
      </c>
      <c r="AA95" s="3">
        <v>232</v>
      </c>
      <c r="AB95" s="3">
        <v>169</v>
      </c>
      <c r="AC95" s="3">
        <v>470</v>
      </c>
      <c r="AD95" s="3">
        <v>2</v>
      </c>
      <c r="AE95" s="3">
        <v>3</v>
      </c>
      <c r="AF95" s="3">
        <v>5</v>
      </c>
      <c r="AG95" s="3">
        <v>15</v>
      </c>
      <c r="AH95" s="3">
        <v>1</v>
      </c>
      <c r="AI95" s="3">
        <v>5</v>
      </c>
      <c r="AJ95" s="3">
        <v>1</v>
      </c>
      <c r="AK95" s="3">
        <v>3</v>
      </c>
      <c r="AL95" s="3">
        <v>3</v>
      </c>
      <c r="AM95" s="3">
        <v>7</v>
      </c>
      <c r="AN95" s="3">
        <v>1</v>
      </c>
      <c r="AO95" s="3">
        <v>2</v>
      </c>
      <c r="AP95" s="3">
        <v>0</v>
      </c>
      <c r="AQ95" s="3">
        <v>0</v>
      </c>
      <c r="AR95" s="2" t="s">
        <v>63</v>
      </c>
      <c r="AS95" s="2" t="s">
        <v>76</v>
      </c>
      <c r="AT95" s="5" t="str">
        <f>HYPERLINK("http://catalog.hathitrust.org/Record/002958482","HathiTrust Record")</f>
        <v>HathiTrust Record</v>
      </c>
      <c r="AU95" s="5" t="str">
        <f>HYPERLINK("https://creighton-primo.hosted.exlibrisgroup.com/primo-explore/search?tab=default_tab&amp;search_scope=EVERYTHING&amp;vid=01CRU&amp;lang=en_US&amp;offset=0&amp;query=any,contains,991001403859702656","Catalog Record")</f>
        <v>Catalog Record</v>
      </c>
      <c r="AV95" s="5" t="str">
        <f>HYPERLINK("http://www.worldcat.org/oclc/31331691","WorldCat Record")</f>
        <v>WorldCat Record</v>
      </c>
      <c r="AW95" s="2" t="s">
        <v>95</v>
      </c>
      <c r="AX95" s="2" t="s">
        <v>1137</v>
      </c>
      <c r="AY95" s="2" t="s">
        <v>1138</v>
      </c>
      <c r="AZ95" s="2" t="s">
        <v>1138</v>
      </c>
      <c r="BA95" s="2" t="s">
        <v>1139</v>
      </c>
      <c r="BB95" s="2" t="s">
        <v>81</v>
      </c>
      <c r="BD95" s="2" t="s">
        <v>1140</v>
      </c>
      <c r="BE95" s="2" t="s">
        <v>1141</v>
      </c>
      <c r="BF95" s="2" t="s">
        <v>1142</v>
      </c>
    </row>
    <row r="96" spans="1:58" ht="42" customHeight="1">
      <c r="A96" s="1"/>
      <c r="B96" s="1" t="s">
        <v>58</v>
      </c>
      <c r="C96" s="1" t="s">
        <v>59</v>
      </c>
      <c r="D96" s="1" t="s">
        <v>1143</v>
      </c>
      <c r="E96" s="1" t="s">
        <v>1144</v>
      </c>
      <c r="F96" s="1" t="s">
        <v>1145</v>
      </c>
      <c r="H96" s="2" t="s">
        <v>63</v>
      </c>
      <c r="I96" s="2" t="s">
        <v>64</v>
      </c>
      <c r="J96" s="2" t="s">
        <v>63</v>
      </c>
      <c r="K96" s="2" t="s">
        <v>63</v>
      </c>
      <c r="L96" s="2" t="s">
        <v>64</v>
      </c>
      <c r="N96" s="1" t="s">
        <v>1146</v>
      </c>
      <c r="O96" s="2" t="s">
        <v>1147</v>
      </c>
      <c r="Q96" s="2" t="s">
        <v>70</v>
      </c>
      <c r="R96" s="2" t="s">
        <v>648</v>
      </c>
      <c r="T96" s="2" t="s">
        <v>73</v>
      </c>
      <c r="U96" s="3">
        <v>0</v>
      </c>
      <c r="V96" s="3">
        <v>0</v>
      </c>
      <c r="W96" s="4" t="s">
        <v>1148</v>
      </c>
      <c r="X96" s="4" t="s">
        <v>1148</v>
      </c>
      <c r="Y96" s="4" t="s">
        <v>1149</v>
      </c>
      <c r="Z96" s="4" t="s">
        <v>1149</v>
      </c>
      <c r="AA96" s="3">
        <v>173</v>
      </c>
      <c r="AB96" s="3">
        <v>124</v>
      </c>
      <c r="AC96" s="3">
        <v>352</v>
      </c>
      <c r="AD96" s="3">
        <v>2</v>
      </c>
      <c r="AE96" s="3">
        <v>3</v>
      </c>
      <c r="AF96" s="3">
        <v>5</v>
      </c>
      <c r="AG96" s="3">
        <v>10</v>
      </c>
      <c r="AH96" s="3">
        <v>1</v>
      </c>
      <c r="AI96" s="3">
        <v>4</v>
      </c>
      <c r="AJ96" s="3">
        <v>2</v>
      </c>
      <c r="AK96" s="3">
        <v>3</v>
      </c>
      <c r="AL96" s="3">
        <v>2</v>
      </c>
      <c r="AM96" s="3">
        <v>6</v>
      </c>
      <c r="AN96" s="3">
        <v>1</v>
      </c>
      <c r="AO96" s="3">
        <v>1</v>
      </c>
      <c r="AP96" s="3">
        <v>0</v>
      </c>
      <c r="AQ96" s="3">
        <v>0</v>
      </c>
      <c r="AR96" s="2" t="s">
        <v>63</v>
      </c>
      <c r="AS96" s="2" t="s">
        <v>63</v>
      </c>
      <c r="AU96" s="5" t="str">
        <f>HYPERLINK("https://creighton-primo.hosted.exlibrisgroup.com/primo-explore/search?tab=default_tab&amp;search_scope=EVERYTHING&amp;vid=01CRU&amp;lang=en_US&amp;offset=0&amp;query=any,contains,991000629239702656","Catalog Record")</f>
        <v>Catalog Record</v>
      </c>
      <c r="AV96" s="5" t="str">
        <f>HYPERLINK("http://www.worldcat.org/oclc/62393119","WorldCat Record")</f>
        <v>WorldCat Record</v>
      </c>
      <c r="AW96" s="2" t="s">
        <v>1150</v>
      </c>
      <c r="AX96" s="2" t="s">
        <v>1151</v>
      </c>
      <c r="AY96" s="2" t="s">
        <v>1152</v>
      </c>
      <c r="AZ96" s="2" t="s">
        <v>1152</v>
      </c>
      <c r="BA96" s="2" t="s">
        <v>1153</v>
      </c>
      <c r="BB96" s="2" t="s">
        <v>81</v>
      </c>
      <c r="BD96" s="2" t="s">
        <v>1154</v>
      </c>
      <c r="BE96" s="2" t="s">
        <v>1155</v>
      </c>
      <c r="BF96" s="2" t="s">
        <v>1156</v>
      </c>
    </row>
    <row r="97" spans="1:58" ht="42" customHeight="1">
      <c r="A97" s="1"/>
      <c r="B97" s="1" t="s">
        <v>58</v>
      </c>
      <c r="C97" s="1" t="s">
        <v>59</v>
      </c>
      <c r="D97" s="1" t="s">
        <v>1157</v>
      </c>
      <c r="E97" s="1" t="s">
        <v>1158</v>
      </c>
      <c r="F97" s="1" t="s">
        <v>1159</v>
      </c>
      <c r="H97" s="2" t="s">
        <v>63</v>
      </c>
      <c r="I97" s="2" t="s">
        <v>64</v>
      </c>
      <c r="J97" s="2" t="s">
        <v>63</v>
      </c>
      <c r="K97" s="2" t="s">
        <v>63</v>
      </c>
      <c r="L97" s="2" t="s">
        <v>64</v>
      </c>
      <c r="M97" s="1" t="s">
        <v>1160</v>
      </c>
      <c r="N97" s="1" t="s">
        <v>1161</v>
      </c>
      <c r="O97" s="2" t="s">
        <v>136</v>
      </c>
      <c r="Q97" s="2" t="s">
        <v>70</v>
      </c>
      <c r="R97" s="2" t="s">
        <v>422</v>
      </c>
      <c r="S97" s="1" t="s">
        <v>1162</v>
      </c>
      <c r="T97" s="2" t="s">
        <v>73</v>
      </c>
      <c r="U97" s="3">
        <v>2</v>
      </c>
      <c r="V97" s="3">
        <v>2</v>
      </c>
      <c r="W97" s="4" t="s">
        <v>1163</v>
      </c>
      <c r="X97" s="4" t="s">
        <v>1163</v>
      </c>
      <c r="Y97" s="4" t="s">
        <v>109</v>
      </c>
      <c r="Z97" s="4" t="s">
        <v>109</v>
      </c>
      <c r="AA97" s="3">
        <v>425</v>
      </c>
      <c r="AB97" s="3">
        <v>300</v>
      </c>
      <c r="AC97" s="3">
        <v>933</v>
      </c>
      <c r="AD97" s="3">
        <v>2</v>
      </c>
      <c r="AE97" s="3">
        <v>18</v>
      </c>
      <c r="AF97" s="3">
        <v>7</v>
      </c>
      <c r="AG97" s="3">
        <v>37</v>
      </c>
      <c r="AH97" s="3">
        <v>1</v>
      </c>
      <c r="AI97" s="3">
        <v>12</v>
      </c>
      <c r="AJ97" s="3">
        <v>4</v>
      </c>
      <c r="AK97" s="3">
        <v>7</v>
      </c>
      <c r="AL97" s="3">
        <v>4</v>
      </c>
      <c r="AM97" s="3">
        <v>19</v>
      </c>
      <c r="AN97" s="3">
        <v>1</v>
      </c>
      <c r="AO97" s="3">
        <v>9</v>
      </c>
      <c r="AP97" s="3">
        <v>0</v>
      </c>
      <c r="AQ97" s="3">
        <v>0</v>
      </c>
      <c r="AR97" s="2" t="s">
        <v>63</v>
      </c>
      <c r="AS97" s="2" t="s">
        <v>76</v>
      </c>
      <c r="AT97" s="5" t="str">
        <f>HYPERLINK("http://catalog.hathitrust.org/Record/000745659","HathiTrust Record")</f>
        <v>HathiTrust Record</v>
      </c>
      <c r="AU97" s="5" t="str">
        <f>HYPERLINK("https://creighton-primo.hosted.exlibrisgroup.com/primo-explore/search?tab=default_tab&amp;search_scope=EVERYTHING&amp;vid=01CRU&amp;lang=en_US&amp;offset=0&amp;query=any,contains,991000996089702656","Catalog Record")</f>
        <v>Catalog Record</v>
      </c>
      <c r="AV97" s="5" t="str">
        <f>HYPERLINK("http://www.worldcat.org/oclc/7248504","WorldCat Record")</f>
        <v>WorldCat Record</v>
      </c>
      <c r="AW97" s="2" t="s">
        <v>1164</v>
      </c>
      <c r="AX97" s="2" t="s">
        <v>1165</v>
      </c>
      <c r="AY97" s="2" t="s">
        <v>1166</v>
      </c>
      <c r="AZ97" s="2" t="s">
        <v>1166</v>
      </c>
      <c r="BA97" s="2" t="s">
        <v>1167</v>
      </c>
      <c r="BB97" s="2" t="s">
        <v>81</v>
      </c>
      <c r="BD97" s="2" t="s">
        <v>1168</v>
      </c>
      <c r="BE97" s="2" t="s">
        <v>1169</v>
      </c>
      <c r="BF97" s="2" t="s">
        <v>1170</v>
      </c>
    </row>
    <row r="98" spans="1:58" ht="42" customHeight="1">
      <c r="A98" s="1"/>
      <c r="B98" s="1" t="s">
        <v>58</v>
      </c>
      <c r="C98" s="1" t="s">
        <v>59</v>
      </c>
      <c r="D98" s="1" t="s">
        <v>1171</v>
      </c>
      <c r="E98" s="1" t="s">
        <v>1172</v>
      </c>
      <c r="F98" s="1" t="s">
        <v>1173</v>
      </c>
      <c r="H98" s="2" t="s">
        <v>63</v>
      </c>
      <c r="I98" s="2" t="s">
        <v>64</v>
      </c>
      <c r="J98" s="2" t="s">
        <v>63</v>
      </c>
      <c r="K98" s="2" t="s">
        <v>63</v>
      </c>
      <c r="L98" s="2" t="s">
        <v>65</v>
      </c>
      <c r="M98" s="1" t="s">
        <v>1174</v>
      </c>
      <c r="N98" s="1" t="s">
        <v>1175</v>
      </c>
      <c r="O98" s="2" t="s">
        <v>713</v>
      </c>
      <c r="Q98" s="2" t="s">
        <v>70</v>
      </c>
      <c r="R98" s="2" t="s">
        <v>92</v>
      </c>
      <c r="S98" s="1" t="s">
        <v>1176</v>
      </c>
      <c r="T98" s="2" t="s">
        <v>73</v>
      </c>
      <c r="U98" s="3">
        <v>9</v>
      </c>
      <c r="V98" s="3">
        <v>9</v>
      </c>
      <c r="W98" s="4" t="s">
        <v>1177</v>
      </c>
      <c r="X98" s="4" t="s">
        <v>1177</v>
      </c>
      <c r="Y98" s="4" t="s">
        <v>1178</v>
      </c>
      <c r="Z98" s="4" t="s">
        <v>1178</v>
      </c>
      <c r="AA98" s="3">
        <v>315</v>
      </c>
      <c r="AB98" s="3">
        <v>217</v>
      </c>
      <c r="AC98" s="3">
        <v>219</v>
      </c>
      <c r="AD98" s="3">
        <v>1</v>
      </c>
      <c r="AE98" s="3">
        <v>1</v>
      </c>
      <c r="AF98" s="3">
        <v>9</v>
      </c>
      <c r="AG98" s="3">
        <v>9</v>
      </c>
      <c r="AH98" s="3">
        <v>2</v>
      </c>
      <c r="AI98" s="3">
        <v>2</v>
      </c>
      <c r="AJ98" s="3">
        <v>2</v>
      </c>
      <c r="AK98" s="3">
        <v>2</v>
      </c>
      <c r="AL98" s="3">
        <v>6</v>
      </c>
      <c r="AM98" s="3">
        <v>6</v>
      </c>
      <c r="AN98" s="3">
        <v>0</v>
      </c>
      <c r="AO98" s="3">
        <v>0</v>
      </c>
      <c r="AP98" s="3">
        <v>0</v>
      </c>
      <c r="AQ98" s="3">
        <v>0</v>
      </c>
      <c r="AR98" s="2" t="s">
        <v>63</v>
      </c>
      <c r="AS98" s="2" t="s">
        <v>76</v>
      </c>
      <c r="AT98" s="5" t="str">
        <f>HYPERLINK("http://catalog.hathitrust.org/Record/000918268","HathiTrust Record")</f>
        <v>HathiTrust Record</v>
      </c>
      <c r="AU98" s="5" t="str">
        <f>HYPERLINK("https://creighton-primo.hosted.exlibrisgroup.com/primo-explore/search?tab=default_tab&amp;search_scope=EVERYTHING&amp;vid=01CRU&amp;lang=en_US&amp;offset=0&amp;query=any,contains,991001537089702656","Catalog Record")</f>
        <v>Catalog Record</v>
      </c>
      <c r="AV98" s="5" t="str">
        <f>HYPERLINK("http://www.worldcat.org/oclc/15630709","WorldCat Record")</f>
        <v>WorldCat Record</v>
      </c>
      <c r="AW98" s="2" t="s">
        <v>1179</v>
      </c>
      <c r="AX98" s="2" t="s">
        <v>1180</v>
      </c>
      <c r="AY98" s="2" t="s">
        <v>1181</v>
      </c>
      <c r="AZ98" s="2" t="s">
        <v>1181</v>
      </c>
      <c r="BA98" s="2" t="s">
        <v>1182</v>
      </c>
      <c r="BB98" s="2" t="s">
        <v>81</v>
      </c>
      <c r="BD98" s="2" t="s">
        <v>1183</v>
      </c>
      <c r="BE98" s="2" t="s">
        <v>1184</v>
      </c>
      <c r="BF98" s="2" t="s">
        <v>1185</v>
      </c>
    </row>
    <row r="99" spans="1:58" ht="42" customHeight="1">
      <c r="A99" s="1"/>
      <c r="B99" s="1" t="s">
        <v>58</v>
      </c>
      <c r="C99" s="1" t="s">
        <v>59</v>
      </c>
      <c r="D99" s="1" t="s">
        <v>1186</v>
      </c>
      <c r="E99" s="1" t="s">
        <v>1187</v>
      </c>
      <c r="F99" s="1" t="s">
        <v>1188</v>
      </c>
      <c r="H99" s="2" t="s">
        <v>63</v>
      </c>
      <c r="I99" s="2" t="s">
        <v>64</v>
      </c>
      <c r="J99" s="2" t="s">
        <v>63</v>
      </c>
      <c r="K99" s="2" t="s">
        <v>63</v>
      </c>
      <c r="L99" s="2" t="s">
        <v>65</v>
      </c>
      <c r="N99" s="1" t="s">
        <v>1189</v>
      </c>
      <c r="O99" s="2" t="s">
        <v>908</v>
      </c>
      <c r="Q99" s="2" t="s">
        <v>70</v>
      </c>
      <c r="R99" s="2" t="s">
        <v>422</v>
      </c>
      <c r="S99" s="1" t="s">
        <v>1190</v>
      </c>
      <c r="T99" s="2" t="s">
        <v>73</v>
      </c>
      <c r="U99" s="3">
        <v>4</v>
      </c>
      <c r="V99" s="3">
        <v>4</v>
      </c>
      <c r="W99" s="4" t="s">
        <v>1191</v>
      </c>
      <c r="X99" s="4" t="s">
        <v>1191</v>
      </c>
      <c r="Y99" s="4" t="s">
        <v>1192</v>
      </c>
      <c r="Z99" s="4" t="s">
        <v>1192</v>
      </c>
      <c r="AA99" s="3">
        <v>179</v>
      </c>
      <c r="AB99" s="3">
        <v>116</v>
      </c>
      <c r="AC99" s="3">
        <v>120</v>
      </c>
      <c r="AD99" s="3">
        <v>1</v>
      </c>
      <c r="AE99" s="3">
        <v>1</v>
      </c>
      <c r="AF99" s="3">
        <v>5</v>
      </c>
      <c r="AG99" s="3">
        <v>5</v>
      </c>
      <c r="AH99" s="3">
        <v>0</v>
      </c>
      <c r="AI99" s="3">
        <v>0</v>
      </c>
      <c r="AJ99" s="3">
        <v>2</v>
      </c>
      <c r="AK99" s="3">
        <v>2</v>
      </c>
      <c r="AL99" s="3">
        <v>4</v>
      </c>
      <c r="AM99" s="3">
        <v>4</v>
      </c>
      <c r="AN99" s="3">
        <v>0</v>
      </c>
      <c r="AO99" s="3">
        <v>0</v>
      </c>
      <c r="AP99" s="3">
        <v>0</v>
      </c>
      <c r="AQ99" s="3">
        <v>0</v>
      </c>
      <c r="AR99" s="2" t="s">
        <v>63</v>
      </c>
      <c r="AS99" s="2" t="s">
        <v>76</v>
      </c>
      <c r="AT99" s="5" t="str">
        <f>HYPERLINK("http://catalog.hathitrust.org/Record/002605788","HathiTrust Record")</f>
        <v>HathiTrust Record</v>
      </c>
      <c r="AU99" s="5" t="str">
        <f>HYPERLINK("https://creighton-primo.hosted.exlibrisgroup.com/primo-explore/search?tab=default_tab&amp;search_scope=EVERYTHING&amp;vid=01CRU&amp;lang=en_US&amp;offset=0&amp;query=any,contains,991001482349702656","Catalog Record")</f>
        <v>Catalog Record</v>
      </c>
      <c r="AV99" s="5" t="str">
        <f>HYPERLINK("http://www.worldcat.org/oclc/24211989","WorldCat Record")</f>
        <v>WorldCat Record</v>
      </c>
      <c r="AW99" s="2" t="s">
        <v>1193</v>
      </c>
      <c r="AX99" s="2" t="s">
        <v>1194</v>
      </c>
      <c r="AY99" s="2" t="s">
        <v>1195</v>
      </c>
      <c r="AZ99" s="2" t="s">
        <v>1195</v>
      </c>
      <c r="BA99" s="2" t="s">
        <v>1196</v>
      </c>
      <c r="BB99" s="2" t="s">
        <v>81</v>
      </c>
      <c r="BD99" s="2" t="s">
        <v>1197</v>
      </c>
      <c r="BE99" s="2" t="s">
        <v>1198</v>
      </c>
      <c r="BF99" s="2" t="s">
        <v>1199</v>
      </c>
    </row>
    <row r="100" spans="1:58" ht="42" customHeight="1">
      <c r="A100" s="1"/>
      <c r="B100" s="1" t="s">
        <v>58</v>
      </c>
      <c r="C100" s="1" t="s">
        <v>59</v>
      </c>
      <c r="D100" s="1" t="s">
        <v>1200</v>
      </c>
      <c r="E100" s="1" t="s">
        <v>1201</v>
      </c>
      <c r="F100" s="1" t="s">
        <v>1202</v>
      </c>
      <c r="H100" s="2" t="s">
        <v>63</v>
      </c>
      <c r="I100" s="2" t="s">
        <v>64</v>
      </c>
      <c r="J100" s="2" t="s">
        <v>63</v>
      </c>
      <c r="K100" s="2" t="s">
        <v>76</v>
      </c>
      <c r="L100" s="2" t="s">
        <v>65</v>
      </c>
      <c r="M100" s="1" t="s">
        <v>1203</v>
      </c>
      <c r="N100" s="1" t="s">
        <v>1204</v>
      </c>
      <c r="O100" s="2" t="s">
        <v>1205</v>
      </c>
      <c r="Q100" s="2" t="s">
        <v>70</v>
      </c>
      <c r="R100" s="2" t="s">
        <v>422</v>
      </c>
      <c r="T100" s="2" t="s">
        <v>73</v>
      </c>
      <c r="U100" s="3">
        <v>1</v>
      </c>
      <c r="V100" s="3">
        <v>1</v>
      </c>
      <c r="W100" s="4" t="s">
        <v>1206</v>
      </c>
      <c r="X100" s="4" t="s">
        <v>1206</v>
      </c>
      <c r="Y100" s="4" t="s">
        <v>1006</v>
      </c>
      <c r="Z100" s="4" t="s">
        <v>1006</v>
      </c>
      <c r="AA100" s="3">
        <v>302</v>
      </c>
      <c r="AB100" s="3">
        <v>281</v>
      </c>
      <c r="AC100" s="3">
        <v>814</v>
      </c>
      <c r="AD100" s="3">
        <v>4</v>
      </c>
      <c r="AE100" s="3">
        <v>9</v>
      </c>
      <c r="AF100" s="3">
        <v>14</v>
      </c>
      <c r="AG100" s="3">
        <v>38</v>
      </c>
      <c r="AH100" s="3">
        <v>5</v>
      </c>
      <c r="AI100" s="3">
        <v>20</v>
      </c>
      <c r="AJ100" s="3">
        <v>2</v>
      </c>
      <c r="AK100" s="3">
        <v>6</v>
      </c>
      <c r="AL100" s="3">
        <v>7</v>
      </c>
      <c r="AM100" s="3">
        <v>15</v>
      </c>
      <c r="AN100" s="3">
        <v>3</v>
      </c>
      <c r="AO100" s="3">
        <v>7</v>
      </c>
      <c r="AP100" s="3">
        <v>0</v>
      </c>
      <c r="AQ100" s="3">
        <v>0</v>
      </c>
      <c r="AR100" s="2" t="s">
        <v>63</v>
      </c>
      <c r="AS100" s="2" t="s">
        <v>76</v>
      </c>
      <c r="AT100" s="5" t="str">
        <f>HYPERLINK("http://catalog.hathitrust.org/Record/010150572","HathiTrust Record")</f>
        <v>HathiTrust Record</v>
      </c>
      <c r="AU100" s="5" t="str">
        <f>HYPERLINK("https://creighton-primo.hosted.exlibrisgroup.com/primo-explore/search?tab=default_tab&amp;search_scope=EVERYTHING&amp;vid=01CRU&amp;lang=en_US&amp;offset=0&amp;query=any,contains,991000996029702656","Catalog Record")</f>
        <v>Catalog Record</v>
      </c>
      <c r="AV100" s="5" t="str">
        <f>HYPERLINK("http://www.worldcat.org/oclc/758644618","WorldCat Record")</f>
        <v>WorldCat Record</v>
      </c>
      <c r="AW100" s="2" t="s">
        <v>1207</v>
      </c>
      <c r="AX100" s="2" t="s">
        <v>1208</v>
      </c>
      <c r="AY100" s="2" t="s">
        <v>1209</v>
      </c>
      <c r="AZ100" s="2" t="s">
        <v>1209</v>
      </c>
      <c r="BA100" s="2" t="s">
        <v>1210</v>
      </c>
      <c r="BB100" s="2" t="s">
        <v>81</v>
      </c>
      <c r="BE100" s="2" t="s">
        <v>1211</v>
      </c>
      <c r="BF100" s="2" t="s">
        <v>1212</v>
      </c>
    </row>
    <row r="101" spans="1:58" ht="42" customHeight="1">
      <c r="A101" s="1"/>
      <c r="B101" s="1" t="s">
        <v>58</v>
      </c>
      <c r="C101" s="1" t="s">
        <v>59</v>
      </c>
      <c r="D101" s="1" t="s">
        <v>1213</v>
      </c>
      <c r="E101" s="1" t="s">
        <v>1214</v>
      </c>
      <c r="F101" s="1" t="s">
        <v>1215</v>
      </c>
      <c r="H101" s="2" t="s">
        <v>63</v>
      </c>
      <c r="I101" s="2" t="s">
        <v>64</v>
      </c>
      <c r="J101" s="2" t="s">
        <v>63</v>
      </c>
      <c r="K101" s="2" t="s">
        <v>63</v>
      </c>
      <c r="L101" s="2" t="s">
        <v>65</v>
      </c>
      <c r="N101" s="1" t="s">
        <v>1216</v>
      </c>
      <c r="O101" s="2" t="s">
        <v>863</v>
      </c>
      <c r="Q101" s="2" t="s">
        <v>70</v>
      </c>
      <c r="R101" s="2" t="s">
        <v>107</v>
      </c>
      <c r="T101" s="2" t="s">
        <v>73</v>
      </c>
      <c r="U101" s="3">
        <v>12</v>
      </c>
      <c r="V101" s="3">
        <v>12</v>
      </c>
      <c r="W101" s="4" t="s">
        <v>1217</v>
      </c>
      <c r="X101" s="4" t="s">
        <v>1217</v>
      </c>
      <c r="Y101" s="4" t="s">
        <v>1218</v>
      </c>
      <c r="Z101" s="4" t="s">
        <v>1218</v>
      </c>
      <c r="AA101" s="3">
        <v>198</v>
      </c>
      <c r="AB101" s="3">
        <v>125</v>
      </c>
      <c r="AC101" s="3">
        <v>126</v>
      </c>
      <c r="AD101" s="3">
        <v>1</v>
      </c>
      <c r="AE101" s="3">
        <v>1</v>
      </c>
      <c r="AF101" s="3">
        <v>1</v>
      </c>
      <c r="AG101" s="3">
        <v>1</v>
      </c>
      <c r="AH101" s="3">
        <v>0</v>
      </c>
      <c r="AI101" s="3">
        <v>0</v>
      </c>
      <c r="AJ101" s="3">
        <v>1</v>
      </c>
      <c r="AK101" s="3">
        <v>1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2" t="s">
        <v>63</v>
      </c>
      <c r="AS101" s="2" t="s">
        <v>76</v>
      </c>
      <c r="AT101" s="5" t="str">
        <f>HYPERLINK("http://catalog.hathitrust.org/Record/001083461","HathiTrust Record")</f>
        <v>HathiTrust Record</v>
      </c>
      <c r="AU101" s="5" t="str">
        <f>HYPERLINK("https://creighton-primo.hosted.exlibrisgroup.com/primo-explore/search?tab=default_tab&amp;search_scope=EVERYTHING&amp;vid=01CRU&amp;lang=en_US&amp;offset=0&amp;query=any,contains,991001241319702656","Catalog Record")</f>
        <v>Catalog Record</v>
      </c>
      <c r="AV101" s="5" t="str">
        <f>HYPERLINK("http://www.worldcat.org/oclc/17901409","WorldCat Record")</f>
        <v>WorldCat Record</v>
      </c>
      <c r="AW101" s="2" t="s">
        <v>1219</v>
      </c>
      <c r="AX101" s="2" t="s">
        <v>1220</v>
      </c>
      <c r="AY101" s="2" t="s">
        <v>1221</v>
      </c>
      <c r="AZ101" s="2" t="s">
        <v>1221</v>
      </c>
      <c r="BA101" s="2" t="s">
        <v>1222</v>
      </c>
      <c r="BB101" s="2" t="s">
        <v>81</v>
      </c>
      <c r="BD101" s="2" t="s">
        <v>1223</v>
      </c>
      <c r="BE101" s="2" t="s">
        <v>1224</v>
      </c>
      <c r="BF101" s="2" t="s">
        <v>1225</v>
      </c>
    </row>
    <row r="102" spans="1:58" ht="42" customHeight="1">
      <c r="A102" s="1"/>
      <c r="B102" s="1" t="s">
        <v>58</v>
      </c>
      <c r="C102" s="1" t="s">
        <v>59</v>
      </c>
      <c r="D102" s="1" t="s">
        <v>1226</v>
      </c>
      <c r="E102" s="1" t="s">
        <v>1227</v>
      </c>
      <c r="F102" s="1" t="s">
        <v>1228</v>
      </c>
      <c r="H102" s="2" t="s">
        <v>63</v>
      </c>
      <c r="I102" s="2" t="s">
        <v>64</v>
      </c>
      <c r="J102" s="2" t="s">
        <v>63</v>
      </c>
      <c r="K102" s="2" t="s">
        <v>63</v>
      </c>
      <c r="L102" s="2" t="s">
        <v>65</v>
      </c>
      <c r="N102" s="1" t="s">
        <v>1229</v>
      </c>
      <c r="O102" s="2" t="s">
        <v>106</v>
      </c>
      <c r="Q102" s="2" t="s">
        <v>70</v>
      </c>
      <c r="R102" s="2" t="s">
        <v>107</v>
      </c>
      <c r="T102" s="2" t="s">
        <v>73</v>
      </c>
      <c r="U102" s="3">
        <v>7</v>
      </c>
      <c r="V102" s="3">
        <v>7</v>
      </c>
      <c r="W102" s="4" t="s">
        <v>1230</v>
      </c>
      <c r="X102" s="4" t="s">
        <v>1230</v>
      </c>
      <c r="Y102" s="4" t="s">
        <v>109</v>
      </c>
      <c r="Z102" s="4" t="s">
        <v>109</v>
      </c>
      <c r="AA102" s="3">
        <v>256</v>
      </c>
      <c r="AB102" s="3">
        <v>187</v>
      </c>
      <c r="AC102" s="3">
        <v>236</v>
      </c>
      <c r="AD102" s="3">
        <v>1</v>
      </c>
      <c r="AE102" s="3">
        <v>1</v>
      </c>
      <c r="AF102" s="3">
        <v>2</v>
      </c>
      <c r="AG102" s="3">
        <v>5</v>
      </c>
      <c r="AH102" s="3">
        <v>0</v>
      </c>
      <c r="AI102" s="3">
        <v>2</v>
      </c>
      <c r="AJ102" s="3">
        <v>1</v>
      </c>
      <c r="AK102" s="3">
        <v>3</v>
      </c>
      <c r="AL102" s="3">
        <v>1</v>
      </c>
      <c r="AM102" s="3">
        <v>1</v>
      </c>
      <c r="AN102" s="3">
        <v>0</v>
      </c>
      <c r="AO102" s="3">
        <v>0</v>
      </c>
      <c r="AP102" s="3">
        <v>0</v>
      </c>
      <c r="AQ102" s="3">
        <v>0</v>
      </c>
      <c r="AR102" s="2" t="s">
        <v>63</v>
      </c>
      <c r="AS102" s="2" t="s">
        <v>76</v>
      </c>
      <c r="AT102" s="5" t="str">
        <f>HYPERLINK("http://catalog.hathitrust.org/Record/000164738","HathiTrust Record")</f>
        <v>HathiTrust Record</v>
      </c>
      <c r="AU102" s="5" t="str">
        <f>HYPERLINK("https://creighton-primo.hosted.exlibrisgroup.com/primo-explore/search?tab=default_tab&amp;search_scope=EVERYTHING&amp;vid=01CRU&amp;lang=en_US&amp;offset=0&amp;query=any,contains,991000995919702656","Catalog Record")</f>
        <v>Catalog Record</v>
      </c>
      <c r="AV102" s="5" t="str">
        <f>HYPERLINK("http://www.worldcat.org/oclc/10122646","WorldCat Record")</f>
        <v>WorldCat Record</v>
      </c>
      <c r="AW102" s="2" t="s">
        <v>1231</v>
      </c>
      <c r="AX102" s="2" t="s">
        <v>1232</v>
      </c>
      <c r="AY102" s="2" t="s">
        <v>1233</v>
      </c>
      <c r="AZ102" s="2" t="s">
        <v>1233</v>
      </c>
      <c r="BA102" s="2" t="s">
        <v>1234</v>
      </c>
      <c r="BB102" s="2" t="s">
        <v>81</v>
      </c>
      <c r="BD102" s="2" t="s">
        <v>1235</v>
      </c>
      <c r="BE102" s="2" t="s">
        <v>1236</v>
      </c>
      <c r="BF102" s="2" t="s">
        <v>1237</v>
      </c>
    </row>
    <row r="103" spans="1:58" ht="42" customHeight="1">
      <c r="A103" s="1"/>
      <c r="B103" s="1" t="s">
        <v>58</v>
      </c>
      <c r="C103" s="1" t="s">
        <v>59</v>
      </c>
      <c r="D103" s="1" t="s">
        <v>1238</v>
      </c>
      <c r="E103" s="1" t="s">
        <v>1239</v>
      </c>
      <c r="F103" s="1" t="s">
        <v>1240</v>
      </c>
      <c r="H103" s="2" t="s">
        <v>63</v>
      </c>
      <c r="I103" s="2" t="s">
        <v>64</v>
      </c>
      <c r="J103" s="2" t="s">
        <v>63</v>
      </c>
      <c r="K103" s="2" t="s">
        <v>63</v>
      </c>
      <c r="L103" s="2" t="s">
        <v>65</v>
      </c>
      <c r="N103" s="1" t="s">
        <v>1241</v>
      </c>
      <c r="O103" s="2" t="s">
        <v>68</v>
      </c>
      <c r="Q103" s="2" t="s">
        <v>70</v>
      </c>
      <c r="R103" s="2" t="s">
        <v>408</v>
      </c>
      <c r="S103" s="1" t="s">
        <v>1242</v>
      </c>
      <c r="T103" s="2" t="s">
        <v>73</v>
      </c>
      <c r="U103" s="3">
        <v>11</v>
      </c>
      <c r="V103" s="3">
        <v>11</v>
      </c>
      <c r="W103" s="4" t="s">
        <v>1243</v>
      </c>
      <c r="X103" s="4" t="s">
        <v>1243</v>
      </c>
      <c r="Y103" s="4" t="s">
        <v>1244</v>
      </c>
      <c r="Z103" s="4" t="s">
        <v>1244</v>
      </c>
      <c r="AA103" s="3">
        <v>276</v>
      </c>
      <c r="AB103" s="3">
        <v>191</v>
      </c>
      <c r="AC103" s="3">
        <v>238</v>
      </c>
      <c r="AD103" s="3">
        <v>1</v>
      </c>
      <c r="AE103" s="3">
        <v>2</v>
      </c>
      <c r="AF103" s="3">
        <v>10</v>
      </c>
      <c r="AG103" s="3">
        <v>12</v>
      </c>
      <c r="AH103" s="3">
        <v>4</v>
      </c>
      <c r="AI103" s="3">
        <v>5</v>
      </c>
      <c r="AJ103" s="3">
        <v>3</v>
      </c>
      <c r="AK103" s="3">
        <v>4</v>
      </c>
      <c r="AL103" s="3">
        <v>7</v>
      </c>
      <c r="AM103" s="3">
        <v>7</v>
      </c>
      <c r="AN103" s="3">
        <v>0</v>
      </c>
      <c r="AO103" s="3">
        <v>1</v>
      </c>
      <c r="AP103" s="3">
        <v>0</v>
      </c>
      <c r="AQ103" s="3">
        <v>0</v>
      </c>
      <c r="AR103" s="2" t="s">
        <v>63</v>
      </c>
      <c r="AS103" s="2" t="s">
        <v>76</v>
      </c>
      <c r="AT103" s="5" t="str">
        <f>HYPERLINK("http://catalog.hathitrust.org/Record/002808464","HathiTrust Record")</f>
        <v>HathiTrust Record</v>
      </c>
      <c r="AU103" s="5" t="str">
        <f>HYPERLINK("https://creighton-primo.hosted.exlibrisgroup.com/primo-explore/search?tab=default_tab&amp;search_scope=EVERYTHING&amp;vid=01CRU&amp;lang=en_US&amp;offset=0&amp;query=any,contains,991001396909702656","Catalog Record")</f>
        <v>Catalog Record</v>
      </c>
      <c r="AV103" s="5" t="str">
        <f>HYPERLINK("http://www.worldcat.org/oclc/29256334","WorldCat Record")</f>
        <v>WorldCat Record</v>
      </c>
      <c r="AW103" s="2" t="s">
        <v>1245</v>
      </c>
      <c r="AX103" s="2" t="s">
        <v>1246</v>
      </c>
      <c r="AY103" s="2" t="s">
        <v>1247</v>
      </c>
      <c r="AZ103" s="2" t="s">
        <v>1247</v>
      </c>
      <c r="BA103" s="2" t="s">
        <v>1248</v>
      </c>
      <c r="BB103" s="2" t="s">
        <v>81</v>
      </c>
      <c r="BD103" s="2" t="s">
        <v>1249</v>
      </c>
      <c r="BE103" s="2" t="s">
        <v>1250</v>
      </c>
      <c r="BF103" s="2" t="s">
        <v>1251</v>
      </c>
    </row>
    <row r="104" spans="1:58" ht="42" customHeight="1">
      <c r="A104" s="1"/>
      <c r="B104" s="1" t="s">
        <v>58</v>
      </c>
      <c r="C104" s="1" t="s">
        <v>59</v>
      </c>
      <c r="D104" s="1" t="s">
        <v>1252</v>
      </c>
      <c r="E104" s="1" t="s">
        <v>1253</v>
      </c>
      <c r="F104" s="1" t="s">
        <v>1254</v>
      </c>
      <c r="H104" s="2" t="s">
        <v>63</v>
      </c>
      <c r="I104" s="2" t="s">
        <v>64</v>
      </c>
      <c r="J104" s="2" t="s">
        <v>63</v>
      </c>
      <c r="K104" s="2" t="s">
        <v>63</v>
      </c>
      <c r="L104" s="2" t="s">
        <v>65</v>
      </c>
      <c r="M104" s="1" t="s">
        <v>1255</v>
      </c>
      <c r="N104" s="1" t="s">
        <v>1256</v>
      </c>
      <c r="O104" s="2" t="s">
        <v>1257</v>
      </c>
      <c r="Q104" s="2" t="s">
        <v>70</v>
      </c>
      <c r="R104" s="2" t="s">
        <v>509</v>
      </c>
      <c r="T104" s="2" t="s">
        <v>73</v>
      </c>
      <c r="U104" s="3">
        <v>5</v>
      </c>
      <c r="V104" s="3">
        <v>5</v>
      </c>
      <c r="W104" s="4" t="s">
        <v>1230</v>
      </c>
      <c r="X104" s="4" t="s">
        <v>1230</v>
      </c>
      <c r="Y104" s="4" t="s">
        <v>1258</v>
      </c>
      <c r="Z104" s="4" t="s">
        <v>1258</v>
      </c>
      <c r="AA104" s="3">
        <v>254</v>
      </c>
      <c r="AB104" s="3">
        <v>163</v>
      </c>
      <c r="AC104" s="3">
        <v>165</v>
      </c>
      <c r="AD104" s="3">
        <v>1</v>
      </c>
      <c r="AE104" s="3">
        <v>1</v>
      </c>
      <c r="AF104" s="3">
        <v>6</v>
      </c>
      <c r="AG104" s="3">
        <v>6</v>
      </c>
      <c r="AH104" s="3">
        <v>3</v>
      </c>
      <c r="AI104" s="3">
        <v>3</v>
      </c>
      <c r="AJ104" s="3">
        <v>3</v>
      </c>
      <c r="AK104" s="3">
        <v>3</v>
      </c>
      <c r="AL104" s="3">
        <v>3</v>
      </c>
      <c r="AM104" s="3">
        <v>3</v>
      </c>
      <c r="AN104" s="3">
        <v>0</v>
      </c>
      <c r="AO104" s="3">
        <v>0</v>
      </c>
      <c r="AP104" s="3">
        <v>0</v>
      </c>
      <c r="AQ104" s="3">
        <v>0</v>
      </c>
      <c r="AR104" s="2" t="s">
        <v>63</v>
      </c>
      <c r="AS104" s="2" t="s">
        <v>76</v>
      </c>
      <c r="AT104" s="5" t="str">
        <f>HYPERLINK("http://catalog.hathitrust.org/Record/000212687","HathiTrust Record")</f>
        <v>HathiTrust Record</v>
      </c>
      <c r="AU104" s="5" t="str">
        <f>HYPERLINK("https://creighton-primo.hosted.exlibrisgroup.com/primo-explore/search?tab=default_tab&amp;search_scope=EVERYTHING&amp;vid=01CRU&amp;lang=en_US&amp;offset=0&amp;query=any,contains,991000995839702656","Catalog Record")</f>
        <v>Catalog Record</v>
      </c>
      <c r="AV104" s="5" t="str">
        <f>HYPERLINK("http://www.worldcat.org/oclc/1800641","WorldCat Record")</f>
        <v>WorldCat Record</v>
      </c>
      <c r="AW104" s="2" t="s">
        <v>1259</v>
      </c>
      <c r="AX104" s="2" t="s">
        <v>1260</v>
      </c>
      <c r="AY104" s="2" t="s">
        <v>1261</v>
      </c>
      <c r="AZ104" s="2" t="s">
        <v>1261</v>
      </c>
      <c r="BA104" s="2" t="s">
        <v>1262</v>
      </c>
      <c r="BB104" s="2" t="s">
        <v>81</v>
      </c>
      <c r="BD104" s="2" t="s">
        <v>1263</v>
      </c>
      <c r="BE104" s="2" t="s">
        <v>1264</v>
      </c>
      <c r="BF104" s="2" t="s">
        <v>1265</v>
      </c>
    </row>
    <row r="105" spans="1:58" ht="42" customHeight="1">
      <c r="A105" s="1"/>
      <c r="B105" s="1" t="s">
        <v>58</v>
      </c>
      <c r="C105" s="1" t="s">
        <v>59</v>
      </c>
      <c r="D105" s="1" t="s">
        <v>1266</v>
      </c>
      <c r="E105" s="1" t="s">
        <v>1267</v>
      </c>
      <c r="F105" s="1" t="s">
        <v>1268</v>
      </c>
      <c r="H105" s="2" t="s">
        <v>63</v>
      </c>
      <c r="I105" s="2" t="s">
        <v>64</v>
      </c>
      <c r="J105" s="2" t="s">
        <v>63</v>
      </c>
      <c r="K105" s="2" t="s">
        <v>63</v>
      </c>
      <c r="L105" s="2" t="s">
        <v>65</v>
      </c>
      <c r="M105" s="1" t="s">
        <v>1269</v>
      </c>
      <c r="N105" s="1" t="s">
        <v>1270</v>
      </c>
      <c r="O105" s="2" t="s">
        <v>230</v>
      </c>
      <c r="Q105" s="2" t="s">
        <v>70</v>
      </c>
      <c r="R105" s="2" t="s">
        <v>698</v>
      </c>
      <c r="T105" s="2" t="s">
        <v>73</v>
      </c>
      <c r="U105" s="3">
        <v>11</v>
      </c>
      <c r="V105" s="3">
        <v>11</v>
      </c>
      <c r="W105" s="4" t="s">
        <v>1271</v>
      </c>
      <c r="X105" s="4" t="s">
        <v>1271</v>
      </c>
      <c r="Y105" s="4" t="s">
        <v>1272</v>
      </c>
      <c r="Z105" s="4" t="s">
        <v>1272</v>
      </c>
      <c r="AA105" s="3">
        <v>127</v>
      </c>
      <c r="AB105" s="3">
        <v>84</v>
      </c>
      <c r="AC105" s="3">
        <v>94</v>
      </c>
      <c r="AD105" s="3">
        <v>1</v>
      </c>
      <c r="AE105" s="3">
        <v>1</v>
      </c>
      <c r="AF105" s="3">
        <v>2</v>
      </c>
      <c r="AG105" s="3">
        <v>2</v>
      </c>
      <c r="AH105" s="3">
        <v>0</v>
      </c>
      <c r="AI105" s="3">
        <v>0</v>
      </c>
      <c r="AJ105" s="3">
        <v>2</v>
      </c>
      <c r="AK105" s="3">
        <v>2</v>
      </c>
      <c r="AL105" s="3">
        <v>1</v>
      </c>
      <c r="AM105" s="3">
        <v>1</v>
      </c>
      <c r="AN105" s="3">
        <v>0</v>
      </c>
      <c r="AO105" s="3">
        <v>0</v>
      </c>
      <c r="AP105" s="3">
        <v>0</v>
      </c>
      <c r="AQ105" s="3">
        <v>0</v>
      </c>
      <c r="AR105" s="2" t="s">
        <v>63</v>
      </c>
      <c r="AS105" s="2" t="s">
        <v>63</v>
      </c>
      <c r="AU105" s="5" t="str">
        <f>HYPERLINK("https://creighton-primo.hosted.exlibrisgroup.com/primo-explore/search?tab=default_tab&amp;search_scope=EVERYTHING&amp;vid=01CRU&amp;lang=en_US&amp;offset=0&amp;query=any,contains,991001243099702656","Catalog Record")</f>
        <v>Catalog Record</v>
      </c>
      <c r="AV105" s="5" t="str">
        <f>HYPERLINK("http://www.worldcat.org/oclc/9852762","WorldCat Record")</f>
        <v>WorldCat Record</v>
      </c>
      <c r="AW105" s="2" t="s">
        <v>1273</v>
      </c>
      <c r="AX105" s="2" t="s">
        <v>1274</v>
      </c>
      <c r="AY105" s="2" t="s">
        <v>1275</v>
      </c>
      <c r="AZ105" s="2" t="s">
        <v>1275</v>
      </c>
      <c r="BA105" s="2" t="s">
        <v>1276</v>
      </c>
      <c r="BB105" s="2" t="s">
        <v>81</v>
      </c>
      <c r="BD105" s="2" t="s">
        <v>1277</v>
      </c>
      <c r="BE105" s="2" t="s">
        <v>1278</v>
      </c>
      <c r="BF105" s="2" t="s">
        <v>1279</v>
      </c>
    </row>
    <row r="106" spans="1:58" ht="42" customHeight="1">
      <c r="A106" s="1"/>
      <c r="B106" s="1" t="s">
        <v>58</v>
      </c>
      <c r="C106" s="1" t="s">
        <v>59</v>
      </c>
      <c r="D106" s="1" t="s">
        <v>1280</v>
      </c>
      <c r="E106" s="1" t="s">
        <v>1281</v>
      </c>
      <c r="F106" s="1" t="s">
        <v>1282</v>
      </c>
      <c r="H106" s="2" t="s">
        <v>63</v>
      </c>
      <c r="I106" s="2" t="s">
        <v>64</v>
      </c>
      <c r="J106" s="2" t="s">
        <v>63</v>
      </c>
      <c r="K106" s="2" t="s">
        <v>63</v>
      </c>
      <c r="L106" s="2" t="s">
        <v>65</v>
      </c>
      <c r="M106" s="1" t="s">
        <v>1283</v>
      </c>
      <c r="N106" s="1" t="s">
        <v>1284</v>
      </c>
      <c r="O106" s="2" t="s">
        <v>1285</v>
      </c>
      <c r="Q106" s="2" t="s">
        <v>70</v>
      </c>
      <c r="R106" s="2" t="s">
        <v>1286</v>
      </c>
      <c r="T106" s="2" t="s">
        <v>73</v>
      </c>
      <c r="U106" s="3">
        <v>6</v>
      </c>
      <c r="V106" s="3">
        <v>6</v>
      </c>
      <c r="W106" s="4" t="s">
        <v>1230</v>
      </c>
      <c r="X106" s="4" t="s">
        <v>1230</v>
      </c>
      <c r="Y106" s="4" t="s">
        <v>1258</v>
      </c>
      <c r="Z106" s="4" t="s">
        <v>1258</v>
      </c>
      <c r="AA106" s="3">
        <v>175</v>
      </c>
      <c r="AB106" s="3">
        <v>116</v>
      </c>
      <c r="AC106" s="3">
        <v>118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2" t="s">
        <v>63</v>
      </c>
      <c r="AS106" s="2" t="s">
        <v>76</v>
      </c>
      <c r="AT106" s="5" t="str">
        <f>HYPERLINK("http://catalog.hathitrust.org/Record/001556520","HathiTrust Record")</f>
        <v>HathiTrust Record</v>
      </c>
      <c r="AU106" s="5" t="str">
        <f>HYPERLINK("https://creighton-primo.hosted.exlibrisgroup.com/primo-explore/search?tab=default_tab&amp;search_scope=EVERYTHING&amp;vid=01CRU&amp;lang=en_US&amp;offset=0&amp;query=any,contains,991000995799702656","Catalog Record")</f>
        <v>Catalog Record</v>
      </c>
      <c r="AV106" s="5" t="str">
        <f>HYPERLINK("http://www.worldcat.org/oclc/645931","WorldCat Record")</f>
        <v>WorldCat Record</v>
      </c>
      <c r="AW106" s="2" t="s">
        <v>1287</v>
      </c>
      <c r="AX106" s="2" t="s">
        <v>1288</v>
      </c>
      <c r="AY106" s="2" t="s">
        <v>1289</v>
      </c>
      <c r="AZ106" s="2" t="s">
        <v>1289</v>
      </c>
      <c r="BA106" s="2" t="s">
        <v>1290</v>
      </c>
      <c r="BB106" s="2" t="s">
        <v>81</v>
      </c>
      <c r="BE106" s="2" t="s">
        <v>1291</v>
      </c>
      <c r="BF106" s="2" t="s">
        <v>1292</v>
      </c>
    </row>
    <row r="107" spans="1:58" ht="42" customHeight="1">
      <c r="A107" s="1"/>
      <c r="B107" s="1" t="s">
        <v>58</v>
      </c>
      <c r="C107" s="1" t="s">
        <v>59</v>
      </c>
      <c r="D107" s="1" t="s">
        <v>1293</v>
      </c>
      <c r="E107" s="1" t="s">
        <v>1294</v>
      </c>
      <c r="F107" s="1" t="s">
        <v>1295</v>
      </c>
      <c r="H107" s="2" t="s">
        <v>63</v>
      </c>
      <c r="I107" s="2" t="s">
        <v>64</v>
      </c>
      <c r="J107" s="2" t="s">
        <v>63</v>
      </c>
      <c r="K107" s="2" t="s">
        <v>63</v>
      </c>
      <c r="L107" s="2" t="s">
        <v>65</v>
      </c>
      <c r="M107" s="1" t="s">
        <v>1296</v>
      </c>
      <c r="N107" s="1" t="s">
        <v>1297</v>
      </c>
      <c r="O107" s="2" t="s">
        <v>550</v>
      </c>
      <c r="Q107" s="2" t="s">
        <v>70</v>
      </c>
      <c r="R107" s="2" t="s">
        <v>168</v>
      </c>
      <c r="T107" s="2" t="s">
        <v>73</v>
      </c>
      <c r="U107" s="3">
        <v>1</v>
      </c>
      <c r="V107" s="3">
        <v>1</v>
      </c>
      <c r="W107" s="4" t="s">
        <v>1298</v>
      </c>
      <c r="X107" s="4" t="s">
        <v>1298</v>
      </c>
      <c r="Y107" s="4" t="s">
        <v>1258</v>
      </c>
      <c r="Z107" s="4" t="s">
        <v>1258</v>
      </c>
      <c r="AA107" s="3">
        <v>316</v>
      </c>
      <c r="AB107" s="3">
        <v>245</v>
      </c>
      <c r="AC107" s="3">
        <v>253</v>
      </c>
      <c r="AD107" s="3">
        <v>1</v>
      </c>
      <c r="AE107" s="3">
        <v>1</v>
      </c>
      <c r="AF107" s="3">
        <v>8</v>
      </c>
      <c r="AG107" s="3">
        <v>9</v>
      </c>
      <c r="AH107" s="3">
        <v>3</v>
      </c>
      <c r="AI107" s="3">
        <v>3</v>
      </c>
      <c r="AJ107" s="3">
        <v>5</v>
      </c>
      <c r="AK107" s="3">
        <v>5</v>
      </c>
      <c r="AL107" s="3">
        <v>4</v>
      </c>
      <c r="AM107" s="3">
        <v>5</v>
      </c>
      <c r="AN107" s="3">
        <v>0</v>
      </c>
      <c r="AO107" s="3">
        <v>0</v>
      </c>
      <c r="AP107" s="3">
        <v>0</v>
      </c>
      <c r="AQ107" s="3">
        <v>0</v>
      </c>
      <c r="AR107" s="2" t="s">
        <v>63</v>
      </c>
      <c r="AS107" s="2" t="s">
        <v>76</v>
      </c>
      <c r="AT107" s="5" t="str">
        <f>HYPERLINK("http://catalog.hathitrust.org/Record/001556331","HathiTrust Record")</f>
        <v>HathiTrust Record</v>
      </c>
      <c r="AU107" s="5" t="str">
        <f>HYPERLINK("https://creighton-primo.hosted.exlibrisgroup.com/primo-explore/search?tab=default_tab&amp;search_scope=EVERYTHING&amp;vid=01CRU&amp;lang=en_US&amp;offset=0&amp;query=any,contains,991000995759702656","Catalog Record")</f>
        <v>Catalog Record</v>
      </c>
      <c r="AV107" s="5" t="str">
        <f>HYPERLINK("http://www.worldcat.org/oclc/137677","WorldCat Record")</f>
        <v>WorldCat Record</v>
      </c>
      <c r="AW107" s="2" t="s">
        <v>1299</v>
      </c>
      <c r="AX107" s="2" t="s">
        <v>1300</v>
      </c>
      <c r="AY107" s="2" t="s">
        <v>1301</v>
      </c>
      <c r="AZ107" s="2" t="s">
        <v>1301</v>
      </c>
      <c r="BA107" s="2" t="s">
        <v>1302</v>
      </c>
      <c r="BB107" s="2" t="s">
        <v>81</v>
      </c>
      <c r="BD107" s="2" t="s">
        <v>1303</v>
      </c>
      <c r="BE107" s="2" t="s">
        <v>1304</v>
      </c>
      <c r="BF107" s="2" t="s">
        <v>1305</v>
      </c>
    </row>
    <row r="108" spans="1:58" ht="42" customHeight="1">
      <c r="A108" s="1"/>
      <c r="B108" s="1" t="s">
        <v>58</v>
      </c>
      <c r="C108" s="1" t="s">
        <v>59</v>
      </c>
      <c r="D108" s="1" t="s">
        <v>1306</v>
      </c>
      <c r="E108" s="1" t="s">
        <v>1307</v>
      </c>
      <c r="F108" s="1" t="s">
        <v>1308</v>
      </c>
      <c r="G108" s="2" t="s">
        <v>165</v>
      </c>
      <c r="H108" s="2" t="s">
        <v>63</v>
      </c>
      <c r="I108" s="2" t="s">
        <v>64</v>
      </c>
      <c r="J108" s="2" t="s">
        <v>63</v>
      </c>
      <c r="K108" s="2" t="s">
        <v>63</v>
      </c>
      <c r="L108" s="2" t="s">
        <v>65</v>
      </c>
      <c r="N108" s="1" t="s">
        <v>1309</v>
      </c>
      <c r="O108" s="2" t="s">
        <v>863</v>
      </c>
      <c r="Q108" s="2" t="s">
        <v>70</v>
      </c>
      <c r="R108" s="2" t="s">
        <v>1310</v>
      </c>
      <c r="S108" s="1" t="s">
        <v>1311</v>
      </c>
      <c r="T108" s="2" t="s">
        <v>73</v>
      </c>
      <c r="U108" s="3">
        <v>4</v>
      </c>
      <c r="V108" s="3">
        <v>4</v>
      </c>
      <c r="W108" s="4" t="s">
        <v>1312</v>
      </c>
      <c r="X108" s="4" t="s">
        <v>1312</v>
      </c>
      <c r="Y108" s="4" t="s">
        <v>1313</v>
      </c>
      <c r="Z108" s="4" t="s">
        <v>1313</v>
      </c>
      <c r="AA108" s="3">
        <v>175</v>
      </c>
      <c r="AB108" s="3">
        <v>125</v>
      </c>
      <c r="AC108" s="3">
        <v>128</v>
      </c>
      <c r="AD108" s="3">
        <v>1</v>
      </c>
      <c r="AE108" s="3">
        <v>1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2" t="s">
        <v>63</v>
      </c>
      <c r="AS108" s="2" t="s">
        <v>76</v>
      </c>
      <c r="AT108" s="5" t="str">
        <f>HYPERLINK("http://catalog.hathitrust.org/Record/000905354","HathiTrust Record")</f>
        <v>HathiTrust Record</v>
      </c>
      <c r="AU108" s="5" t="str">
        <f>HYPERLINK("https://creighton-primo.hosted.exlibrisgroup.com/primo-explore/search?tab=default_tab&amp;search_scope=EVERYTHING&amp;vid=01CRU&amp;lang=en_US&amp;offset=0&amp;query=any,contains,991001191359702656","Catalog Record")</f>
        <v>Catalog Record</v>
      </c>
      <c r="AV108" s="5" t="str">
        <f>HYPERLINK("http://www.worldcat.org/oclc/16228059","WorldCat Record")</f>
        <v>WorldCat Record</v>
      </c>
      <c r="AW108" s="2" t="s">
        <v>1314</v>
      </c>
      <c r="AX108" s="2" t="s">
        <v>1315</v>
      </c>
      <c r="AY108" s="2" t="s">
        <v>1316</v>
      </c>
      <c r="AZ108" s="2" t="s">
        <v>1316</v>
      </c>
      <c r="BA108" s="2" t="s">
        <v>1317</v>
      </c>
      <c r="BB108" s="2" t="s">
        <v>81</v>
      </c>
      <c r="BD108" s="2" t="s">
        <v>1318</v>
      </c>
      <c r="BE108" s="2" t="s">
        <v>1319</v>
      </c>
      <c r="BF108" s="2" t="s">
        <v>1320</v>
      </c>
    </row>
    <row r="109" spans="1:58" ht="42" customHeight="1">
      <c r="A109" s="1"/>
      <c r="B109" s="1" t="s">
        <v>58</v>
      </c>
      <c r="C109" s="1" t="s">
        <v>59</v>
      </c>
      <c r="D109" s="1" t="s">
        <v>1321</v>
      </c>
      <c r="E109" s="1" t="s">
        <v>1322</v>
      </c>
      <c r="F109" s="1" t="s">
        <v>1323</v>
      </c>
      <c r="H109" s="2" t="s">
        <v>63</v>
      </c>
      <c r="I109" s="2" t="s">
        <v>64</v>
      </c>
      <c r="J109" s="2" t="s">
        <v>63</v>
      </c>
      <c r="K109" s="2" t="s">
        <v>63</v>
      </c>
      <c r="L109" s="2" t="s">
        <v>65</v>
      </c>
      <c r="N109" s="1" t="s">
        <v>1324</v>
      </c>
      <c r="O109" s="2" t="s">
        <v>494</v>
      </c>
      <c r="Q109" s="2" t="s">
        <v>70</v>
      </c>
      <c r="R109" s="2" t="s">
        <v>648</v>
      </c>
      <c r="S109" s="1" t="s">
        <v>1325</v>
      </c>
      <c r="T109" s="2" t="s">
        <v>73</v>
      </c>
      <c r="U109" s="3">
        <v>2</v>
      </c>
      <c r="V109" s="3">
        <v>2</v>
      </c>
      <c r="W109" s="4" t="s">
        <v>1326</v>
      </c>
      <c r="X109" s="4" t="s">
        <v>1326</v>
      </c>
      <c r="Y109" s="4" t="s">
        <v>1327</v>
      </c>
      <c r="Z109" s="4" t="s">
        <v>1327</v>
      </c>
      <c r="AA109" s="3">
        <v>189</v>
      </c>
      <c r="AB109" s="3">
        <v>114</v>
      </c>
      <c r="AC109" s="3">
        <v>206</v>
      </c>
      <c r="AD109" s="3">
        <v>2</v>
      </c>
      <c r="AE109" s="3">
        <v>3</v>
      </c>
      <c r="AF109" s="3">
        <v>4</v>
      </c>
      <c r="AG109" s="3">
        <v>8</v>
      </c>
      <c r="AH109" s="3">
        <v>1</v>
      </c>
      <c r="AI109" s="3">
        <v>3</v>
      </c>
      <c r="AJ109" s="3">
        <v>2</v>
      </c>
      <c r="AK109" s="3">
        <v>3</v>
      </c>
      <c r="AL109" s="3">
        <v>1</v>
      </c>
      <c r="AM109" s="3">
        <v>3</v>
      </c>
      <c r="AN109" s="3">
        <v>1</v>
      </c>
      <c r="AO109" s="3">
        <v>2</v>
      </c>
      <c r="AP109" s="3">
        <v>0</v>
      </c>
      <c r="AQ109" s="3">
        <v>0</v>
      </c>
      <c r="AR109" s="2" t="s">
        <v>63</v>
      </c>
      <c r="AS109" s="2" t="s">
        <v>63</v>
      </c>
      <c r="AU109" s="5" t="str">
        <f>HYPERLINK("https://creighton-primo.hosted.exlibrisgroup.com/primo-explore/search?tab=default_tab&amp;search_scope=EVERYTHING&amp;vid=01CRU&amp;lang=en_US&amp;offset=0&amp;query=any,contains,991000407209702656","Catalog Record")</f>
        <v>Catalog Record</v>
      </c>
      <c r="AV109" s="5" t="str">
        <f>HYPERLINK("http://www.worldcat.org/oclc/54966711","WorldCat Record")</f>
        <v>WorldCat Record</v>
      </c>
      <c r="AW109" s="2" t="s">
        <v>1328</v>
      </c>
      <c r="AX109" s="2" t="s">
        <v>1329</v>
      </c>
      <c r="AY109" s="2" t="s">
        <v>1330</v>
      </c>
      <c r="AZ109" s="2" t="s">
        <v>1330</v>
      </c>
      <c r="BA109" s="2" t="s">
        <v>1331</v>
      </c>
      <c r="BB109" s="2" t="s">
        <v>81</v>
      </c>
      <c r="BD109" s="2" t="s">
        <v>1332</v>
      </c>
      <c r="BE109" s="2" t="s">
        <v>1333</v>
      </c>
      <c r="BF109" s="2" t="s">
        <v>1334</v>
      </c>
    </row>
    <row r="110" spans="1:58" ht="42" customHeight="1">
      <c r="A110" s="1"/>
      <c r="B110" s="1" t="s">
        <v>58</v>
      </c>
      <c r="C110" s="1" t="s">
        <v>59</v>
      </c>
      <c r="D110" s="1" t="s">
        <v>1335</v>
      </c>
      <c r="E110" s="1" t="s">
        <v>1336</v>
      </c>
      <c r="F110" s="1" t="s">
        <v>1337</v>
      </c>
      <c r="H110" s="2" t="s">
        <v>63</v>
      </c>
      <c r="I110" s="2" t="s">
        <v>64</v>
      </c>
      <c r="J110" s="2" t="s">
        <v>63</v>
      </c>
      <c r="K110" s="2" t="s">
        <v>63</v>
      </c>
      <c r="L110" s="2" t="s">
        <v>65</v>
      </c>
      <c r="N110" s="1" t="s">
        <v>1324</v>
      </c>
      <c r="O110" s="2" t="s">
        <v>494</v>
      </c>
      <c r="Q110" s="2" t="s">
        <v>70</v>
      </c>
      <c r="R110" s="2" t="s">
        <v>648</v>
      </c>
      <c r="S110" s="1" t="s">
        <v>1338</v>
      </c>
      <c r="T110" s="2" t="s">
        <v>73</v>
      </c>
      <c r="U110" s="3">
        <v>0</v>
      </c>
      <c r="V110" s="3">
        <v>0</v>
      </c>
      <c r="W110" s="4" t="s">
        <v>1339</v>
      </c>
      <c r="X110" s="4" t="s">
        <v>1339</v>
      </c>
      <c r="Y110" s="4" t="s">
        <v>1084</v>
      </c>
      <c r="Z110" s="4" t="s">
        <v>1084</v>
      </c>
      <c r="AA110" s="3">
        <v>191</v>
      </c>
      <c r="AB110" s="3">
        <v>128</v>
      </c>
      <c r="AC110" s="3">
        <v>212</v>
      </c>
      <c r="AD110" s="3">
        <v>1</v>
      </c>
      <c r="AE110" s="3">
        <v>3</v>
      </c>
      <c r="AF110" s="3">
        <v>1</v>
      </c>
      <c r="AG110" s="3">
        <v>5</v>
      </c>
      <c r="AH110" s="3">
        <v>0</v>
      </c>
      <c r="AI110" s="3">
        <v>2</v>
      </c>
      <c r="AJ110" s="3">
        <v>1</v>
      </c>
      <c r="AK110" s="3">
        <v>1</v>
      </c>
      <c r="AL110" s="3">
        <v>1</v>
      </c>
      <c r="AM110" s="3">
        <v>2</v>
      </c>
      <c r="AN110" s="3">
        <v>0</v>
      </c>
      <c r="AO110" s="3">
        <v>2</v>
      </c>
      <c r="AP110" s="3">
        <v>0</v>
      </c>
      <c r="AQ110" s="3">
        <v>0</v>
      </c>
      <c r="AR110" s="2" t="s">
        <v>63</v>
      </c>
      <c r="AS110" s="2" t="s">
        <v>63</v>
      </c>
      <c r="AU110" s="5" t="str">
        <f>HYPERLINK("https://creighton-primo.hosted.exlibrisgroup.com/primo-explore/search?tab=default_tab&amp;search_scope=EVERYTHING&amp;vid=01CRU&amp;lang=en_US&amp;offset=0&amp;query=any,contains,991000406309702656","Catalog Record")</f>
        <v>Catalog Record</v>
      </c>
      <c r="AV110" s="5" t="str">
        <f>HYPERLINK("http://www.worldcat.org/oclc/53477897","WorldCat Record")</f>
        <v>WorldCat Record</v>
      </c>
      <c r="AW110" s="2" t="s">
        <v>1340</v>
      </c>
      <c r="AX110" s="2" t="s">
        <v>1341</v>
      </c>
      <c r="AY110" s="2" t="s">
        <v>1342</v>
      </c>
      <c r="AZ110" s="2" t="s">
        <v>1342</v>
      </c>
      <c r="BA110" s="2" t="s">
        <v>1343</v>
      </c>
      <c r="BB110" s="2" t="s">
        <v>81</v>
      </c>
      <c r="BD110" s="2" t="s">
        <v>1344</v>
      </c>
      <c r="BE110" s="2" t="s">
        <v>1345</v>
      </c>
      <c r="BF110" s="2" t="s">
        <v>1346</v>
      </c>
    </row>
    <row r="111" spans="1:58" ht="42" customHeight="1">
      <c r="A111" s="1"/>
      <c r="B111" s="1" t="s">
        <v>58</v>
      </c>
      <c r="C111" s="1" t="s">
        <v>59</v>
      </c>
      <c r="D111" s="1" t="s">
        <v>1347</v>
      </c>
      <c r="E111" s="1" t="s">
        <v>1348</v>
      </c>
      <c r="F111" s="1" t="s">
        <v>1349</v>
      </c>
      <c r="H111" s="2" t="s">
        <v>63</v>
      </c>
      <c r="I111" s="2" t="s">
        <v>64</v>
      </c>
      <c r="J111" s="2" t="s">
        <v>63</v>
      </c>
      <c r="K111" s="2" t="s">
        <v>63</v>
      </c>
      <c r="L111" s="2" t="s">
        <v>65</v>
      </c>
      <c r="M111" s="1" t="s">
        <v>1350</v>
      </c>
      <c r="N111" s="1" t="s">
        <v>1351</v>
      </c>
      <c r="O111" s="2" t="s">
        <v>186</v>
      </c>
      <c r="Q111" s="2" t="s">
        <v>70</v>
      </c>
      <c r="R111" s="2" t="s">
        <v>509</v>
      </c>
      <c r="T111" s="2" t="s">
        <v>73</v>
      </c>
      <c r="U111" s="3">
        <v>8</v>
      </c>
      <c r="V111" s="3">
        <v>8</v>
      </c>
      <c r="W111" s="4" t="s">
        <v>1352</v>
      </c>
      <c r="X111" s="4" t="s">
        <v>1352</v>
      </c>
      <c r="Y111" s="4" t="s">
        <v>1353</v>
      </c>
      <c r="Z111" s="4" t="s">
        <v>1353</v>
      </c>
      <c r="AA111" s="3">
        <v>114</v>
      </c>
      <c r="AB111" s="3">
        <v>52</v>
      </c>
      <c r="AC111" s="3">
        <v>98</v>
      </c>
      <c r="AD111" s="3">
        <v>1</v>
      </c>
      <c r="AE111" s="3">
        <v>1</v>
      </c>
      <c r="AF111" s="3">
        <v>0</v>
      </c>
      <c r="AG111" s="3">
        <v>3</v>
      </c>
      <c r="AH111" s="3">
        <v>0</v>
      </c>
      <c r="AI111" s="3">
        <v>2</v>
      </c>
      <c r="AJ111" s="3">
        <v>0</v>
      </c>
      <c r="AK111" s="3">
        <v>2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2" t="s">
        <v>63</v>
      </c>
      <c r="AS111" s="2" t="s">
        <v>76</v>
      </c>
      <c r="AT111" s="5" t="str">
        <f>HYPERLINK("http://catalog.hathitrust.org/Record/001829762","HathiTrust Record")</f>
        <v>HathiTrust Record</v>
      </c>
      <c r="AU111" s="5" t="str">
        <f>HYPERLINK("https://creighton-primo.hosted.exlibrisgroup.com/primo-explore/search?tab=default_tab&amp;search_scope=EVERYTHING&amp;vid=01CRU&amp;lang=en_US&amp;offset=0&amp;query=any,contains,991001367899702656","Catalog Record")</f>
        <v>Catalog Record</v>
      </c>
      <c r="AV111" s="5" t="str">
        <f>HYPERLINK("http://www.worldcat.org/oclc/18990463","WorldCat Record")</f>
        <v>WorldCat Record</v>
      </c>
      <c r="AW111" s="2" t="s">
        <v>1354</v>
      </c>
      <c r="AX111" s="2" t="s">
        <v>1355</v>
      </c>
      <c r="AY111" s="2" t="s">
        <v>1356</v>
      </c>
      <c r="AZ111" s="2" t="s">
        <v>1356</v>
      </c>
      <c r="BA111" s="2" t="s">
        <v>1357</v>
      </c>
      <c r="BB111" s="2" t="s">
        <v>81</v>
      </c>
      <c r="BD111" s="2" t="s">
        <v>1358</v>
      </c>
      <c r="BE111" s="2" t="s">
        <v>1359</v>
      </c>
      <c r="BF111" s="2" t="s">
        <v>1360</v>
      </c>
    </row>
    <row r="112" spans="1:58" ht="42" customHeight="1">
      <c r="A112" s="1"/>
      <c r="B112" s="1" t="s">
        <v>58</v>
      </c>
      <c r="C112" s="1" t="s">
        <v>59</v>
      </c>
      <c r="D112" s="1" t="s">
        <v>1361</v>
      </c>
      <c r="E112" s="1" t="s">
        <v>1362</v>
      </c>
      <c r="F112" s="1" t="s">
        <v>1363</v>
      </c>
      <c r="H112" s="2" t="s">
        <v>63</v>
      </c>
      <c r="I112" s="2" t="s">
        <v>64</v>
      </c>
      <c r="J112" s="2" t="s">
        <v>63</v>
      </c>
      <c r="K112" s="2" t="s">
        <v>63</v>
      </c>
      <c r="L112" s="2" t="s">
        <v>65</v>
      </c>
      <c r="M112" s="1" t="s">
        <v>1364</v>
      </c>
      <c r="N112" s="1" t="s">
        <v>1365</v>
      </c>
      <c r="O112" s="2" t="s">
        <v>230</v>
      </c>
      <c r="Q112" s="2" t="s">
        <v>70</v>
      </c>
      <c r="R112" s="2" t="s">
        <v>360</v>
      </c>
      <c r="T112" s="2" t="s">
        <v>73</v>
      </c>
      <c r="U112" s="3">
        <v>2</v>
      </c>
      <c r="V112" s="3">
        <v>2</v>
      </c>
      <c r="W112" s="4" t="s">
        <v>1366</v>
      </c>
      <c r="X112" s="4" t="s">
        <v>1366</v>
      </c>
      <c r="Y112" s="4" t="s">
        <v>109</v>
      </c>
      <c r="Z112" s="4" t="s">
        <v>109</v>
      </c>
      <c r="AA112" s="3">
        <v>106</v>
      </c>
      <c r="AB112" s="3">
        <v>64</v>
      </c>
      <c r="AC112" s="3">
        <v>78</v>
      </c>
      <c r="AD112" s="3">
        <v>1</v>
      </c>
      <c r="AE112" s="3">
        <v>1</v>
      </c>
      <c r="AF112" s="3">
        <v>1</v>
      </c>
      <c r="AG112" s="3">
        <v>2</v>
      </c>
      <c r="AH112" s="3">
        <v>0</v>
      </c>
      <c r="AI112" s="3">
        <v>0</v>
      </c>
      <c r="AJ112" s="3">
        <v>1</v>
      </c>
      <c r="AK112" s="3">
        <v>2</v>
      </c>
      <c r="AL112" s="3">
        <v>1</v>
      </c>
      <c r="AM112" s="3">
        <v>1</v>
      </c>
      <c r="AN112" s="3">
        <v>0</v>
      </c>
      <c r="AO112" s="3">
        <v>0</v>
      </c>
      <c r="AP112" s="3">
        <v>0</v>
      </c>
      <c r="AQ112" s="3">
        <v>0</v>
      </c>
      <c r="AR112" s="2" t="s">
        <v>63</v>
      </c>
      <c r="AS112" s="2" t="s">
        <v>76</v>
      </c>
      <c r="AT112" s="5" t="str">
        <f>HYPERLINK("http://catalog.hathitrust.org/Record/000271661","HathiTrust Record")</f>
        <v>HathiTrust Record</v>
      </c>
      <c r="AU112" s="5" t="str">
        <f>HYPERLINK("https://creighton-primo.hosted.exlibrisgroup.com/primo-explore/search?tab=default_tab&amp;search_scope=EVERYTHING&amp;vid=01CRU&amp;lang=en_US&amp;offset=0&amp;query=any,contains,991000995689702656","Catalog Record")</f>
        <v>Catalog Record</v>
      </c>
      <c r="AV112" s="5" t="str">
        <f>HYPERLINK("http://www.worldcat.org/oclc/7553235","WorldCat Record")</f>
        <v>WorldCat Record</v>
      </c>
      <c r="AW112" s="2" t="s">
        <v>1367</v>
      </c>
      <c r="AX112" s="2" t="s">
        <v>1368</v>
      </c>
      <c r="AY112" s="2" t="s">
        <v>1369</v>
      </c>
      <c r="AZ112" s="2" t="s">
        <v>1369</v>
      </c>
      <c r="BA112" s="2" t="s">
        <v>1370</v>
      </c>
      <c r="BB112" s="2" t="s">
        <v>81</v>
      </c>
      <c r="BE112" s="2" t="s">
        <v>1371</v>
      </c>
      <c r="BF112" s="2" t="s">
        <v>1372</v>
      </c>
    </row>
    <row r="113" spans="1:58" ht="42" customHeight="1">
      <c r="A113" s="1"/>
      <c r="B113" s="1" t="s">
        <v>58</v>
      </c>
      <c r="C113" s="1" t="s">
        <v>59</v>
      </c>
      <c r="D113" s="1" t="s">
        <v>1373</v>
      </c>
      <c r="E113" s="1" t="s">
        <v>1374</v>
      </c>
      <c r="F113" s="1" t="s">
        <v>1375</v>
      </c>
      <c r="H113" s="2" t="s">
        <v>63</v>
      </c>
      <c r="I113" s="2" t="s">
        <v>64</v>
      </c>
      <c r="J113" s="2" t="s">
        <v>63</v>
      </c>
      <c r="K113" s="2" t="s">
        <v>63</v>
      </c>
      <c r="L113" s="2" t="s">
        <v>65</v>
      </c>
      <c r="N113" s="1" t="s">
        <v>1376</v>
      </c>
      <c r="O113" s="2" t="s">
        <v>136</v>
      </c>
      <c r="Q113" s="2" t="s">
        <v>70</v>
      </c>
      <c r="R113" s="2" t="s">
        <v>107</v>
      </c>
      <c r="T113" s="2" t="s">
        <v>73</v>
      </c>
      <c r="U113" s="3">
        <v>3</v>
      </c>
      <c r="V113" s="3">
        <v>3</v>
      </c>
      <c r="W113" s="4" t="s">
        <v>1377</v>
      </c>
      <c r="X113" s="4" t="s">
        <v>1377</v>
      </c>
      <c r="Y113" s="4" t="s">
        <v>109</v>
      </c>
      <c r="Z113" s="4" t="s">
        <v>109</v>
      </c>
      <c r="AA113" s="3">
        <v>118</v>
      </c>
      <c r="AB113" s="3">
        <v>67</v>
      </c>
      <c r="AC113" s="3">
        <v>69</v>
      </c>
      <c r="AD113" s="3">
        <v>2</v>
      </c>
      <c r="AE113" s="3">
        <v>2</v>
      </c>
      <c r="AF113" s="3">
        <v>3</v>
      </c>
      <c r="AG113" s="3">
        <v>3</v>
      </c>
      <c r="AH113" s="3">
        <v>0</v>
      </c>
      <c r="AI113" s="3">
        <v>0</v>
      </c>
      <c r="AJ113" s="3">
        <v>1</v>
      </c>
      <c r="AK113" s="3">
        <v>1</v>
      </c>
      <c r="AL113" s="3">
        <v>2</v>
      </c>
      <c r="AM113" s="3">
        <v>2</v>
      </c>
      <c r="AN113" s="3">
        <v>1</v>
      </c>
      <c r="AO113" s="3">
        <v>1</v>
      </c>
      <c r="AP113" s="3">
        <v>0</v>
      </c>
      <c r="AQ113" s="3">
        <v>0</v>
      </c>
      <c r="AR113" s="2" t="s">
        <v>63</v>
      </c>
      <c r="AS113" s="2" t="s">
        <v>76</v>
      </c>
      <c r="AT113" s="5" t="str">
        <f>HYPERLINK("http://catalog.hathitrust.org/Record/000181538","HathiTrust Record")</f>
        <v>HathiTrust Record</v>
      </c>
      <c r="AU113" s="5" t="str">
        <f>HYPERLINK("https://creighton-primo.hosted.exlibrisgroup.com/primo-explore/search?tab=default_tab&amp;search_scope=EVERYTHING&amp;vid=01CRU&amp;lang=en_US&amp;offset=0&amp;query=any,contains,991000996719702656","Catalog Record")</f>
        <v>Catalog Record</v>
      </c>
      <c r="AV113" s="5" t="str">
        <f>HYPERLINK("http://www.worldcat.org/oclc/7614717","WorldCat Record")</f>
        <v>WorldCat Record</v>
      </c>
      <c r="AW113" s="2" t="s">
        <v>1378</v>
      </c>
      <c r="AX113" s="2" t="s">
        <v>1379</v>
      </c>
      <c r="AY113" s="2" t="s">
        <v>1380</v>
      </c>
      <c r="AZ113" s="2" t="s">
        <v>1380</v>
      </c>
      <c r="BA113" s="2" t="s">
        <v>1381</v>
      </c>
      <c r="BB113" s="2" t="s">
        <v>81</v>
      </c>
      <c r="BD113" s="2" t="s">
        <v>1382</v>
      </c>
      <c r="BE113" s="2" t="s">
        <v>1383</v>
      </c>
      <c r="BF113" s="2" t="s">
        <v>1384</v>
      </c>
    </row>
    <row r="114" spans="1:58" ht="42" customHeight="1">
      <c r="A114" s="1"/>
      <c r="B114" s="1" t="s">
        <v>58</v>
      </c>
      <c r="C114" s="1" t="s">
        <v>59</v>
      </c>
      <c r="D114" s="1" t="s">
        <v>1385</v>
      </c>
      <c r="E114" s="1" t="s">
        <v>1386</v>
      </c>
      <c r="F114" s="1" t="s">
        <v>1387</v>
      </c>
      <c r="H114" s="2" t="s">
        <v>63</v>
      </c>
      <c r="I114" s="2" t="s">
        <v>64</v>
      </c>
      <c r="J114" s="2" t="s">
        <v>63</v>
      </c>
      <c r="K114" s="2" t="s">
        <v>63</v>
      </c>
      <c r="L114" s="2" t="s">
        <v>65</v>
      </c>
      <c r="N114" s="1" t="s">
        <v>1388</v>
      </c>
      <c r="O114" s="2" t="s">
        <v>863</v>
      </c>
      <c r="Q114" s="2" t="s">
        <v>70</v>
      </c>
      <c r="R114" s="2" t="s">
        <v>107</v>
      </c>
      <c r="S114" s="1" t="s">
        <v>1389</v>
      </c>
      <c r="T114" s="2" t="s">
        <v>73</v>
      </c>
      <c r="U114" s="3">
        <v>11</v>
      </c>
      <c r="V114" s="3">
        <v>11</v>
      </c>
      <c r="W114" s="4" t="s">
        <v>1366</v>
      </c>
      <c r="X114" s="4" t="s">
        <v>1366</v>
      </c>
      <c r="Y114" s="4" t="s">
        <v>1390</v>
      </c>
      <c r="Z114" s="4" t="s">
        <v>1390</v>
      </c>
      <c r="AA114" s="3">
        <v>142</v>
      </c>
      <c r="AB114" s="3">
        <v>88</v>
      </c>
      <c r="AC114" s="3">
        <v>175</v>
      </c>
      <c r="AD114" s="3">
        <v>2</v>
      </c>
      <c r="AE114" s="3">
        <v>2</v>
      </c>
      <c r="AF114" s="3">
        <v>1</v>
      </c>
      <c r="AG114" s="3">
        <v>4</v>
      </c>
      <c r="AH114" s="3">
        <v>0</v>
      </c>
      <c r="AI114" s="3">
        <v>0</v>
      </c>
      <c r="AJ114" s="3">
        <v>1</v>
      </c>
      <c r="AK114" s="3">
        <v>2</v>
      </c>
      <c r="AL114" s="3">
        <v>1</v>
      </c>
      <c r="AM114" s="3">
        <v>3</v>
      </c>
      <c r="AN114" s="3">
        <v>0</v>
      </c>
      <c r="AO114" s="3">
        <v>0</v>
      </c>
      <c r="AP114" s="3">
        <v>0</v>
      </c>
      <c r="AQ114" s="3">
        <v>0</v>
      </c>
      <c r="AR114" s="2" t="s">
        <v>63</v>
      </c>
      <c r="AS114" s="2" t="s">
        <v>76</v>
      </c>
      <c r="AT114" s="5" t="str">
        <f>HYPERLINK("http://catalog.hathitrust.org/Record/000927871","HathiTrust Record")</f>
        <v>HathiTrust Record</v>
      </c>
      <c r="AU114" s="5" t="str">
        <f>HYPERLINK("https://creighton-primo.hosted.exlibrisgroup.com/primo-explore/search?tab=default_tab&amp;search_scope=EVERYTHING&amp;vid=01CRU&amp;lang=en_US&amp;offset=0&amp;query=any,contains,991001121489702656","Catalog Record")</f>
        <v>Catalog Record</v>
      </c>
      <c r="AV114" s="5" t="str">
        <f>HYPERLINK("http://www.worldcat.org/oclc/18019866","WorldCat Record")</f>
        <v>WorldCat Record</v>
      </c>
      <c r="AW114" s="2" t="s">
        <v>1391</v>
      </c>
      <c r="AX114" s="2" t="s">
        <v>1392</v>
      </c>
      <c r="AY114" s="2" t="s">
        <v>1393</v>
      </c>
      <c r="AZ114" s="2" t="s">
        <v>1393</v>
      </c>
      <c r="BA114" s="2" t="s">
        <v>1394</v>
      </c>
      <c r="BB114" s="2" t="s">
        <v>81</v>
      </c>
      <c r="BD114" s="2" t="s">
        <v>1395</v>
      </c>
      <c r="BE114" s="2" t="s">
        <v>1396</v>
      </c>
      <c r="BF114" s="2" t="s">
        <v>1397</v>
      </c>
    </row>
    <row r="115" spans="1:58" ht="42" customHeight="1">
      <c r="A115" s="1"/>
      <c r="B115" s="1" t="s">
        <v>58</v>
      </c>
      <c r="C115" s="1" t="s">
        <v>59</v>
      </c>
      <c r="D115" s="1" t="s">
        <v>1398</v>
      </c>
      <c r="E115" s="1" t="s">
        <v>1399</v>
      </c>
      <c r="F115" s="1" t="s">
        <v>1400</v>
      </c>
      <c r="H115" s="2" t="s">
        <v>63</v>
      </c>
      <c r="I115" s="2" t="s">
        <v>64</v>
      </c>
      <c r="J115" s="2" t="s">
        <v>63</v>
      </c>
      <c r="K115" s="2" t="s">
        <v>63</v>
      </c>
      <c r="L115" s="2" t="s">
        <v>65</v>
      </c>
      <c r="N115" s="1" t="s">
        <v>1401</v>
      </c>
      <c r="O115" s="2" t="s">
        <v>230</v>
      </c>
      <c r="P115" s="1" t="s">
        <v>1402</v>
      </c>
      <c r="Q115" s="2" t="s">
        <v>70</v>
      </c>
      <c r="R115" s="2" t="s">
        <v>107</v>
      </c>
      <c r="T115" s="2" t="s">
        <v>73</v>
      </c>
      <c r="U115" s="3">
        <v>6</v>
      </c>
      <c r="V115" s="3">
        <v>6</v>
      </c>
      <c r="W115" s="4" t="s">
        <v>1366</v>
      </c>
      <c r="X115" s="4" t="s">
        <v>1366</v>
      </c>
      <c r="Y115" s="4" t="s">
        <v>109</v>
      </c>
      <c r="Z115" s="4" t="s">
        <v>109</v>
      </c>
      <c r="AA115" s="3">
        <v>111</v>
      </c>
      <c r="AB115" s="3">
        <v>57</v>
      </c>
      <c r="AC115" s="3">
        <v>209</v>
      </c>
      <c r="AD115" s="3">
        <v>1</v>
      </c>
      <c r="AE115" s="3">
        <v>1</v>
      </c>
      <c r="AF115" s="3">
        <v>0</v>
      </c>
      <c r="AG115" s="3">
        <v>6</v>
      </c>
      <c r="AH115" s="3">
        <v>0</v>
      </c>
      <c r="AI115" s="3">
        <v>2</v>
      </c>
      <c r="AJ115" s="3">
        <v>0</v>
      </c>
      <c r="AK115" s="3">
        <v>2</v>
      </c>
      <c r="AL115" s="3">
        <v>0</v>
      </c>
      <c r="AM115" s="3">
        <v>4</v>
      </c>
      <c r="AN115" s="3">
        <v>0</v>
      </c>
      <c r="AO115" s="3">
        <v>0</v>
      </c>
      <c r="AP115" s="3">
        <v>0</v>
      </c>
      <c r="AQ115" s="3">
        <v>0</v>
      </c>
      <c r="AR115" s="2" t="s">
        <v>63</v>
      </c>
      <c r="AS115" s="2" t="s">
        <v>76</v>
      </c>
      <c r="AT115" s="5" t="str">
        <f>HYPERLINK("http://catalog.hathitrust.org/Record/000272172","HathiTrust Record")</f>
        <v>HathiTrust Record</v>
      </c>
      <c r="AU115" s="5" t="str">
        <f>HYPERLINK("https://creighton-primo.hosted.exlibrisgroup.com/primo-explore/search?tab=default_tab&amp;search_scope=EVERYTHING&amp;vid=01CRU&amp;lang=en_US&amp;offset=0&amp;query=any,contains,991000996679702656","Catalog Record")</f>
        <v>Catalog Record</v>
      </c>
      <c r="AV115" s="5" t="str">
        <f>HYPERLINK("http://www.worldcat.org/oclc/8170070","WorldCat Record")</f>
        <v>WorldCat Record</v>
      </c>
      <c r="AW115" s="2" t="s">
        <v>1403</v>
      </c>
      <c r="AX115" s="2" t="s">
        <v>1404</v>
      </c>
      <c r="AY115" s="2" t="s">
        <v>1405</v>
      </c>
      <c r="AZ115" s="2" t="s">
        <v>1405</v>
      </c>
      <c r="BA115" s="2" t="s">
        <v>1406</v>
      </c>
      <c r="BB115" s="2" t="s">
        <v>81</v>
      </c>
      <c r="BD115" s="2" t="s">
        <v>1407</v>
      </c>
      <c r="BE115" s="2" t="s">
        <v>1408</v>
      </c>
      <c r="BF115" s="2" t="s">
        <v>1409</v>
      </c>
    </row>
    <row r="116" spans="1:58" ht="42" customHeight="1">
      <c r="A116" s="1"/>
      <c r="B116" s="1" t="s">
        <v>58</v>
      </c>
      <c r="C116" s="1" t="s">
        <v>59</v>
      </c>
      <c r="D116" s="1" t="s">
        <v>1410</v>
      </c>
      <c r="E116" s="1" t="s">
        <v>1411</v>
      </c>
      <c r="F116" s="1" t="s">
        <v>1412</v>
      </c>
      <c r="H116" s="2" t="s">
        <v>63</v>
      </c>
      <c r="I116" s="2" t="s">
        <v>64</v>
      </c>
      <c r="J116" s="2" t="s">
        <v>63</v>
      </c>
      <c r="K116" s="2" t="s">
        <v>63</v>
      </c>
      <c r="L116" s="2" t="s">
        <v>65</v>
      </c>
      <c r="N116" s="1" t="s">
        <v>1413</v>
      </c>
      <c r="O116" s="2" t="s">
        <v>757</v>
      </c>
      <c r="P116" s="1" t="s">
        <v>69</v>
      </c>
      <c r="Q116" s="2" t="s">
        <v>70</v>
      </c>
      <c r="R116" s="2" t="s">
        <v>107</v>
      </c>
      <c r="T116" s="2" t="s">
        <v>73</v>
      </c>
      <c r="U116" s="3">
        <v>4</v>
      </c>
      <c r="V116" s="3">
        <v>4</v>
      </c>
      <c r="W116" s="4" t="s">
        <v>1366</v>
      </c>
      <c r="X116" s="4" t="s">
        <v>1366</v>
      </c>
      <c r="Y116" s="4" t="s">
        <v>301</v>
      </c>
      <c r="Z116" s="4" t="s">
        <v>301</v>
      </c>
      <c r="AA116" s="3">
        <v>171</v>
      </c>
      <c r="AB116" s="3">
        <v>112</v>
      </c>
      <c r="AC116" s="3">
        <v>232</v>
      </c>
      <c r="AD116" s="3">
        <v>1</v>
      </c>
      <c r="AE116" s="3">
        <v>1</v>
      </c>
      <c r="AF116" s="3">
        <v>4</v>
      </c>
      <c r="AG116" s="3">
        <v>6</v>
      </c>
      <c r="AH116" s="3">
        <v>1</v>
      </c>
      <c r="AI116" s="3">
        <v>2</v>
      </c>
      <c r="AJ116" s="3">
        <v>2</v>
      </c>
      <c r="AK116" s="3">
        <v>2</v>
      </c>
      <c r="AL116" s="3">
        <v>3</v>
      </c>
      <c r="AM116" s="3">
        <v>4</v>
      </c>
      <c r="AN116" s="3">
        <v>0</v>
      </c>
      <c r="AO116" s="3">
        <v>0</v>
      </c>
      <c r="AP116" s="3">
        <v>0</v>
      </c>
      <c r="AQ116" s="3">
        <v>0</v>
      </c>
      <c r="AR116" s="2" t="s">
        <v>63</v>
      </c>
      <c r="AS116" s="2" t="s">
        <v>76</v>
      </c>
      <c r="AT116" s="5" t="str">
        <f>HYPERLINK("http://catalog.hathitrust.org/Record/000227050","HathiTrust Record")</f>
        <v>HathiTrust Record</v>
      </c>
      <c r="AU116" s="5" t="str">
        <f>HYPERLINK("https://creighton-primo.hosted.exlibrisgroup.com/primo-explore/search?tab=default_tab&amp;search_scope=EVERYTHING&amp;vid=01CRU&amp;lang=en_US&amp;offset=0&amp;query=any,contains,991000748849702656","Catalog Record")</f>
        <v>Catalog Record</v>
      </c>
      <c r="AV116" s="5" t="str">
        <f>HYPERLINK("http://www.worldcat.org/oclc/7795078","WorldCat Record")</f>
        <v>WorldCat Record</v>
      </c>
      <c r="AW116" s="2" t="s">
        <v>1414</v>
      </c>
      <c r="AX116" s="2" t="s">
        <v>1415</v>
      </c>
      <c r="AY116" s="2" t="s">
        <v>1416</v>
      </c>
      <c r="AZ116" s="2" t="s">
        <v>1416</v>
      </c>
      <c r="BA116" s="2" t="s">
        <v>1417</v>
      </c>
      <c r="BB116" s="2" t="s">
        <v>81</v>
      </c>
      <c r="BD116" s="2" t="s">
        <v>1418</v>
      </c>
      <c r="BE116" s="2" t="s">
        <v>1419</v>
      </c>
      <c r="BF116" s="2" t="s">
        <v>1420</v>
      </c>
    </row>
    <row r="117" spans="1:58" ht="42" customHeight="1">
      <c r="A117" s="1"/>
      <c r="B117" s="1" t="s">
        <v>58</v>
      </c>
      <c r="C117" s="1" t="s">
        <v>59</v>
      </c>
      <c r="D117" s="1" t="s">
        <v>1421</v>
      </c>
      <c r="E117" s="1" t="s">
        <v>1422</v>
      </c>
      <c r="F117" s="1" t="s">
        <v>1423</v>
      </c>
      <c r="H117" s="2" t="s">
        <v>63</v>
      </c>
      <c r="I117" s="2" t="s">
        <v>64</v>
      </c>
      <c r="J117" s="2" t="s">
        <v>63</v>
      </c>
      <c r="K117" s="2" t="s">
        <v>63</v>
      </c>
      <c r="L117" s="2" t="s">
        <v>65</v>
      </c>
      <c r="N117" s="1" t="s">
        <v>1424</v>
      </c>
      <c r="O117" s="2" t="s">
        <v>314</v>
      </c>
      <c r="Q117" s="2" t="s">
        <v>70</v>
      </c>
      <c r="R117" s="2" t="s">
        <v>648</v>
      </c>
      <c r="S117" s="1" t="s">
        <v>1425</v>
      </c>
      <c r="T117" s="2" t="s">
        <v>73</v>
      </c>
      <c r="U117" s="3">
        <v>4</v>
      </c>
      <c r="V117" s="3">
        <v>4</v>
      </c>
      <c r="W117" s="4" t="s">
        <v>1426</v>
      </c>
      <c r="X117" s="4" t="s">
        <v>1426</v>
      </c>
      <c r="Y117" s="4" t="s">
        <v>1427</v>
      </c>
      <c r="Z117" s="4" t="s">
        <v>1427</v>
      </c>
      <c r="AA117" s="3">
        <v>146</v>
      </c>
      <c r="AB117" s="3">
        <v>100</v>
      </c>
      <c r="AC117" s="3">
        <v>202</v>
      </c>
      <c r="AD117" s="3">
        <v>1</v>
      </c>
      <c r="AE117" s="3">
        <v>3</v>
      </c>
      <c r="AF117" s="3">
        <v>2</v>
      </c>
      <c r="AG117" s="3">
        <v>6</v>
      </c>
      <c r="AH117" s="3">
        <v>0</v>
      </c>
      <c r="AI117" s="3">
        <v>1</v>
      </c>
      <c r="AJ117" s="3">
        <v>0</v>
      </c>
      <c r="AK117" s="3">
        <v>1</v>
      </c>
      <c r="AL117" s="3">
        <v>2</v>
      </c>
      <c r="AM117" s="3">
        <v>3</v>
      </c>
      <c r="AN117" s="3">
        <v>0</v>
      </c>
      <c r="AO117" s="3">
        <v>2</v>
      </c>
      <c r="AP117" s="3">
        <v>0</v>
      </c>
      <c r="AQ117" s="3">
        <v>0</v>
      </c>
      <c r="AR117" s="2" t="s">
        <v>63</v>
      </c>
      <c r="AS117" s="2" t="s">
        <v>63</v>
      </c>
      <c r="AU117" s="5" t="str">
        <f>HYPERLINK("https://creighton-primo.hosted.exlibrisgroup.com/primo-explore/search?tab=default_tab&amp;search_scope=EVERYTHING&amp;vid=01CRU&amp;lang=en_US&amp;offset=0&amp;query=any,contains,991001533329702656","Catalog Record")</f>
        <v>Catalog Record</v>
      </c>
      <c r="AV117" s="5" t="str">
        <f>HYPERLINK("http://www.worldcat.org/oclc/39170391","WorldCat Record")</f>
        <v>WorldCat Record</v>
      </c>
      <c r="AW117" s="2" t="s">
        <v>1428</v>
      </c>
      <c r="AX117" s="2" t="s">
        <v>1429</v>
      </c>
      <c r="AY117" s="2" t="s">
        <v>1430</v>
      </c>
      <c r="AZ117" s="2" t="s">
        <v>1430</v>
      </c>
      <c r="BA117" s="2" t="s">
        <v>1431</v>
      </c>
      <c r="BB117" s="2" t="s">
        <v>81</v>
      </c>
      <c r="BD117" s="2" t="s">
        <v>1432</v>
      </c>
      <c r="BE117" s="2" t="s">
        <v>1433</v>
      </c>
      <c r="BF117" s="2" t="s">
        <v>1434</v>
      </c>
    </row>
    <row r="118" spans="1:58" ht="42" customHeight="1">
      <c r="A118" s="1"/>
      <c r="B118" s="1" t="s">
        <v>58</v>
      </c>
      <c r="C118" s="1" t="s">
        <v>59</v>
      </c>
      <c r="D118" s="1" t="s">
        <v>1435</v>
      </c>
      <c r="E118" s="1" t="s">
        <v>1436</v>
      </c>
      <c r="F118" s="1" t="s">
        <v>1437</v>
      </c>
      <c r="H118" s="2" t="s">
        <v>63</v>
      </c>
      <c r="I118" s="2" t="s">
        <v>64</v>
      </c>
      <c r="J118" s="2" t="s">
        <v>63</v>
      </c>
      <c r="K118" s="2" t="s">
        <v>63</v>
      </c>
      <c r="L118" s="2" t="s">
        <v>65</v>
      </c>
      <c r="N118" s="1" t="s">
        <v>1438</v>
      </c>
      <c r="O118" s="2" t="s">
        <v>863</v>
      </c>
      <c r="Q118" s="2" t="s">
        <v>70</v>
      </c>
      <c r="R118" s="2" t="s">
        <v>71</v>
      </c>
      <c r="T118" s="2" t="s">
        <v>73</v>
      </c>
      <c r="U118" s="3">
        <v>9</v>
      </c>
      <c r="V118" s="3">
        <v>9</v>
      </c>
      <c r="W118" s="4" t="s">
        <v>1439</v>
      </c>
      <c r="X118" s="4" t="s">
        <v>1439</v>
      </c>
      <c r="Y118" s="4" t="s">
        <v>1440</v>
      </c>
      <c r="Z118" s="4" t="s">
        <v>1440</v>
      </c>
      <c r="AA118" s="3">
        <v>118</v>
      </c>
      <c r="AB118" s="3">
        <v>83</v>
      </c>
      <c r="AC118" s="3">
        <v>129</v>
      </c>
      <c r="AD118" s="3">
        <v>1</v>
      </c>
      <c r="AE118" s="3">
        <v>1</v>
      </c>
      <c r="AF118" s="3">
        <v>1</v>
      </c>
      <c r="AG118" s="3">
        <v>4</v>
      </c>
      <c r="AH118" s="3">
        <v>0</v>
      </c>
      <c r="AI118" s="3">
        <v>2</v>
      </c>
      <c r="AJ118" s="3">
        <v>0</v>
      </c>
      <c r="AK118" s="3">
        <v>2</v>
      </c>
      <c r="AL118" s="3">
        <v>1</v>
      </c>
      <c r="AM118" s="3">
        <v>1</v>
      </c>
      <c r="AN118" s="3">
        <v>0</v>
      </c>
      <c r="AO118" s="3">
        <v>0</v>
      </c>
      <c r="AP118" s="3">
        <v>0</v>
      </c>
      <c r="AQ118" s="3">
        <v>0</v>
      </c>
      <c r="AR118" s="2" t="s">
        <v>63</v>
      </c>
      <c r="AS118" s="2" t="s">
        <v>76</v>
      </c>
      <c r="AT118" s="5" t="str">
        <f>HYPERLINK("http://catalog.hathitrust.org/Record/000911043","HathiTrust Record")</f>
        <v>HathiTrust Record</v>
      </c>
      <c r="AU118" s="5" t="str">
        <f>HYPERLINK("https://creighton-primo.hosted.exlibrisgroup.com/primo-explore/search?tab=default_tab&amp;search_scope=EVERYTHING&amp;vid=01CRU&amp;lang=en_US&amp;offset=0&amp;query=any,contains,991001421379702656","Catalog Record")</f>
        <v>Catalog Record</v>
      </c>
      <c r="AV118" s="5" t="str">
        <f>HYPERLINK("http://www.worldcat.org/oclc/16128827","WorldCat Record")</f>
        <v>WorldCat Record</v>
      </c>
      <c r="AW118" s="2" t="s">
        <v>1441</v>
      </c>
      <c r="AX118" s="2" t="s">
        <v>1442</v>
      </c>
      <c r="AY118" s="2" t="s">
        <v>1443</v>
      </c>
      <c r="AZ118" s="2" t="s">
        <v>1443</v>
      </c>
      <c r="BA118" s="2" t="s">
        <v>1444</v>
      </c>
      <c r="BB118" s="2" t="s">
        <v>81</v>
      </c>
      <c r="BD118" s="2" t="s">
        <v>1445</v>
      </c>
      <c r="BE118" s="2" t="s">
        <v>1446</v>
      </c>
      <c r="BF118" s="2" t="s">
        <v>1447</v>
      </c>
    </row>
    <row r="119" spans="1:58" ht="42" customHeight="1">
      <c r="A119" s="1"/>
      <c r="B119" s="1" t="s">
        <v>58</v>
      </c>
      <c r="C119" s="1" t="s">
        <v>59</v>
      </c>
      <c r="D119" s="1" t="s">
        <v>1448</v>
      </c>
      <c r="E119" s="1" t="s">
        <v>1449</v>
      </c>
      <c r="F119" s="1" t="s">
        <v>1450</v>
      </c>
      <c r="H119" s="2" t="s">
        <v>63</v>
      </c>
      <c r="I119" s="2" t="s">
        <v>64</v>
      </c>
      <c r="J119" s="2" t="s">
        <v>63</v>
      </c>
      <c r="K119" s="2" t="s">
        <v>63</v>
      </c>
      <c r="L119" s="2" t="s">
        <v>65</v>
      </c>
      <c r="N119" s="1" t="s">
        <v>1451</v>
      </c>
      <c r="O119" s="2" t="s">
        <v>314</v>
      </c>
      <c r="Q119" s="2" t="s">
        <v>70</v>
      </c>
      <c r="R119" s="2" t="s">
        <v>422</v>
      </c>
      <c r="S119" s="1" t="s">
        <v>1452</v>
      </c>
      <c r="T119" s="2" t="s">
        <v>73</v>
      </c>
      <c r="U119" s="3">
        <v>7</v>
      </c>
      <c r="V119" s="3">
        <v>7</v>
      </c>
      <c r="W119" s="4" t="s">
        <v>1453</v>
      </c>
      <c r="X119" s="4" t="s">
        <v>1453</v>
      </c>
      <c r="Y119" s="4" t="s">
        <v>1454</v>
      </c>
      <c r="Z119" s="4" t="s">
        <v>1454</v>
      </c>
      <c r="AA119" s="3">
        <v>182</v>
      </c>
      <c r="AB119" s="3">
        <v>138</v>
      </c>
      <c r="AC119" s="3">
        <v>163</v>
      </c>
      <c r="AD119" s="3">
        <v>1</v>
      </c>
      <c r="AE119" s="3">
        <v>1</v>
      </c>
      <c r="AF119" s="3">
        <v>4</v>
      </c>
      <c r="AG119" s="3">
        <v>6</v>
      </c>
      <c r="AH119" s="3">
        <v>0</v>
      </c>
      <c r="AI119" s="3">
        <v>1</v>
      </c>
      <c r="AJ119" s="3">
        <v>3</v>
      </c>
      <c r="AK119" s="3">
        <v>3</v>
      </c>
      <c r="AL119" s="3">
        <v>3</v>
      </c>
      <c r="AM119" s="3">
        <v>5</v>
      </c>
      <c r="AN119" s="3">
        <v>0</v>
      </c>
      <c r="AO119" s="3">
        <v>0</v>
      </c>
      <c r="AP119" s="3">
        <v>0</v>
      </c>
      <c r="AQ119" s="3">
        <v>0</v>
      </c>
      <c r="AR119" s="2" t="s">
        <v>63</v>
      </c>
      <c r="AS119" s="2" t="s">
        <v>63</v>
      </c>
      <c r="AU119" s="5" t="str">
        <f>HYPERLINK("https://creighton-primo.hosted.exlibrisgroup.com/primo-explore/search?tab=default_tab&amp;search_scope=EVERYTHING&amp;vid=01CRU&amp;lang=en_US&amp;offset=0&amp;query=any,contains,991000794989702656","Catalog Record")</f>
        <v>Catalog Record</v>
      </c>
      <c r="AV119" s="5" t="str">
        <f>HYPERLINK("http://www.worldcat.org/oclc/39727963","WorldCat Record")</f>
        <v>WorldCat Record</v>
      </c>
      <c r="AW119" s="2" t="s">
        <v>1455</v>
      </c>
      <c r="AX119" s="2" t="s">
        <v>1456</v>
      </c>
      <c r="AY119" s="2" t="s">
        <v>1457</v>
      </c>
      <c r="AZ119" s="2" t="s">
        <v>1457</v>
      </c>
      <c r="BA119" s="2" t="s">
        <v>1458</v>
      </c>
      <c r="BB119" s="2" t="s">
        <v>81</v>
      </c>
      <c r="BD119" s="2" t="s">
        <v>1459</v>
      </c>
      <c r="BE119" s="2" t="s">
        <v>1460</v>
      </c>
      <c r="BF119" s="2" t="s">
        <v>1461</v>
      </c>
    </row>
    <row r="120" spans="1:58" ht="42" customHeight="1">
      <c r="A120" s="1"/>
      <c r="B120" s="1" t="s">
        <v>58</v>
      </c>
      <c r="C120" s="1" t="s">
        <v>59</v>
      </c>
      <c r="D120" s="1" t="s">
        <v>1462</v>
      </c>
      <c r="E120" s="1" t="s">
        <v>1463</v>
      </c>
      <c r="F120" s="1" t="s">
        <v>1464</v>
      </c>
      <c r="H120" s="2" t="s">
        <v>63</v>
      </c>
      <c r="I120" s="2" t="s">
        <v>64</v>
      </c>
      <c r="J120" s="2" t="s">
        <v>63</v>
      </c>
      <c r="K120" s="2" t="s">
        <v>63</v>
      </c>
      <c r="L120" s="2" t="s">
        <v>65</v>
      </c>
      <c r="N120" s="1" t="s">
        <v>1465</v>
      </c>
      <c r="O120" s="2" t="s">
        <v>215</v>
      </c>
      <c r="Q120" s="2" t="s">
        <v>70</v>
      </c>
      <c r="R120" s="2" t="s">
        <v>509</v>
      </c>
      <c r="S120" s="1" t="s">
        <v>1466</v>
      </c>
      <c r="T120" s="2" t="s">
        <v>73</v>
      </c>
      <c r="U120" s="3">
        <v>7</v>
      </c>
      <c r="V120" s="3">
        <v>7</v>
      </c>
      <c r="W120" s="4" t="s">
        <v>1191</v>
      </c>
      <c r="X120" s="4" t="s">
        <v>1191</v>
      </c>
      <c r="Y120" s="4" t="s">
        <v>109</v>
      </c>
      <c r="Z120" s="4" t="s">
        <v>109</v>
      </c>
      <c r="AA120" s="3">
        <v>233</v>
      </c>
      <c r="AB120" s="3">
        <v>166</v>
      </c>
      <c r="AC120" s="3">
        <v>167</v>
      </c>
      <c r="AD120" s="3">
        <v>2</v>
      </c>
      <c r="AE120" s="3">
        <v>2</v>
      </c>
      <c r="AF120" s="3">
        <v>6</v>
      </c>
      <c r="AG120" s="3">
        <v>6</v>
      </c>
      <c r="AH120" s="3">
        <v>3</v>
      </c>
      <c r="AI120" s="3">
        <v>3</v>
      </c>
      <c r="AJ120" s="3">
        <v>1</v>
      </c>
      <c r="AK120" s="3">
        <v>1</v>
      </c>
      <c r="AL120" s="3">
        <v>2</v>
      </c>
      <c r="AM120" s="3">
        <v>2</v>
      </c>
      <c r="AN120" s="3">
        <v>1</v>
      </c>
      <c r="AO120" s="3">
        <v>1</v>
      </c>
      <c r="AP120" s="3">
        <v>0</v>
      </c>
      <c r="AQ120" s="3">
        <v>0</v>
      </c>
      <c r="AR120" s="2" t="s">
        <v>63</v>
      </c>
      <c r="AS120" s="2" t="s">
        <v>76</v>
      </c>
      <c r="AT120" s="5" t="str">
        <f>HYPERLINK("http://catalog.hathitrust.org/Record/000578271","HathiTrust Record")</f>
        <v>HathiTrust Record</v>
      </c>
      <c r="AU120" s="5" t="str">
        <f>HYPERLINK("https://creighton-primo.hosted.exlibrisgroup.com/primo-explore/search?tab=default_tab&amp;search_scope=EVERYTHING&amp;vid=01CRU&amp;lang=en_US&amp;offset=0&amp;query=any,contains,991000996389702656","Catalog Record")</f>
        <v>Catalog Record</v>
      </c>
      <c r="AV120" s="5" t="str">
        <f>HYPERLINK("http://www.worldcat.org/oclc/10849736","WorldCat Record")</f>
        <v>WorldCat Record</v>
      </c>
      <c r="AW120" s="2" t="s">
        <v>1467</v>
      </c>
      <c r="AX120" s="2" t="s">
        <v>1468</v>
      </c>
      <c r="AY120" s="2" t="s">
        <v>1469</v>
      </c>
      <c r="AZ120" s="2" t="s">
        <v>1469</v>
      </c>
      <c r="BA120" s="2" t="s">
        <v>1470</v>
      </c>
      <c r="BB120" s="2" t="s">
        <v>81</v>
      </c>
      <c r="BD120" s="2" t="s">
        <v>1471</v>
      </c>
      <c r="BE120" s="2" t="s">
        <v>1472</v>
      </c>
      <c r="BF120" s="2" t="s">
        <v>1473</v>
      </c>
    </row>
    <row r="121" spans="1:58" ht="42" customHeight="1">
      <c r="A121" s="1"/>
      <c r="B121" s="1" t="s">
        <v>58</v>
      </c>
      <c r="C121" s="1" t="s">
        <v>59</v>
      </c>
      <c r="D121" s="1" t="s">
        <v>1474</v>
      </c>
      <c r="E121" s="1" t="s">
        <v>1475</v>
      </c>
      <c r="F121" s="1" t="s">
        <v>1476</v>
      </c>
      <c r="H121" s="2" t="s">
        <v>63</v>
      </c>
      <c r="I121" s="2" t="s">
        <v>64</v>
      </c>
      <c r="J121" s="2" t="s">
        <v>63</v>
      </c>
      <c r="K121" s="2" t="s">
        <v>63</v>
      </c>
      <c r="L121" s="2" t="s">
        <v>65</v>
      </c>
      <c r="M121" s="1" t="s">
        <v>1477</v>
      </c>
      <c r="N121" s="1" t="s">
        <v>1478</v>
      </c>
      <c r="O121" s="2" t="s">
        <v>1479</v>
      </c>
      <c r="Q121" s="2" t="s">
        <v>70</v>
      </c>
      <c r="R121" s="2" t="s">
        <v>744</v>
      </c>
      <c r="T121" s="2" t="s">
        <v>73</v>
      </c>
      <c r="U121" s="3">
        <v>3</v>
      </c>
      <c r="V121" s="3">
        <v>3</v>
      </c>
      <c r="W121" s="4" t="s">
        <v>1480</v>
      </c>
      <c r="X121" s="4" t="s">
        <v>1480</v>
      </c>
      <c r="Y121" s="4" t="s">
        <v>1258</v>
      </c>
      <c r="Z121" s="4" t="s">
        <v>1258</v>
      </c>
      <c r="AA121" s="3">
        <v>198</v>
      </c>
      <c r="AB121" s="3">
        <v>131</v>
      </c>
      <c r="AC121" s="3">
        <v>133</v>
      </c>
      <c r="AD121" s="3">
        <v>2</v>
      </c>
      <c r="AE121" s="3">
        <v>2</v>
      </c>
      <c r="AF121" s="3">
        <v>4</v>
      </c>
      <c r="AG121" s="3">
        <v>4</v>
      </c>
      <c r="AH121" s="3">
        <v>1</v>
      </c>
      <c r="AI121" s="3">
        <v>1</v>
      </c>
      <c r="AJ121" s="3">
        <v>0</v>
      </c>
      <c r="AK121" s="3">
        <v>0</v>
      </c>
      <c r="AL121" s="3">
        <v>2</v>
      </c>
      <c r="AM121" s="3">
        <v>2</v>
      </c>
      <c r="AN121" s="3">
        <v>1</v>
      </c>
      <c r="AO121" s="3">
        <v>1</v>
      </c>
      <c r="AP121" s="3">
        <v>0</v>
      </c>
      <c r="AQ121" s="3">
        <v>0</v>
      </c>
      <c r="AR121" s="2" t="s">
        <v>63</v>
      </c>
      <c r="AS121" s="2" t="s">
        <v>76</v>
      </c>
      <c r="AT121" s="5" t="str">
        <f>HYPERLINK("http://catalog.hathitrust.org/Record/002066339","HathiTrust Record")</f>
        <v>HathiTrust Record</v>
      </c>
      <c r="AU121" s="5" t="str">
        <f>HYPERLINK("https://creighton-primo.hosted.exlibrisgroup.com/primo-explore/search?tab=default_tab&amp;search_scope=EVERYTHING&amp;vid=01CRU&amp;lang=en_US&amp;offset=0&amp;query=any,contains,991000996309702656","Catalog Record")</f>
        <v>Catalog Record</v>
      </c>
      <c r="AV121" s="5" t="str">
        <f>HYPERLINK("http://www.worldcat.org/oclc/2399517","WorldCat Record")</f>
        <v>WorldCat Record</v>
      </c>
      <c r="AW121" s="2" t="s">
        <v>1481</v>
      </c>
      <c r="AX121" s="2" t="s">
        <v>1482</v>
      </c>
      <c r="AY121" s="2" t="s">
        <v>1483</v>
      </c>
      <c r="AZ121" s="2" t="s">
        <v>1483</v>
      </c>
      <c r="BA121" s="2" t="s">
        <v>1484</v>
      </c>
      <c r="BB121" s="2" t="s">
        <v>81</v>
      </c>
      <c r="BE121" s="2" t="s">
        <v>1485</v>
      </c>
      <c r="BF121" s="2" t="s">
        <v>1486</v>
      </c>
    </row>
    <row r="122" spans="1:58" ht="42" customHeight="1">
      <c r="A122" s="1"/>
      <c r="B122" s="1" t="s">
        <v>58</v>
      </c>
      <c r="C122" s="1" t="s">
        <v>59</v>
      </c>
      <c r="D122" s="1" t="s">
        <v>1487</v>
      </c>
      <c r="E122" s="1" t="s">
        <v>1488</v>
      </c>
      <c r="F122" s="1" t="s">
        <v>1489</v>
      </c>
      <c r="H122" s="2" t="s">
        <v>63</v>
      </c>
      <c r="I122" s="2" t="s">
        <v>64</v>
      </c>
      <c r="J122" s="2" t="s">
        <v>63</v>
      </c>
      <c r="K122" s="2" t="s">
        <v>63</v>
      </c>
      <c r="L122" s="2" t="s">
        <v>65</v>
      </c>
      <c r="M122" s="1" t="s">
        <v>1490</v>
      </c>
      <c r="N122" s="1" t="s">
        <v>1491</v>
      </c>
      <c r="O122" s="2" t="s">
        <v>1285</v>
      </c>
      <c r="Q122" s="2" t="s">
        <v>70</v>
      </c>
      <c r="R122" s="2" t="s">
        <v>422</v>
      </c>
      <c r="T122" s="2" t="s">
        <v>73</v>
      </c>
      <c r="U122" s="3">
        <v>7</v>
      </c>
      <c r="V122" s="3">
        <v>7</v>
      </c>
      <c r="W122" s="4" t="s">
        <v>1492</v>
      </c>
      <c r="X122" s="4" t="s">
        <v>1492</v>
      </c>
      <c r="Y122" s="4" t="s">
        <v>1258</v>
      </c>
      <c r="Z122" s="4" t="s">
        <v>1258</v>
      </c>
      <c r="AA122" s="3">
        <v>257</v>
      </c>
      <c r="AB122" s="3">
        <v>187</v>
      </c>
      <c r="AC122" s="3">
        <v>189</v>
      </c>
      <c r="AD122" s="3">
        <v>2</v>
      </c>
      <c r="AE122" s="3">
        <v>2</v>
      </c>
      <c r="AF122" s="3">
        <v>5</v>
      </c>
      <c r="AG122" s="3">
        <v>5</v>
      </c>
      <c r="AH122" s="3">
        <v>0</v>
      </c>
      <c r="AI122" s="3">
        <v>0</v>
      </c>
      <c r="AJ122" s="3">
        <v>3</v>
      </c>
      <c r="AK122" s="3">
        <v>3</v>
      </c>
      <c r="AL122" s="3">
        <v>2</v>
      </c>
      <c r="AM122" s="3">
        <v>2</v>
      </c>
      <c r="AN122" s="3">
        <v>1</v>
      </c>
      <c r="AO122" s="3">
        <v>1</v>
      </c>
      <c r="AP122" s="3">
        <v>0</v>
      </c>
      <c r="AQ122" s="3">
        <v>0</v>
      </c>
      <c r="AR122" s="2" t="s">
        <v>63</v>
      </c>
      <c r="AS122" s="2" t="s">
        <v>76</v>
      </c>
      <c r="AT122" s="5" t="str">
        <f>HYPERLINK("http://catalog.hathitrust.org/Record/001562064","HathiTrust Record")</f>
        <v>HathiTrust Record</v>
      </c>
      <c r="AU122" s="5" t="str">
        <f>HYPERLINK("https://creighton-primo.hosted.exlibrisgroup.com/primo-explore/search?tab=default_tab&amp;search_scope=EVERYTHING&amp;vid=01CRU&amp;lang=en_US&amp;offset=0&amp;query=any,contains,991000996349702656","Catalog Record")</f>
        <v>Catalog Record</v>
      </c>
      <c r="AV122" s="5" t="str">
        <f>HYPERLINK("http://www.worldcat.org/oclc/570367","WorldCat Record")</f>
        <v>WorldCat Record</v>
      </c>
      <c r="AW122" s="2" t="s">
        <v>1493</v>
      </c>
      <c r="AX122" s="2" t="s">
        <v>1494</v>
      </c>
      <c r="AY122" s="2" t="s">
        <v>1495</v>
      </c>
      <c r="AZ122" s="2" t="s">
        <v>1495</v>
      </c>
      <c r="BA122" s="2" t="s">
        <v>1496</v>
      </c>
      <c r="BB122" s="2" t="s">
        <v>81</v>
      </c>
      <c r="BE122" s="2" t="s">
        <v>1497</v>
      </c>
      <c r="BF122" s="2" t="s">
        <v>1498</v>
      </c>
    </row>
    <row r="123" spans="1:58" ht="42" customHeight="1">
      <c r="A123" s="1"/>
      <c r="B123" s="1" t="s">
        <v>58</v>
      </c>
      <c r="C123" s="1" t="s">
        <v>59</v>
      </c>
      <c r="D123" s="1" t="s">
        <v>1499</v>
      </c>
      <c r="E123" s="1" t="s">
        <v>1500</v>
      </c>
      <c r="F123" s="1" t="s">
        <v>1501</v>
      </c>
      <c r="H123" s="2" t="s">
        <v>63</v>
      </c>
      <c r="I123" s="2" t="s">
        <v>64</v>
      </c>
      <c r="J123" s="2" t="s">
        <v>63</v>
      </c>
      <c r="K123" s="2" t="s">
        <v>63</v>
      </c>
      <c r="L123" s="2" t="s">
        <v>65</v>
      </c>
      <c r="M123" s="1" t="s">
        <v>1502</v>
      </c>
      <c r="N123" s="1" t="s">
        <v>1503</v>
      </c>
      <c r="O123" s="2" t="s">
        <v>90</v>
      </c>
      <c r="Q123" s="2" t="s">
        <v>70</v>
      </c>
      <c r="R123" s="2" t="s">
        <v>1504</v>
      </c>
      <c r="T123" s="2" t="s">
        <v>73</v>
      </c>
      <c r="U123" s="3">
        <v>3</v>
      </c>
      <c r="V123" s="3">
        <v>3</v>
      </c>
      <c r="W123" s="4" t="s">
        <v>1505</v>
      </c>
      <c r="X123" s="4" t="s">
        <v>1505</v>
      </c>
      <c r="Y123" s="4" t="s">
        <v>1506</v>
      </c>
      <c r="Z123" s="4" t="s">
        <v>1506</v>
      </c>
      <c r="AA123" s="3">
        <v>14</v>
      </c>
      <c r="AB123" s="3">
        <v>11</v>
      </c>
      <c r="AC123" s="3">
        <v>13</v>
      </c>
      <c r="AD123" s="3">
        <v>1</v>
      </c>
      <c r="AE123" s="3">
        <v>1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2" t="s">
        <v>63</v>
      </c>
      <c r="AS123" s="2" t="s">
        <v>76</v>
      </c>
      <c r="AT123" s="5" t="str">
        <f>HYPERLINK("http://catalog.hathitrust.org/Record/003949998","HathiTrust Record")</f>
        <v>HathiTrust Record</v>
      </c>
      <c r="AU123" s="5" t="str">
        <f>HYPERLINK("https://creighton-primo.hosted.exlibrisgroup.com/primo-explore/search?tab=default_tab&amp;search_scope=EVERYTHING&amp;vid=01CRU&amp;lang=en_US&amp;offset=0&amp;query=any,contains,991001029479702656","Catalog Record")</f>
        <v>Catalog Record</v>
      </c>
      <c r="AV123" s="5" t="str">
        <f>HYPERLINK("http://www.worldcat.org/oclc/25195802","WorldCat Record")</f>
        <v>WorldCat Record</v>
      </c>
      <c r="AW123" s="2" t="s">
        <v>1507</v>
      </c>
      <c r="AX123" s="2" t="s">
        <v>1508</v>
      </c>
      <c r="AY123" s="2" t="s">
        <v>1509</v>
      </c>
      <c r="AZ123" s="2" t="s">
        <v>1509</v>
      </c>
      <c r="BA123" s="2" t="s">
        <v>1510</v>
      </c>
      <c r="BB123" s="2" t="s">
        <v>81</v>
      </c>
      <c r="BD123" s="2" t="s">
        <v>1511</v>
      </c>
      <c r="BE123" s="2" t="s">
        <v>1512</v>
      </c>
      <c r="BF123" s="2" t="s">
        <v>1513</v>
      </c>
    </row>
    <row r="124" spans="1:58" ht="42" customHeight="1">
      <c r="A124" s="1"/>
      <c r="B124" s="1" t="s">
        <v>58</v>
      </c>
      <c r="C124" s="1" t="s">
        <v>59</v>
      </c>
      <c r="D124" s="1" t="s">
        <v>1514</v>
      </c>
      <c r="E124" s="1" t="s">
        <v>1515</v>
      </c>
      <c r="F124" s="1" t="s">
        <v>1516</v>
      </c>
      <c r="H124" s="2" t="s">
        <v>63</v>
      </c>
      <c r="I124" s="2" t="s">
        <v>64</v>
      </c>
      <c r="J124" s="2" t="s">
        <v>63</v>
      </c>
      <c r="K124" s="2" t="s">
        <v>63</v>
      </c>
      <c r="L124" s="2" t="s">
        <v>65</v>
      </c>
      <c r="M124" s="1" t="s">
        <v>1517</v>
      </c>
      <c r="O124" s="2" t="s">
        <v>230</v>
      </c>
      <c r="Q124" s="2" t="s">
        <v>70</v>
      </c>
      <c r="R124" s="2" t="s">
        <v>153</v>
      </c>
      <c r="T124" s="2" t="s">
        <v>73</v>
      </c>
      <c r="U124" s="3">
        <v>3</v>
      </c>
      <c r="V124" s="3">
        <v>3</v>
      </c>
      <c r="W124" s="4" t="s">
        <v>1492</v>
      </c>
      <c r="X124" s="4" t="s">
        <v>1492</v>
      </c>
      <c r="Y124" s="4" t="s">
        <v>109</v>
      </c>
      <c r="Z124" s="4" t="s">
        <v>109</v>
      </c>
      <c r="AA124" s="3">
        <v>16</v>
      </c>
      <c r="AB124" s="3">
        <v>13</v>
      </c>
      <c r="AC124" s="3">
        <v>15</v>
      </c>
      <c r="AD124" s="3">
        <v>1</v>
      </c>
      <c r="AE124" s="3">
        <v>1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2" t="s">
        <v>63</v>
      </c>
      <c r="AS124" s="2" t="s">
        <v>76</v>
      </c>
      <c r="AT124" s="5" t="str">
        <f>HYPERLINK("http://catalog.hathitrust.org/Record/003950014","HathiTrust Record")</f>
        <v>HathiTrust Record</v>
      </c>
      <c r="AU124" s="5" t="str">
        <f>HYPERLINK("https://creighton-primo.hosted.exlibrisgroup.com/primo-explore/search?tab=default_tab&amp;search_scope=EVERYTHING&amp;vid=01CRU&amp;lang=en_US&amp;offset=0&amp;query=any,contains,991000996269702656","Catalog Record")</f>
        <v>Catalog Record</v>
      </c>
      <c r="AV124" s="5" t="str">
        <f>HYPERLINK("http://www.worldcat.org/oclc/9668483","WorldCat Record")</f>
        <v>WorldCat Record</v>
      </c>
      <c r="AW124" s="2" t="s">
        <v>1518</v>
      </c>
      <c r="AX124" s="2" t="s">
        <v>1519</v>
      </c>
      <c r="AY124" s="2" t="s">
        <v>1520</v>
      </c>
      <c r="AZ124" s="2" t="s">
        <v>1520</v>
      </c>
      <c r="BA124" s="2" t="s">
        <v>1521</v>
      </c>
      <c r="BB124" s="2" t="s">
        <v>81</v>
      </c>
      <c r="BE124" s="2" t="s">
        <v>1522</v>
      </c>
      <c r="BF124" s="2" t="s">
        <v>1523</v>
      </c>
    </row>
    <row r="125" spans="1:58" ht="42" customHeight="1">
      <c r="A125" s="1"/>
      <c r="B125" s="1" t="s">
        <v>58</v>
      </c>
      <c r="C125" s="1" t="s">
        <v>59</v>
      </c>
      <c r="D125" s="1" t="s">
        <v>1524</v>
      </c>
      <c r="E125" s="1" t="s">
        <v>1525</v>
      </c>
      <c r="F125" s="1" t="s">
        <v>1526</v>
      </c>
      <c r="H125" s="2" t="s">
        <v>63</v>
      </c>
      <c r="I125" s="2" t="s">
        <v>64</v>
      </c>
      <c r="J125" s="2" t="s">
        <v>63</v>
      </c>
      <c r="K125" s="2" t="s">
        <v>63</v>
      </c>
      <c r="L125" s="2" t="s">
        <v>65</v>
      </c>
      <c r="M125" s="1" t="s">
        <v>1527</v>
      </c>
      <c r="N125" s="1" t="s">
        <v>1528</v>
      </c>
      <c r="O125" s="2" t="s">
        <v>863</v>
      </c>
      <c r="Q125" s="2" t="s">
        <v>70</v>
      </c>
      <c r="R125" s="2" t="s">
        <v>1504</v>
      </c>
      <c r="T125" s="2" t="s">
        <v>73</v>
      </c>
      <c r="U125" s="3">
        <v>2</v>
      </c>
      <c r="V125" s="3">
        <v>2</v>
      </c>
      <c r="W125" s="4" t="s">
        <v>1492</v>
      </c>
      <c r="X125" s="4" t="s">
        <v>1492</v>
      </c>
      <c r="Y125" s="4" t="s">
        <v>1529</v>
      </c>
      <c r="Z125" s="4" t="s">
        <v>1529</v>
      </c>
      <c r="AA125" s="3">
        <v>13</v>
      </c>
      <c r="AB125" s="3">
        <v>10</v>
      </c>
      <c r="AC125" s="3">
        <v>12</v>
      </c>
      <c r="AD125" s="3">
        <v>1</v>
      </c>
      <c r="AE125" s="3">
        <v>1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2" t="s">
        <v>63</v>
      </c>
      <c r="AS125" s="2" t="s">
        <v>76</v>
      </c>
      <c r="AT125" s="5" t="str">
        <f>HYPERLINK("http://catalog.hathitrust.org/Record/003950015","HathiTrust Record")</f>
        <v>HathiTrust Record</v>
      </c>
      <c r="AU125" s="5" t="str">
        <f>HYPERLINK("https://creighton-primo.hosted.exlibrisgroup.com/primo-explore/search?tab=default_tab&amp;search_scope=EVERYTHING&amp;vid=01CRU&amp;lang=en_US&amp;offset=0&amp;query=any,contains,991001102729702656","Catalog Record")</f>
        <v>Catalog Record</v>
      </c>
      <c r="AV125" s="5" t="str">
        <f>HYPERLINK("http://www.worldcat.org/oclc/18171129","WorldCat Record")</f>
        <v>WorldCat Record</v>
      </c>
      <c r="AW125" s="2" t="s">
        <v>1530</v>
      </c>
      <c r="AX125" s="2" t="s">
        <v>1531</v>
      </c>
      <c r="AY125" s="2" t="s">
        <v>1532</v>
      </c>
      <c r="AZ125" s="2" t="s">
        <v>1532</v>
      </c>
      <c r="BA125" s="2" t="s">
        <v>1533</v>
      </c>
      <c r="BB125" s="2" t="s">
        <v>81</v>
      </c>
      <c r="BD125" s="2" t="s">
        <v>1534</v>
      </c>
      <c r="BE125" s="2" t="s">
        <v>1535</v>
      </c>
      <c r="BF125" s="2" t="s">
        <v>1536</v>
      </c>
    </row>
    <row r="126" spans="1:58" ht="42" customHeight="1">
      <c r="A126" s="1"/>
      <c r="B126" s="1" t="s">
        <v>58</v>
      </c>
      <c r="C126" s="1" t="s">
        <v>59</v>
      </c>
      <c r="D126" s="1" t="s">
        <v>1537</v>
      </c>
      <c r="E126" s="1" t="s">
        <v>1538</v>
      </c>
      <c r="F126" s="1" t="s">
        <v>1539</v>
      </c>
      <c r="H126" s="2" t="s">
        <v>63</v>
      </c>
      <c r="I126" s="2" t="s">
        <v>64</v>
      </c>
      <c r="J126" s="2" t="s">
        <v>63</v>
      </c>
      <c r="K126" s="2" t="s">
        <v>63</v>
      </c>
      <c r="L126" s="2" t="s">
        <v>65</v>
      </c>
      <c r="M126" s="1" t="s">
        <v>1540</v>
      </c>
      <c r="N126" s="1" t="s">
        <v>1541</v>
      </c>
      <c r="O126" s="2" t="s">
        <v>550</v>
      </c>
      <c r="Q126" s="2" t="s">
        <v>70</v>
      </c>
      <c r="R126" s="2" t="s">
        <v>729</v>
      </c>
      <c r="T126" s="2" t="s">
        <v>73</v>
      </c>
      <c r="U126" s="3">
        <v>4</v>
      </c>
      <c r="V126" s="3">
        <v>4</v>
      </c>
      <c r="W126" s="4" t="s">
        <v>138</v>
      </c>
      <c r="X126" s="4" t="s">
        <v>138</v>
      </c>
      <c r="Y126" s="4" t="s">
        <v>1258</v>
      </c>
      <c r="Z126" s="4" t="s">
        <v>1258</v>
      </c>
      <c r="AA126" s="3">
        <v>164</v>
      </c>
      <c r="AB126" s="3">
        <v>125</v>
      </c>
      <c r="AC126" s="3">
        <v>128</v>
      </c>
      <c r="AD126" s="3">
        <v>2</v>
      </c>
      <c r="AE126" s="3">
        <v>2</v>
      </c>
      <c r="AF126" s="3">
        <v>2</v>
      </c>
      <c r="AG126" s="3">
        <v>2</v>
      </c>
      <c r="AH126" s="3">
        <v>0</v>
      </c>
      <c r="AI126" s="3">
        <v>0</v>
      </c>
      <c r="AJ126" s="3">
        <v>1</v>
      </c>
      <c r="AK126" s="3">
        <v>1</v>
      </c>
      <c r="AL126" s="3">
        <v>1</v>
      </c>
      <c r="AM126" s="3">
        <v>1</v>
      </c>
      <c r="AN126" s="3">
        <v>1</v>
      </c>
      <c r="AO126" s="3">
        <v>1</v>
      </c>
      <c r="AP126" s="3">
        <v>0</v>
      </c>
      <c r="AQ126" s="3">
        <v>0</v>
      </c>
      <c r="AR126" s="2" t="s">
        <v>63</v>
      </c>
      <c r="AS126" s="2" t="s">
        <v>76</v>
      </c>
      <c r="AT126" s="5" t="str">
        <f>HYPERLINK("http://catalog.hathitrust.org/Record/001562128","HathiTrust Record")</f>
        <v>HathiTrust Record</v>
      </c>
      <c r="AU126" s="5" t="str">
        <f>HYPERLINK("https://creighton-primo.hosted.exlibrisgroup.com/primo-explore/search?tab=default_tab&amp;search_scope=EVERYTHING&amp;vid=01CRU&amp;lang=en_US&amp;offset=0&amp;query=any,contains,991000996129702656","Catalog Record")</f>
        <v>Catalog Record</v>
      </c>
      <c r="AV126" s="5" t="str">
        <f>HYPERLINK("http://www.worldcat.org/oclc/141614","WorldCat Record")</f>
        <v>WorldCat Record</v>
      </c>
      <c r="AW126" s="2" t="s">
        <v>1542</v>
      </c>
      <c r="AX126" s="2" t="s">
        <v>1543</v>
      </c>
      <c r="AY126" s="2" t="s">
        <v>1544</v>
      </c>
      <c r="AZ126" s="2" t="s">
        <v>1544</v>
      </c>
      <c r="BA126" s="2" t="s">
        <v>1545</v>
      </c>
      <c r="BB126" s="2" t="s">
        <v>81</v>
      </c>
      <c r="BE126" s="2" t="s">
        <v>1546</v>
      </c>
      <c r="BF126" s="2" t="s">
        <v>1547</v>
      </c>
    </row>
    <row r="127" spans="1:58" ht="42" customHeight="1">
      <c r="A127" s="1"/>
      <c r="B127" s="1" t="s">
        <v>58</v>
      </c>
      <c r="C127" s="1" t="s">
        <v>59</v>
      </c>
      <c r="D127" s="1" t="s">
        <v>1548</v>
      </c>
      <c r="E127" s="1" t="s">
        <v>1549</v>
      </c>
      <c r="F127" s="1" t="s">
        <v>1550</v>
      </c>
      <c r="H127" s="2" t="s">
        <v>63</v>
      </c>
      <c r="I127" s="2" t="s">
        <v>64</v>
      </c>
      <c r="J127" s="2" t="s">
        <v>63</v>
      </c>
      <c r="K127" s="2" t="s">
        <v>63</v>
      </c>
      <c r="L127" s="2" t="s">
        <v>65</v>
      </c>
      <c r="N127" s="1" t="s">
        <v>1309</v>
      </c>
      <c r="O127" s="2" t="s">
        <v>863</v>
      </c>
      <c r="Q127" s="2" t="s">
        <v>70</v>
      </c>
      <c r="R127" s="2" t="s">
        <v>107</v>
      </c>
      <c r="T127" s="2" t="s">
        <v>73</v>
      </c>
      <c r="U127" s="3">
        <v>7</v>
      </c>
      <c r="V127" s="3">
        <v>7</v>
      </c>
      <c r="W127" s="4" t="s">
        <v>1551</v>
      </c>
      <c r="X127" s="4" t="s">
        <v>1551</v>
      </c>
      <c r="Y127" s="4" t="s">
        <v>1552</v>
      </c>
      <c r="Z127" s="4" t="s">
        <v>1552</v>
      </c>
      <c r="AA127" s="3">
        <v>140</v>
      </c>
      <c r="AB127" s="3">
        <v>102</v>
      </c>
      <c r="AC127" s="3">
        <v>125</v>
      </c>
      <c r="AD127" s="3">
        <v>2</v>
      </c>
      <c r="AE127" s="3">
        <v>2</v>
      </c>
      <c r="AF127" s="3">
        <v>4</v>
      </c>
      <c r="AG127" s="3">
        <v>4</v>
      </c>
      <c r="AH127" s="3">
        <v>0</v>
      </c>
      <c r="AI127" s="3">
        <v>0</v>
      </c>
      <c r="AJ127" s="3">
        <v>1</v>
      </c>
      <c r="AK127" s="3">
        <v>1</v>
      </c>
      <c r="AL127" s="3">
        <v>3</v>
      </c>
      <c r="AM127" s="3">
        <v>3</v>
      </c>
      <c r="AN127" s="3">
        <v>1</v>
      </c>
      <c r="AO127" s="3">
        <v>1</v>
      </c>
      <c r="AP127" s="3">
        <v>0</v>
      </c>
      <c r="AQ127" s="3">
        <v>0</v>
      </c>
      <c r="AR127" s="2" t="s">
        <v>63</v>
      </c>
      <c r="AS127" s="2" t="s">
        <v>63</v>
      </c>
      <c r="AU127" s="5" t="str">
        <f>HYPERLINK("https://creighton-primo.hosted.exlibrisgroup.com/primo-explore/search?tab=default_tab&amp;search_scope=EVERYTHING&amp;vid=01CRU&amp;lang=en_US&amp;offset=0&amp;query=any,contains,991001107359702656","Catalog Record")</f>
        <v>Catalog Record</v>
      </c>
      <c r="AV127" s="5" t="str">
        <f>HYPERLINK("http://www.worldcat.org/oclc/16718642","WorldCat Record")</f>
        <v>WorldCat Record</v>
      </c>
      <c r="AW127" s="2" t="s">
        <v>1553</v>
      </c>
      <c r="AX127" s="2" t="s">
        <v>1554</v>
      </c>
      <c r="AY127" s="2" t="s">
        <v>1555</v>
      </c>
      <c r="AZ127" s="2" t="s">
        <v>1555</v>
      </c>
      <c r="BA127" s="2" t="s">
        <v>1556</v>
      </c>
      <c r="BB127" s="2" t="s">
        <v>81</v>
      </c>
      <c r="BD127" s="2" t="s">
        <v>1557</v>
      </c>
      <c r="BE127" s="2" t="s">
        <v>1558</v>
      </c>
      <c r="BF127" s="2" t="s">
        <v>1559</v>
      </c>
    </row>
    <row r="128" spans="1:58" ht="42" customHeight="1">
      <c r="A128" s="1"/>
      <c r="B128" s="1" t="s">
        <v>58</v>
      </c>
      <c r="C128" s="1" t="s">
        <v>59</v>
      </c>
      <c r="D128" s="1" t="s">
        <v>1560</v>
      </c>
      <c r="E128" s="1" t="s">
        <v>1561</v>
      </c>
      <c r="F128" s="1" t="s">
        <v>1562</v>
      </c>
      <c r="H128" s="2" t="s">
        <v>63</v>
      </c>
      <c r="I128" s="2" t="s">
        <v>64</v>
      </c>
      <c r="J128" s="2" t="s">
        <v>63</v>
      </c>
      <c r="K128" s="2" t="s">
        <v>63</v>
      </c>
      <c r="L128" s="2" t="s">
        <v>65</v>
      </c>
      <c r="N128" s="1" t="s">
        <v>1563</v>
      </c>
      <c r="O128" s="2" t="s">
        <v>186</v>
      </c>
      <c r="Q128" s="2" t="s">
        <v>70</v>
      </c>
      <c r="R128" s="2" t="s">
        <v>509</v>
      </c>
      <c r="T128" s="2" t="s">
        <v>73</v>
      </c>
      <c r="U128" s="3">
        <v>5</v>
      </c>
      <c r="V128" s="3">
        <v>5</v>
      </c>
      <c r="W128" s="4" t="s">
        <v>951</v>
      </c>
      <c r="X128" s="4" t="s">
        <v>951</v>
      </c>
      <c r="Y128" s="4" t="s">
        <v>1564</v>
      </c>
      <c r="Z128" s="4" t="s">
        <v>1564</v>
      </c>
      <c r="AA128" s="3">
        <v>70</v>
      </c>
      <c r="AB128" s="3">
        <v>37</v>
      </c>
      <c r="AC128" s="3">
        <v>37</v>
      </c>
      <c r="AD128" s="3">
        <v>1</v>
      </c>
      <c r="AE128" s="3">
        <v>1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2" t="s">
        <v>63</v>
      </c>
      <c r="AS128" s="2" t="s">
        <v>63</v>
      </c>
      <c r="AU128" s="5" t="str">
        <f>HYPERLINK("https://creighton-primo.hosted.exlibrisgroup.com/primo-explore/search?tab=default_tab&amp;search_scope=EVERYTHING&amp;vid=01CRU&amp;lang=en_US&amp;offset=0&amp;query=any,contains,991001383339702656","Catalog Record")</f>
        <v>Catalog Record</v>
      </c>
      <c r="AV128" s="5" t="str">
        <f>HYPERLINK("http://www.worldcat.org/oclc/21166182","WorldCat Record")</f>
        <v>WorldCat Record</v>
      </c>
      <c r="AW128" s="2" t="s">
        <v>1565</v>
      </c>
      <c r="AX128" s="2" t="s">
        <v>1566</v>
      </c>
      <c r="AY128" s="2" t="s">
        <v>1567</v>
      </c>
      <c r="AZ128" s="2" t="s">
        <v>1567</v>
      </c>
      <c r="BA128" s="2" t="s">
        <v>1568</v>
      </c>
      <c r="BB128" s="2" t="s">
        <v>81</v>
      </c>
      <c r="BE128" s="2" t="s">
        <v>1569</v>
      </c>
      <c r="BF128" s="2" t="s">
        <v>1570</v>
      </c>
    </row>
    <row r="129" spans="1:58" ht="42" customHeight="1">
      <c r="A129" s="1"/>
      <c r="B129" s="1" t="s">
        <v>58</v>
      </c>
      <c r="C129" s="1" t="s">
        <v>59</v>
      </c>
      <c r="D129" s="1" t="s">
        <v>1571</v>
      </c>
      <c r="E129" s="1" t="s">
        <v>1572</v>
      </c>
      <c r="F129" s="1" t="s">
        <v>1573</v>
      </c>
      <c r="H129" s="2" t="s">
        <v>63</v>
      </c>
      <c r="I129" s="2" t="s">
        <v>64</v>
      </c>
      <c r="J129" s="2" t="s">
        <v>63</v>
      </c>
      <c r="K129" s="2" t="s">
        <v>63</v>
      </c>
      <c r="L129" s="2" t="s">
        <v>65</v>
      </c>
      <c r="N129" s="1" t="s">
        <v>1574</v>
      </c>
      <c r="O129" s="2" t="s">
        <v>908</v>
      </c>
      <c r="Q129" s="2" t="s">
        <v>70</v>
      </c>
      <c r="R129" s="2" t="s">
        <v>1310</v>
      </c>
      <c r="T129" s="2" t="s">
        <v>73</v>
      </c>
      <c r="U129" s="3">
        <v>9</v>
      </c>
      <c r="V129" s="3">
        <v>9</v>
      </c>
      <c r="W129" s="4" t="s">
        <v>1575</v>
      </c>
      <c r="X129" s="4" t="s">
        <v>1575</v>
      </c>
      <c r="Y129" s="4" t="s">
        <v>1576</v>
      </c>
      <c r="Z129" s="4" t="s">
        <v>1576</v>
      </c>
      <c r="AA129" s="3">
        <v>100</v>
      </c>
      <c r="AB129" s="3">
        <v>65</v>
      </c>
      <c r="AC129" s="3">
        <v>101</v>
      </c>
      <c r="AD129" s="3">
        <v>1</v>
      </c>
      <c r="AE129" s="3">
        <v>1</v>
      </c>
      <c r="AF129" s="3">
        <v>1</v>
      </c>
      <c r="AG129" s="3">
        <v>1</v>
      </c>
      <c r="AH129" s="3">
        <v>0</v>
      </c>
      <c r="AI129" s="3">
        <v>0</v>
      </c>
      <c r="AJ129" s="3">
        <v>0</v>
      </c>
      <c r="AK129" s="3">
        <v>0</v>
      </c>
      <c r="AL129" s="3">
        <v>1</v>
      </c>
      <c r="AM129" s="3">
        <v>1</v>
      </c>
      <c r="AN129" s="3">
        <v>0</v>
      </c>
      <c r="AO129" s="3">
        <v>0</v>
      </c>
      <c r="AP129" s="3">
        <v>0</v>
      </c>
      <c r="AQ129" s="3">
        <v>0</v>
      </c>
      <c r="AR129" s="2" t="s">
        <v>63</v>
      </c>
      <c r="AS129" s="2" t="s">
        <v>63</v>
      </c>
      <c r="AU129" s="5" t="str">
        <f>HYPERLINK("https://creighton-primo.hosted.exlibrisgroup.com/primo-explore/search?tab=default_tab&amp;search_scope=EVERYTHING&amp;vid=01CRU&amp;lang=en_US&amp;offset=0&amp;query=any,contains,991000669249702656","Catalog Record")</f>
        <v>Catalog Record</v>
      </c>
      <c r="AV129" s="5" t="str">
        <f>HYPERLINK("http://www.worldcat.org/oclc/26502681","WorldCat Record")</f>
        <v>WorldCat Record</v>
      </c>
      <c r="AW129" s="2" t="s">
        <v>1577</v>
      </c>
      <c r="AX129" s="2" t="s">
        <v>1578</v>
      </c>
      <c r="AY129" s="2" t="s">
        <v>1579</v>
      </c>
      <c r="AZ129" s="2" t="s">
        <v>1579</v>
      </c>
      <c r="BA129" s="2" t="s">
        <v>1580</v>
      </c>
      <c r="BB129" s="2" t="s">
        <v>81</v>
      </c>
      <c r="BD129" s="2" t="s">
        <v>1581</v>
      </c>
      <c r="BE129" s="2" t="s">
        <v>1582</v>
      </c>
      <c r="BF129" s="2" t="s">
        <v>1583</v>
      </c>
    </row>
    <row r="130" spans="1:58" ht="42" customHeight="1">
      <c r="A130" s="1"/>
      <c r="B130" s="1" t="s">
        <v>58</v>
      </c>
      <c r="C130" s="1" t="s">
        <v>59</v>
      </c>
      <c r="D130" s="1" t="s">
        <v>1584</v>
      </c>
      <c r="E130" s="1" t="s">
        <v>1585</v>
      </c>
      <c r="F130" s="1" t="s">
        <v>1586</v>
      </c>
      <c r="H130" s="2" t="s">
        <v>63</v>
      </c>
      <c r="I130" s="2" t="s">
        <v>64</v>
      </c>
      <c r="J130" s="2" t="s">
        <v>63</v>
      </c>
      <c r="K130" s="2" t="s">
        <v>63</v>
      </c>
      <c r="L130" s="2" t="s">
        <v>65</v>
      </c>
      <c r="N130" s="1" t="s">
        <v>1587</v>
      </c>
      <c r="O130" s="2" t="s">
        <v>878</v>
      </c>
      <c r="Q130" s="2" t="s">
        <v>70</v>
      </c>
      <c r="R130" s="2" t="s">
        <v>648</v>
      </c>
      <c r="S130" s="1" t="s">
        <v>1588</v>
      </c>
      <c r="T130" s="2" t="s">
        <v>73</v>
      </c>
      <c r="U130" s="3">
        <v>5</v>
      </c>
      <c r="V130" s="3">
        <v>5</v>
      </c>
      <c r="W130" s="4" t="s">
        <v>1589</v>
      </c>
      <c r="X130" s="4" t="s">
        <v>1589</v>
      </c>
      <c r="Y130" s="4" t="s">
        <v>1590</v>
      </c>
      <c r="Z130" s="4" t="s">
        <v>1590</v>
      </c>
      <c r="AA130" s="3">
        <v>131</v>
      </c>
      <c r="AB130" s="3">
        <v>85</v>
      </c>
      <c r="AC130" s="3">
        <v>147</v>
      </c>
      <c r="AD130" s="3">
        <v>1</v>
      </c>
      <c r="AE130" s="3">
        <v>3</v>
      </c>
      <c r="AF130" s="3">
        <v>0</v>
      </c>
      <c r="AG130" s="3">
        <v>3</v>
      </c>
      <c r="AH130" s="3">
        <v>0</v>
      </c>
      <c r="AI130" s="3">
        <v>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2</v>
      </c>
      <c r="AP130" s="3">
        <v>0</v>
      </c>
      <c r="AQ130" s="3">
        <v>0</v>
      </c>
      <c r="AR130" s="2" t="s">
        <v>63</v>
      </c>
      <c r="AS130" s="2" t="s">
        <v>76</v>
      </c>
      <c r="AT130" s="5" t="str">
        <f>HYPERLINK("http://catalog.hathitrust.org/Record/003168603","HathiTrust Record")</f>
        <v>HathiTrust Record</v>
      </c>
      <c r="AU130" s="5" t="str">
        <f>HYPERLINK("https://creighton-primo.hosted.exlibrisgroup.com/primo-explore/search?tab=default_tab&amp;search_scope=EVERYTHING&amp;vid=01CRU&amp;lang=en_US&amp;offset=0&amp;query=any,contains,991001261339702656","Catalog Record")</f>
        <v>Catalog Record</v>
      </c>
      <c r="AV130" s="5" t="str">
        <f>HYPERLINK("http://www.worldcat.org/oclc/36458245","WorldCat Record")</f>
        <v>WorldCat Record</v>
      </c>
      <c r="AW130" s="2" t="s">
        <v>1591</v>
      </c>
      <c r="AX130" s="2" t="s">
        <v>1592</v>
      </c>
      <c r="AY130" s="2" t="s">
        <v>1593</v>
      </c>
      <c r="AZ130" s="2" t="s">
        <v>1593</v>
      </c>
      <c r="BA130" s="2" t="s">
        <v>1594</v>
      </c>
      <c r="BB130" s="2" t="s">
        <v>81</v>
      </c>
      <c r="BD130" s="2" t="s">
        <v>1595</v>
      </c>
      <c r="BE130" s="2" t="s">
        <v>1596</v>
      </c>
      <c r="BF130" s="2" t="s">
        <v>1597</v>
      </c>
    </row>
    <row r="131" spans="1:58" ht="42" customHeight="1">
      <c r="A131" s="1"/>
      <c r="B131" s="1" t="s">
        <v>58</v>
      </c>
      <c r="C131" s="1" t="s">
        <v>59</v>
      </c>
      <c r="D131" s="1" t="s">
        <v>1598</v>
      </c>
      <c r="E131" s="1" t="s">
        <v>1599</v>
      </c>
      <c r="F131" s="1" t="s">
        <v>1600</v>
      </c>
      <c r="H131" s="2" t="s">
        <v>63</v>
      </c>
      <c r="I131" s="2" t="s">
        <v>64</v>
      </c>
      <c r="J131" s="2" t="s">
        <v>63</v>
      </c>
      <c r="K131" s="2" t="s">
        <v>63</v>
      </c>
      <c r="L131" s="2" t="s">
        <v>65</v>
      </c>
      <c r="M131" s="1" t="s">
        <v>1601</v>
      </c>
      <c r="N131" s="1" t="s">
        <v>1602</v>
      </c>
      <c r="O131" s="2" t="s">
        <v>121</v>
      </c>
      <c r="Q131" s="2" t="s">
        <v>70</v>
      </c>
      <c r="R131" s="2" t="s">
        <v>107</v>
      </c>
      <c r="S131" s="1" t="s">
        <v>1603</v>
      </c>
      <c r="T131" s="2" t="s">
        <v>73</v>
      </c>
      <c r="U131" s="3">
        <v>1</v>
      </c>
      <c r="V131" s="3">
        <v>1</v>
      </c>
      <c r="W131" s="4" t="s">
        <v>1604</v>
      </c>
      <c r="X131" s="4" t="s">
        <v>1604</v>
      </c>
      <c r="Y131" s="4" t="s">
        <v>109</v>
      </c>
      <c r="Z131" s="4" t="s">
        <v>109</v>
      </c>
      <c r="AA131" s="3">
        <v>389</v>
      </c>
      <c r="AB131" s="3">
        <v>296</v>
      </c>
      <c r="AC131" s="3">
        <v>303</v>
      </c>
      <c r="AD131" s="3">
        <v>2</v>
      </c>
      <c r="AE131" s="3">
        <v>2</v>
      </c>
      <c r="AF131" s="3">
        <v>11</v>
      </c>
      <c r="AG131" s="3">
        <v>11</v>
      </c>
      <c r="AH131" s="3">
        <v>2</v>
      </c>
      <c r="AI131" s="3">
        <v>2</v>
      </c>
      <c r="AJ131" s="3">
        <v>5</v>
      </c>
      <c r="AK131" s="3">
        <v>5</v>
      </c>
      <c r="AL131" s="3">
        <v>7</v>
      </c>
      <c r="AM131" s="3">
        <v>7</v>
      </c>
      <c r="AN131" s="3">
        <v>1</v>
      </c>
      <c r="AO131" s="3">
        <v>1</v>
      </c>
      <c r="AP131" s="3">
        <v>0</v>
      </c>
      <c r="AQ131" s="3">
        <v>0</v>
      </c>
      <c r="AR131" s="2" t="s">
        <v>63</v>
      </c>
      <c r="AS131" s="2" t="s">
        <v>76</v>
      </c>
      <c r="AT131" s="5" t="str">
        <f>HYPERLINK("http://catalog.hathitrust.org/Record/000703995","HathiTrust Record")</f>
        <v>HathiTrust Record</v>
      </c>
      <c r="AU131" s="5" t="str">
        <f>HYPERLINK("https://creighton-primo.hosted.exlibrisgroup.com/primo-explore/search?tab=default_tab&amp;search_scope=EVERYTHING&amp;vid=01CRU&amp;lang=en_US&amp;offset=0&amp;query=any,contains,991000996829702656","Catalog Record")</f>
        <v>Catalog Record</v>
      </c>
      <c r="AV131" s="5" t="str">
        <f>HYPERLINK("http://www.worldcat.org/oclc/6195861","WorldCat Record")</f>
        <v>WorldCat Record</v>
      </c>
      <c r="AW131" s="2" t="s">
        <v>1605</v>
      </c>
      <c r="AX131" s="2" t="s">
        <v>1606</v>
      </c>
      <c r="AY131" s="2" t="s">
        <v>1607</v>
      </c>
      <c r="AZ131" s="2" t="s">
        <v>1607</v>
      </c>
      <c r="BA131" s="2" t="s">
        <v>1608</v>
      </c>
      <c r="BB131" s="2" t="s">
        <v>81</v>
      </c>
      <c r="BD131" s="2" t="s">
        <v>1609</v>
      </c>
      <c r="BE131" s="2" t="s">
        <v>1610</v>
      </c>
      <c r="BF131" s="2" t="s">
        <v>1611</v>
      </c>
    </row>
    <row r="132" spans="1:58" ht="42" customHeight="1">
      <c r="A132" s="1"/>
      <c r="B132" s="1" t="s">
        <v>58</v>
      </c>
      <c r="C132" s="1" t="s">
        <v>59</v>
      </c>
      <c r="D132" s="1" t="s">
        <v>1612</v>
      </c>
      <c r="E132" s="1" t="s">
        <v>1613</v>
      </c>
      <c r="F132" s="1" t="s">
        <v>1614</v>
      </c>
      <c r="G132" s="2" t="s">
        <v>178</v>
      </c>
      <c r="H132" s="2" t="s">
        <v>76</v>
      </c>
      <c r="I132" s="2" t="s">
        <v>64</v>
      </c>
      <c r="J132" s="2" t="s">
        <v>63</v>
      </c>
      <c r="K132" s="2" t="s">
        <v>63</v>
      </c>
      <c r="L132" s="2" t="s">
        <v>65</v>
      </c>
      <c r="M132" s="1" t="s">
        <v>1615</v>
      </c>
      <c r="N132" s="1" t="s">
        <v>1616</v>
      </c>
      <c r="O132" s="2" t="s">
        <v>1479</v>
      </c>
      <c r="Q132" s="2" t="s">
        <v>70</v>
      </c>
      <c r="R132" s="2" t="s">
        <v>422</v>
      </c>
      <c r="T132" s="2" t="s">
        <v>73</v>
      </c>
      <c r="U132" s="3">
        <v>2</v>
      </c>
      <c r="V132" s="3">
        <v>5</v>
      </c>
      <c r="W132" s="4" t="s">
        <v>1617</v>
      </c>
      <c r="X132" s="4" t="s">
        <v>1163</v>
      </c>
      <c r="Y132" s="4" t="s">
        <v>1258</v>
      </c>
      <c r="Z132" s="4" t="s">
        <v>1258</v>
      </c>
      <c r="AA132" s="3">
        <v>664</v>
      </c>
      <c r="AB132" s="3">
        <v>551</v>
      </c>
      <c r="AC132" s="3">
        <v>582</v>
      </c>
      <c r="AD132" s="3">
        <v>3</v>
      </c>
      <c r="AE132" s="3">
        <v>3</v>
      </c>
      <c r="AF132" s="3">
        <v>20</v>
      </c>
      <c r="AG132" s="3">
        <v>23</v>
      </c>
      <c r="AH132" s="3">
        <v>8</v>
      </c>
      <c r="AI132" s="3">
        <v>10</v>
      </c>
      <c r="AJ132" s="3">
        <v>4</v>
      </c>
      <c r="AK132" s="3">
        <v>6</v>
      </c>
      <c r="AL132" s="3">
        <v>10</v>
      </c>
      <c r="AM132" s="3">
        <v>11</v>
      </c>
      <c r="AN132" s="3">
        <v>2</v>
      </c>
      <c r="AO132" s="3">
        <v>2</v>
      </c>
      <c r="AP132" s="3">
        <v>0</v>
      </c>
      <c r="AQ132" s="3">
        <v>0</v>
      </c>
      <c r="AR132" s="2" t="s">
        <v>63</v>
      </c>
      <c r="AS132" s="2" t="s">
        <v>63</v>
      </c>
      <c r="AT132" s="5" t="str">
        <f>HYPERLINK("http://catalog.hathitrust.org/Record/001556722","HathiTrust Record")</f>
        <v>HathiTrust Record</v>
      </c>
      <c r="AU132" s="5" t="str">
        <f>HYPERLINK("https://creighton-primo.hosted.exlibrisgroup.com/primo-explore/search?tab=default_tab&amp;search_scope=EVERYTHING&amp;vid=01CRU&amp;lang=en_US&amp;offset=0&amp;query=any,contains,991000996869702656","Catalog Record")</f>
        <v>Catalog Record</v>
      </c>
      <c r="AV132" s="5" t="str">
        <f>HYPERLINK("http://www.worldcat.org/oclc/326764","WorldCat Record")</f>
        <v>WorldCat Record</v>
      </c>
      <c r="AW132" s="2" t="s">
        <v>1618</v>
      </c>
      <c r="AX132" s="2" t="s">
        <v>1619</v>
      </c>
      <c r="AY132" s="2" t="s">
        <v>1620</v>
      </c>
      <c r="AZ132" s="2" t="s">
        <v>1620</v>
      </c>
      <c r="BA132" s="2" t="s">
        <v>1621</v>
      </c>
      <c r="BB132" s="2" t="s">
        <v>81</v>
      </c>
      <c r="BE132" s="2" t="s">
        <v>1622</v>
      </c>
      <c r="BF132" s="2" t="s">
        <v>1623</v>
      </c>
    </row>
    <row r="133" spans="1:58" ht="42" customHeight="1">
      <c r="A133" s="1"/>
      <c r="B133" s="1" t="s">
        <v>58</v>
      </c>
      <c r="C133" s="1" t="s">
        <v>59</v>
      </c>
      <c r="D133" s="1" t="s">
        <v>1612</v>
      </c>
      <c r="E133" s="1" t="s">
        <v>1613</v>
      </c>
      <c r="F133" s="1" t="s">
        <v>1614</v>
      </c>
      <c r="G133" s="2" t="s">
        <v>184</v>
      </c>
      <c r="H133" s="2" t="s">
        <v>76</v>
      </c>
      <c r="I133" s="2" t="s">
        <v>64</v>
      </c>
      <c r="J133" s="2" t="s">
        <v>63</v>
      </c>
      <c r="K133" s="2" t="s">
        <v>63</v>
      </c>
      <c r="L133" s="2" t="s">
        <v>65</v>
      </c>
      <c r="M133" s="1" t="s">
        <v>1615</v>
      </c>
      <c r="N133" s="1" t="s">
        <v>1616</v>
      </c>
      <c r="O133" s="2" t="s">
        <v>1479</v>
      </c>
      <c r="Q133" s="2" t="s">
        <v>70</v>
      </c>
      <c r="R133" s="2" t="s">
        <v>422</v>
      </c>
      <c r="T133" s="2" t="s">
        <v>73</v>
      </c>
      <c r="U133" s="3">
        <v>2</v>
      </c>
      <c r="V133" s="3">
        <v>5</v>
      </c>
      <c r="X133" s="4" t="s">
        <v>1163</v>
      </c>
      <c r="Y133" s="4" t="s">
        <v>1258</v>
      </c>
      <c r="Z133" s="4" t="s">
        <v>1258</v>
      </c>
      <c r="AA133" s="3">
        <v>664</v>
      </c>
      <c r="AB133" s="3">
        <v>551</v>
      </c>
      <c r="AC133" s="3">
        <v>582</v>
      </c>
      <c r="AD133" s="3">
        <v>3</v>
      </c>
      <c r="AE133" s="3">
        <v>3</v>
      </c>
      <c r="AF133" s="3">
        <v>20</v>
      </c>
      <c r="AG133" s="3">
        <v>23</v>
      </c>
      <c r="AH133" s="3">
        <v>8</v>
      </c>
      <c r="AI133" s="3">
        <v>10</v>
      </c>
      <c r="AJ133" s="3">
        <v>4</v>
      </c>
      <c r="AK133" s="3">
        <v>6</v>
      </c>
      <c r="AL133" s="3">
        <v>10</v>
      </c>
      <c r="AM133" s="3">
        <v>11</v>
      </c>
      <c r="AN133" s="3">
        <v>2</v>
      </c>
      <c r="AO133" s="3">
        <v>2</v>
      </c>
      <c r="AP133" s="3">
        <v>0</v>
      </c>
      <c r="AQ133" s="3">
        <v>0</v>
      </c>
      <c r="AR133" s="2" t="s">
        <v>63</v>
      </c>
      <c r="AS133" s="2" t="s">
        <v>63</v>
      </c>
      <c r="AT133" s="5" t="str">
        <f>HYPERLINK("http://catalog.hathitrust.org/Record/001556722","HathiTrust Record")</f>
        <v>HathiTrust Record</v>
      </c>
      <c r="AU133" s="5" t="str">
        <f>HYPERLINK("https://creighton-primo.hosted.exlibrisgroup.com/primo-explore/search?tab=default_tab&amp;search_scope=EVERYTHING&amp;vid=01CRU&amp;lang=en_US&amp;offset=0&amp;query=any,contains,991000996869702656","Catalog Record")</f>
        <v>Catalog Record</v>
      </c>
      <c r="AV133" s="5" t="str">
        <f>HYPERLINK("http://www.worldcat.org/oclc/326764","WorldCat Record")</f>
        <v>WorldCat Record</v>
      </c>
      <c r="AW133" s="2" t="s">
        <v>1618</v>
      </c>
      <c r="AX133" s="2" t="s">
        <v>1619</v>
      </c>
      <c r="AY133" s="2" t="s">
        <v>1620</v>
      </c>
      <c r="AZ133" s="2" t="s">
        <v>1620</v>
      </c>
      <c r="BA133" s="2" t="s">
        <v>1621</v>
      </c>
      <c r="BB133" s="2" t="s">
        <v>81</v>
      </c>
      <c r="BE133" s="2" t="s">
        <v>1624</v>
      </c>
      <c r="BF133" s="2" t="s">
        <v>1625</v>
      </c>
    </row>
    <row r="134" spans="1:58" ht="42" customHeight="1">
      <c r="A134" s="1"/>
      <c r="B134" s="1" t="s">
        <v>58</v>
      </c>
      <c r="C134" s="1" t="s">
        <v>59</v>
      </c>
      <c r="D134" s="1" t="s">
        <v>1612</v>
      </c>
      <c r="E134" s="1" t="s">
        <v>1613</v>
      </c>
      <c r="F134" s="1" t="s">
        <v>1614</v>
      </c>
      <c r="G134" s="2" t="s">
        <v>165</v>
      </c>
      <c r="H134" s="2" t="s">
        <v>76</v>
      </c>
      <c r="I134" s="2" t="s">
        <v>64</v>
      </c>
      <c r="J134" s="2" t="s">
        <v>63</v>
      </c>
      <c r="K134" s="2" t="s">
        <v>63</v>
      </c>
      <c r="L134" s="2" t="s">
        <v>65</v>
      </c>
      <c r="M134" s="1" t="s">
        <v>1615</v>
      </c>
      <c r="N134" s="1" t="s">
        <v>1616</v>
      </c>
      <c r="O134" s="2" t="s">
        <v>1479</v>
      </c>
      <c r="Q134" s="2" t="s">
        <v>70</v>
      </c>
      <c r="R134" s="2" t="s">
        <v>422</v>
      </c>
      <c r="T134" s="2" t="s">
        <v>73</v>
      </c>
      <c r="U134" s="3">
        <v>1</v>
      </c>
      <c r="V134" s="3">
        <v>5</v>
      </c>
      <c r="W134" s="4" t="s">
        <v>1163</v>
      </c>
      <c r="X134" s="4" t="s">
        <v>1163</v>
      </c>
      <c r="Y134" s="4" t="s">
        <v>1258</v>
      </c>
      <c r="Z134" s="4" t="s">
        <v>1258</v>
      </c>
      <c r="AA134" s="3">
        <v>664</v>
      </c>
      <c r="AB134" s="3">
        <v>551</v>
      </c>
      <c r="AC134" s="3">
        <v>582</v>
      </c>
      <c r="AD134" s="3">
        <v>3</v>
      </c>
      <c r="AE134" s="3">
        <v>3</v>
      </c>
      <c r="AF134" s="3">
        <v>20</v>
      </c>
      <c r="AG134" s="3">
        <v>23</v>
      </c>
      <c r="AH134" s="3">
        <v>8</v>
      </c>
      <c r="AI134" s="3">
        <v>10</v>
      </c>
      <c r="AJ134" s="3">
        <v>4</v>
      </c>
      <c r="AK134" s="3">
        <v>6</v>
      </c>
      <c r="AL134" s="3">
        <v>10</v>
      </c>
      <c r="AM134" s="3">
        <v>11</v>
      </c>
      <c r="AN134" s="3">
        <v>2</v>
      </c>
      <c r="AO134" s="3">
        <v>2</v>
      </c>
      <c r="AP134" s="3">
        <v>0</v>
      </c>
      <c r="AQ134" s="3">
        <v>0</v>
      </c>
      <c r="AR134" s="2" t="s">
        <v>63</v>
      </c>
      <c r="AS134" s="2" t="s">
        <v>63</v>
      </c>
      <c r="AT134" s="5" t="str">
        <f>HYPERLINK("http://catalog.hathitrust.org/Record/001556722","HathiTrust Record")</f>
        <v>HathiTrust Record</v>
      </c>
      <c r="AU134" s="5" t="str">
        <f>HYPERLINK("https://creighton-primo.hosted.exlibrisgroup.com/primo-explore/search?tab=default_tab&amp;search_scope=EVERYTHING&amp;vid=01CRU&amp;lang=en_US&amp;offset=0&amp;query=any,contains,991000996869702656","Catalog Record")</f>
        <v>Catalog Record</v>
      </c>
      <c r="AV134" s="5" t="str">
        <f>HYPERLINK("http://www.worldcat.org/oclc/326764","WorldCat Record")</f>
        <v>WorldCat Record</v>
      </c>
      <c r="AW134" s="2" t="s">
        <v>1618</v>
      </c>
      <c r="AX134" s="2" t="s">
        <v>1619</v>
      </c>
      <c r="AY134" s="2" t="s">
        <v>1620</v>
      </c>
      <c r="AZ134" s="2" t="s">
        <v>1620</v>
      </c>
      <c r="BA134" s="2" t="s">
        <v>1621</v>
      </c>
      <c r="BB134" s="2" t="s">
        <v>81</v>
      </c>
      <c r="BE134" s="2" t="s">
        <v>1626</v>
      </c>
      <c r="BF134" s="2" t="s">
        <v>1627</v>
      </c>
    </row>
    <row r="135" spans="1:58" ht="42" customHeight="1">
      <c r="A135" s="1"/>
      <c r="B135" s="1" t="s">
        <v>58</v>
      </c>
      <c r="C135" s="1" t="s">
        <v>59</v>
      </c>
      <c r="D135" s="1" t="s">
        <v>1628</v>
      </c>
      <c r="E135" s="1" t="s">
        <v>1629</v>
      </c>
      <c r="F135" s="1" t="s">
        <v>1630</v>
      </c>
      <c r="H135" s="2" t="s">
        <v>63</v>
      </c>
      <c r="I135" s="2" t="s">
        <v>64</v>
      </c>
      <c r="J135" s="2" t="s">
        <v>63</v>
      </c>
      <c r="K135" s="2" t="s">
        <v>63</v>
      </c>
      <c r="L135" s="2" t="s">
        <v>65</v>
      </c>
      <c r="M135" s="1" t="s">
        <v>1631</v>
      </c>
      <c r="N135" s="1" t="s">
        <v>1632</v>
      </c>
      <c r="O135" s="2" t="s">
        <v>1633</v>
      </c>
      <c r="Q135" s="2" t="s">
        <v>70</v>
      </c>
      <c r="R135" s="2" t="s">
        <v>168</v>
      </c>
      <c r="T135" s="2" t="s">
        <v>73</v>
      </c>
      <c r="U135" s="3">
        <v>1</v>
      </c>
      <c r="V135" s="3">
        <v>1</v>
      </c>
      <c r="W135" s="4" t="s">
        <v>1163</v>
      </c>
      <c r="X135" s="4" t="s">
        <v>1163</v>
      </c>
      <c r="Y135" s="4" t="s">
        <v>109</v>
      </c>
      <c r="Z135" s="4" t="s">
        <v>109</v>
      </c>
      <c r="AA135" s="3">
        <v>187</v>
      </c>
      <c r="AB135" s="3">
        <v>165</v>
      </c>
      <c r="AC135" s="3">
        <v>190</v>
      </c>
      <c r="AD135" s="3">
        <v>2</v>
      </c>
      <c r="AE135" s="3">
        <v>2</v>
      </c>
      <c r="AF135" s="3">
        <v>5</v>
      </c>
      <c r="AG135" s="3">
        <v>5</v>
      </c>
      <c r="AH135" s="3">
        <v>1</v>
      </c>
      <c r="AI135" s="3">
        <v>1</v>
      </c>
      <c r="AJ135" s="3">
        <v>2</v>
      </c>
      <c r="AK135" s="3">
        <v>2</v>
      </c>
      <c r="AL135" s="3">
        <v>2</v>
      </c>
      <c r="AM135" s="3">
        <v>2</v>
      </c>
      <c r="AN135" s="3">
        <v>1</v>
      </c>
      <c r="AO135" s="3">
        <v>1</v>
      </c>
      <c r="AP135" s="3">
        <v>0</v>
      </c>
      <c r="AQ135" s="3">
        <v>0</v>
      </c>
      <c r="AR135" s="2" t="s">
        <v>63</v>
      </c>
      <c r="AS135" s="2" t="s">
        <v>76</v>
      </c>
      <c r="AT135" s="5" t="str">
        <f>HYPERLINK("http://catalog.hathitrust.org/Record/009074174","HathiTrust Record")</f>
        <v>HathiTrust Record</v>
      </c>
      <c r="AU135" s="5" t="str">
        <f>HYPERLINK("https://creighton-primo.hosted.exlibrisgroup.com/primo-explore/search?tab=default_tab&amp;search_scope=EVERYTHING&amp;vid=01CRU&amp;lang=en_US&amp;offset=0&amp;query=any,contains,991000997149702656","Catalog Record")</f>
        <v>Catalog Record</v>
      </c>
      <c r="AV135" s="5" t="str">
        <f>HYPERLINK("http://www.worldcat.org/oclc/2394374","WorldCat Record")</f>
        <v>WorldCat Record</v>
      </c>
      <c r="AW135" s="2" t="s">
        <v>1634</v>
      </c>
      <c r="AX135" s="2" t="s">
        <v>1635</v>
      </c>
      <c r="AY135" s="2" t="s">
        <v>1636</v>
      </c>
      <c r="AZ135" s="2" t="s">
        <v>1636</v>
      </c>
      <c r="BA135" s="2" t="s">
        <v>1637</v>
      </c>
      <c r="BB135" s="2" t="s">
        <v>81</v>
      </c>
      <c r="BE135" s="2" t="s">
        <v>1638</v>
      </c>
      <c r="BF135" s="2" t="s">
        <v>1639</v>
      </c>
    </row>
    <row r="136" spans="1:58" ht="42" customHeight="1">
      <c r="A136" s="1"/>
      <c r="B136" s="1" t="s">
        <v>58</v>
      </c>
      <c r="C136" s="1" t="s">
        <v>59</v>
      </c>
      <c r="D136" s="1" t="s">
        <v>1640</v>
      </c>
      <c r="E136" s="1" t="s">
        <v>1641</v>
      </c>
      <c r="F136" s="1" t="s">
        <v>1642</v>
      </c>
      <c r="H136" s="2" t="s">
        <v>63</v>
      </c>
      <c r="I136" s="2" t="s">
        <v>64</v>
      </c>
      <c r="J136" s="2" t="s">
        <v>63</v>
      </c>
      <c r="K136" s="2" t="s">
        <v>63</v>
      </c>
      <c r="L136" s="2" t="s">
        <v>65</v>
      </c>
      <c r="M136" s="1" t="s">
        <v>1643</v>
      </c>
      <c r="N136" s="1" t="s">
        <v>1644</v>
      </c>
      <c r="O136" s="2" t="s">
        <v>863</v>
      </c>
      <c r="P136" s="1" t="s">
        <v>231</v>
      </c>
      <c r="Q136" s="2" t="s">
        <v>70</v>
      </c>
      <c r="R136" s="2" t="s">
        <v>107</v>
      </c>
      <c r="T136" s="2" t="s">
        <v>73</v>
      </c>
      <c r="U136" s="3">
        <v>12</v>
      </c>
      <c r="V136" s="3">
        <v>12</v>
      </c>
      <c r="W136" s="4" t="s">
        <v>1645</v>
      </c>
      <c r="X136" s="4" t="s">
        <v>1645</v>
      </c>
      <c r="Y136" s="4" t="s">
        <v>1646</v>
      </c>
      <c r="Z136" s="4" t="s">
        <v>1646</v>
      </c>
      <c r="AA136" s="3">
        <v>178</v>
      </c>
      <c r="AB136" s="3">
        <v>109</v>
      </c>
      <c r="AC136" s="3">
        <v>183</v>
      </c>
      <c r="AD136" s="3">
        <v>1</v>
      </c>
      <c r="AE136" s="3">
        <v>2</v>
      </c>
      <c r="AF136" s="3">
        <v>2</v>
      </c>
      <c r="AG136" s="3">
        <v>8</v>
      </c>
      <c r="AH136" s="3">
        <v>0</v>
      </c>
      <c r="AI136" s="3">
        <v>2</v>
      </c>
      <c r="AJ136" s="3">
        <v>1</v>
      </c>
      <c r="AK136" s="3">
        <v>1</v>
      </c>
      <c r="AL136" s="3">
        <v>2</v>
      </c>
      <c r="AM136" s="3">
        <v>5</v>
      </c>
      <c r="AN136" s="3">
        <v>0</v>
      </c>
      <c r="AO136" s="3">
        <v>1</v>
      </c>
      <c r="AP136" s="3">
        <v>0</v>
      </c>
      <c r="AQ136" s="3">
        <v>0</v>
      </c>
      <c r="AR136" s="2" t="s">
        <v>63</v>
      </c>
      <c r="AS136" s="2" t="s">
        <v>63</v>
      </c>
      <c r="AU136" s="5" t="str">
        <f>HYPERLINK("https://creighton-primo.hosted.exlibrisgroup.com/primo-explore/search?tab=default_tab&amp;search_scope=EVERYTHING&amp;vid=01CRU&amp;lang=en_US&amp;offset=0&amp;query=any,contains,991001107539702656","Catalog Record")</f>
        <v>Catalog Record</v>
      </c>
      <c r="AV136" s="5" t="str">
        <f>HYPERLINK("http://www.worldcat.org/oclc/16470919","WorldCat Record")</f>
        <v>WorldCat Record</v>
      </c>
      <c r="AW136" s="2" t="s">
        <v>1647</v>
      </c>
      <c r="AX136" s="2" t="s">
        <v>1648</v>
      </c>
      <c r="AY136" s="2" t="s">
        <v>1649</v>
      </c>
      <c r="AZ136" s="2" t="s">
        <v>1649</v>
      </c>
      <c r="BA136" s="2" t="s">
        <v>1650</v>
      </c>
      <c r="BB136" s="2" t="s">
        <v>81</v>
      </c>
      <c r="BD136" s="2" t="s">
        <v>1651</v>
      </c>
      <c r="BE136" s="2" t="s">
        <v>1652</v>
      </c>
      <c r="BF136" s="2" t="s">
        <v>1653</v>
      </c>
    </row>
    <row r="137" spans="1:58" ht="42" customHeight="1">
      <c r="A137" s="1"/>
      <c r="B137" s="1" t="s">
        <v>58</v>
      </c>
      <c r="C137" s="1" t="s">
        <v>59</v>
      </c>
      <c r="D137" s="1" t="s">
        <v>1654</v>
      </c>
      <c r="E137" s="1" t="s">
        <v>1655</v>
      </c>
      <c r="F137" s="1" t="s">
        <v>1656</v>
      </c>
      <c r="H137" s="2" t="s">
        <v>63</v>
      </c>
      <c r="I137" s="2" t="s">
        <v>64</v>
      </c>
      <c r="J137" s="2" t="s">
        <v>63</v>
      </c>
      <c r="K137" s="2" t="s">
        <v>63</v>
      </c>
      <c r="L137" s="2" t="s">
        <v>65</v>
      </c>
      <c r="M137" s="1" t="s">
        <v>1657</v>
      </c>
      <c r="N137" s="1" t="s">
        <v>1658</v>
      </c>
      <c r="O137" s="2" t="s">
        <v>1659</v>
      </c>
      <c r="Q137" s="2" t="s">
        <v>70</v>
      </c>
      <c r="R137" s="2" t="s">
        <v>153</v>
      </c>
      <c r="S137" s="1" t="s">
        <v>1660</v>
      </c>
      <c r="T137" s="2" t="s">
        <v>73</v>
      </c>
      <c r="U137" s="3">
        <v>2</v>
      </c>
      <c r="V137" s="3">
        <v>2</v>
      </c>
      <c r="W137" s="4" t="s">
        <v>1661</v>
      </c>
      <c r="X137" s="4" t="s">
        <v>1661</v>
      </c>
      <c r="Y137" s="4" t="s">
        <v>1258</v>
      </c>
      <c r="Z137" s="4" t="s">
        <v>1258</v>
      </c>
      <c r="AA137" s="3">
        <v>24</v>
      </c>
      <c r="AB137" s="3">
        <v>13</v>
      </c>
      <c r="AC137" s="3">
        <v>256</v>
      </c>
      <c r="AD137" s="3">
        <v>1</v>
      </c>
      <c r="AE137" s="3">
        <v>1</v>
      </c>
      <c r="AF137" s="3">
        <v>0</v>
      </c>
      <c r="AG137" s="3">
        <v>8</v>
      </c>
      <c r="AH137" s="3">
        <v>0</v>
      </c>
      <c r="AI137" s="3">
        <v>1</v>
      </c>
      <c r="AJ137" s="3">
        <v>0</v>
      </c>
      <c r="AK137" s="3">
        <v>3</v>
      </c>
      <c r="AL137" s="3">
        <v>0</v>
      </c>
      <c r="AM137" s="3">
        <v>6</v>
      </c>
      <c r="AN137" s="3">
        <v>0</v>
      </c>
      <c r="AO137" s="3">
        <v>0</v>
      </c>
      <c r="AP137" s="3">
        <v>0</v>
      </c>
      <c r="AQ137" s="3">
        <v>0</v>
      </c>
      <c r="AR137" s="2" t="s">
        <v>63</v>
      </c>
      <c r="AS137" s="2" t="s">
        <v>63</v>
      </c>
      <c r="AU137" s="5" t="str">
        <f>HYPERLINK("https://creighton-primo.hosted.exlibrisgroup.com/primo-explore/search?tab=default_tab&amp;search_scope=EVERYTHING&amp;vid=01CRU&amp;lang=en_US&amp;offset=0&amp;query=any,contains,991000997179702656","Catalog Record")</f>
        <v>Catalog Record</v>
      </c>
      <c r="AV137" s="5" t="str">
        <f>HYPERLINK("http://www.worldcat.org/oclc/14489914","WorldCat Record")</f>
        <v>WorldCat Record</v>
      </c>
      <c r="AW137" s="2" t="s">
        <v>1662</v>
      </c>
      <c r="AX137" s="2" t="s">
        <v>1663</v>
      </c>
      <c r="AY137" s="2" t="s">
        <v>1664</v>
      </c>
      <c r="AZ137" s="2" t="s">
        <v>1664</v>
      </c>
      <c r="BA137" s="2" t="s">
        <v>1665</v>
      </c>
      <c r="BB137" s="2" t="s">
        <v>81</v>
      </c>
      <c r="BE137" s="2" t="s">
        <v>1666</v>
      </c>
      <c r="BF137" s="2" t="s">
        <v>1667</v>
      </c>
    </row>
    <row r="138" spans="1:58" ht="42" customHeight="1">
      <c r="A138" s="1"/>
      <c r="B138" s="1" t="s">
        <v>58</v>
      </c>
      <c r="C138" s="1" t="s">
        <v>59</v>
      </c>
      <c r="D138" s="1" t="s">
        <v>1668</v>
      </c>
      <c r="E138" s="1" t="s">
        <v>1669</v>
      </c>
      <c r="F138" s="1" t="s">
        <v>1670</v>
      </c>
      <c r="G138" s="2" t="s">
        <v>165</v>
      </c>
      <c r="H138" s="2" t="s">
        <v>76</v>
      </c>
      <c r="I138" s="2" t="s">
        <v>64</v>
      </c>
      <c r="J138" s="2" t="s">
        <v>63</v>
      </c>
      <c r="K138" s="2" t="s">
        <v>63</v>
      </c>
      <c r="L138" s="2" t="s">
        <v>65</v>
      </c>
      <c r="N138" s="1" t="s">
        <v>1671</v>
      </c>
      <c r="O138" s="2" t="s">
        <v>1034</v>
      </c>
      <c r="P138" s="1" t="s">
        <v>245</v>
      </c>
      <c r="Q138" s="2" t="s">
        <v>70</v>
      </c>
      <c r="R138" s="2" t="s">
        <v>246</v>
      </c>
      <c r="T138" s="2" t="s">
        <v>73</v>
      </c>
      <c r="U138" s="3">
        <v>16</v>
      </c>
      <c r="V138" s="3">
        <v>43</v>
      </c>
      <c r="W138" s="4" t="s">
        <v>1672</v>
      </c>
      <c r="X138" s="4" t="s">
        <v>1673</v>
      </c>
      <c r="Y138" s="4" t="s">
        <v>1674</v>
      </c>
      <c r="Z138" s="4" t="s">
        <v>1674</v>
      </c>
      <c r="AA138" s="3">
        <v>367</v>
      </c>
      <c r="AB138" s="3">
        <v>247</v>
      </c>
      <c r="AC138" s="3">
        <v>250</v>
      </c>
      <c r="AD138" s="3">
        <v>3</v>
      </c>
      <c r="AE138" s="3">
        <v>3</v>
      </c>
      <c r="AF138" s="3">
        <v>11</v>
      </c>
      <c r="AG138" s="3">
        <v>11</v>
      </c>
      <c r="AH138" s="3">
        <v>4</v>
      </c>
      <c r="AI138" s="3">
        <v>4</v>
      </c>
      <c r="AJ138" s="3">
        <v>2</v>
      </c>
      <c r="AK138" s="3">
        <v>2</v>
      </c>
      <c r="AL138" s="3">
        <v>5</v>
      </c>
      <c r="AM138" s="3">
        <v>5</v>
      </c>
      <c r="AN138" s="3">
        <v>2</v>
      </c>
      <c r="AO138" s="3">
        <v>2</v>
      </c>
      <c r="AP138" s="3">
        <v>0</v>
      </c>
      <c r="AQ138" s="3">
        <v>0</v>
      </c>
      <c r="AR138" s="2" t="s">
        <v>63</v>
      </c>
      <c r="AS138" s="2" t="s">
        <v>76</v>
      </c>
      <c r="AT138" s="5" t="str">
        <f>HYPERLINK("http://catalog.hathitrust.org/Record/004572384","HathiTrust Record")</f>
        <v>HathiTrust Record</v>
      </c>
      <c r="AU138" s="5" t="str">
        <f>HYPERLINK("https://creighton-primo.hosted.exlibrisgroup.com/primo-explore/search?tab=default_tab&amp;search_scope=EVERYTHING&amp;vid=01CRU&amp;lang=en_US&amp;offset=0&amp;query=any,contains,991001261359702656","Catalog Record")</f>
        <v>Catalog Record</v>
      </c>
      <c r="AV138" s="5" t="str">
        <f>HYPERLINK("http://www.worldcat.org/oclc/32512536","WorldCat Record")</f>
        <v>WorldCat Record</v>
      </c>
      <c r="AW138" s="2" t="s">
        <v>1675</v>
      </c>
      <c r="AX138" s="2" t="s">
        <v>1676</v>
      </c>
      <c r="AY138" s="2" t="s">
        <v>1677</v>
      </c>
      <c r="AZ138" s="2" t="s">
        <v>1677</v>
      </c>
      <c r="BA138" s="2" t="s">
        <v>1678</v>
      </c>
      <c r="BB138" s="2" t="s">
        <v>81</v>
      </c>
      <c r="BD138" s="2" t="s">
        <v>1679</v>
      </c>
      <c r="BE138" s="2" t="s">
        <v>1680</v>
      </c>
      <c r="BF138" s="2" t="s">
        <v>1681</v>
      </c>
    </row>
    <row r="139" spans="1:58" ht="42" customHeight="1">
      <c r="A139" s="1"/>
      <c r="B139" s="1" t="s">
        <v>58</v>
      </c>
      <c r="C139" s="1" t="s">
        <v>59</v>
      </c>
      <c r="D139" s="1" t="s">
        <v>1668</v>
      </c>
      <c r="E139" s="1" t="s">
        <v>1669</v>
      </c>
      <c r="F139" s="1" t="s">
        <v>1670</v>
      </c>
      <c r="G139" s="2" t="s">
        <v>178</v>
      </c>
      <c r="H139" s="2" t="s">
        <v>76</v>
      </c>
      <c r="I139" s="2" t="s">
        <v>64</v>
      </c>
      <c r="J139" s="2" t="s">
        <v>63</v>
      </c>
      <c r="K139" s="2" t="s">
        <v>63</v>
      </c>
      <c r="L139" s="2" t="s">
        <v>65</v>
      </c>
      <c r="N139" s="1" t="s">
        <v>1671</v>
      </c>
      <c r="O139" s="2" t="s">
        <v>1034</v>
      </c>
      <c r="P139" s="1" t="s">
        <v>245</v>
      </c>
      <c r="Q139" s="2" t="s">
        <v>70</v>
      </c>
      <c r="R139" s="2" t="s">
        <v>246</v>
      </c>
      <c r="T139" s="2" t="s">
        <v>73</v>
      </c>
      <c r="U139" s="3">
        <v>27</v>
      </c>
      <c r="V139" s="3">
        <v>43</v>
      </c>
      <c r="W139" s="4" t="s">
        <v>1673</v>
      </c>
      <c r="X139" s="4" t="s">
        <v>1673</v>
      </c>
      <c r="Y139" s="4" t="s">
        <v>1674</v>
      </c>
      <c r="Z139" s="4" t="s">
        <v>1674</v>
      </c>
      <c r="AA139" s="3">
        <v>367</v>
      </c>
      <c r="AB139" s="3">
        <v>247</v>
      </c>
      <c r="AC139" s="3">
        <v>250</v>
      </c>
      <c r="AD139" s="3">
        <v>3</v>
      </c>
      <c r="AE139" s="3">
        <v>3</v>
      </c>
      <c r="AF139" s="3">
        <v>11</v>
      </c>
      <c r="AG139" s="3">
        <v>11</v>
      </c>
      <c r="AH139" s="3">
        <v>4</v>
      </c>
      <c r="AI139" s="3">
        <v>4</v>
      </c>
      <c r="AJ139" s="3">
        <v>2</v>
      </c>
      <c r="AK139" s="3">
        <v>2</v>
      </c>
      <c r="AL139" s="3">
        <v>5</v>
      </c>
      <c r="AM139" s="3">
        <v>5</v>
      </c>
      <c r="AN139" s="3">
        <v>2</v>
      </c>
      <c r="AO139" s="3">
        <v>2</v>
      </c>
      <c r="AP139" s="3">
        <v>0</v>
      </c>
      <c r="AQ139" s="3">
        <v>0</v>
      </c>
      <c r="AR139" s="2" t="s">
        <v>63</v>
      </c>
      <c r="AS139" s="2" t="s">
        <v>76</v>
      </c>
      <c r="AT139" s="5" t="str">
        <f>HYPERLINK("http://catalog.hathitrust.org/Record/004572384","HathiTrust Record")</f>
        <v>HathiTrust Record</v>
      </c>
      <c r="AU139" s="5" t="str">
        <f>HYPERLINK("https://creighton-primo.hosted.exlibrisgroup.com/primo-explore/search?tab=default_tab&amp;search_scope=EVERYTHING&amp;vid=01CRU&amp;lang=en_US&amp;offset=0&amp;query=any,contains,991001261359702656","Catalog Record")</f>
        <v>Catalog Record</v>
      </c>
      <c r="AV139" s="5" t="str">
        <f>HYPERLINK("http://www.worldcat.org/oclc/32512536","WorldCat Record")</f>
        <v>WorldCat Record</v>
      </c>
      <c r="AW139" s="2" t="s">
        <v>1675</v>
      </c>
      <c r="AX139" s="2" t="s">
        <v>1676</v>
      </c>
      <c r="AY139" s="2" t="s">
        <v>1677</v>
      </c>
      <c r="AZ139" s="2" t="s">
        <v>1677</v>
      </c>
      <c r="BA139" s="2" t="s">
        <v>1678</v>
      </c>
      <c r="BB139" s="2" t="s">
        <v>81</v>
      </c>
      <c r="BD139" s="2" t="s">
        <v>1679</v>
      </c>
      <c r="BE139" s="2" t="s">
        <v>1682</v>
      </c>
      <c r="BF139" s="2" t="s">
        <v>1683</v>
      </c>
    </row>
    <row r="140" spans="1:58" ht="42" customHeight="1">
      <c r="A140" s="1"/>
      <c r="B140" s="1" t="s">
        <v>58</v>
      </c>
      <c r="C140" s="1" t="s">
        <v>59</v>
      </c>
      <c r="D140" s="1" t="s">
        <v>1684</v>
      </c>
      <c r="E140" s="1" t="s">
        <v>1685</v>
      </c>
      <c r="F140" s="1" t="s">
        <v>1686</v>
      </c>
      <c r="G140" s="2" t="s">
        <v>384</v>
      </c>
      <c r="H140" s="2" t="s">
        <v>76</v>
      </c>
      <c r="I140" s="2" t="s">
        <v>64</v>
      </c>
      <c r="J140" s="2" t="s">
        <v>63</v>
      </c>
      <c r="K140" s="2" t="s">
        <v>76</v>
      </c>
      <c r="L140" s="2" t="s">
        <v>65</v>
      </c>
      <c r="N140" s="1" t="s">
        <v>1687</v>
      </c>
      <c r="O140" s="2" t="s">
        <v>1688</v>
      </c>
      <c r="P140" s="1" t="s">
        <v>69</v>
      </c>
      <c r="Q140" s="2" t="s">
        <v>70</v>
      </c>
      <c r="R140" s="2" t="s">
        <v>246</v>
      </c>
      <c r="T140" s="2" t="s">
        <v>73</v>
      </c>
      <c r="U140" s="3">
        <v>2</v>
      </c>
      <c r="V140" s="3">
        <v>3</v>
      </c>
      <c r="W140" s="4" t="s">
        <v>1689</v>
      </c>
      <c r="X140" s="4" t="s">
        <v>1689</v>
      </c>
      <c r="Y140" s="4" t="s">
        <v>1690</v>
      </c>
      <c r="Z140" s="4" t="s">
        <v>1690</v>
      </c>
      <c r="AA140" s="3">
        <v>325</v>
      </c>
      <c r="AB140" s="3">
        <v>241</v>
      </c>
      <c r="AC140" s="3">
        <v>524</v>
      </c>
      <c r="AD140" s="3">
        <v>1</v>
      </c>
      <c r="AE140" s="3">
        <v>4</v>
      </c>
      <c r="AF140" s="3">
        <v>5</v>
      </c>
      <c r="AG140" s="3">
        <v>18</v>
      </c>
      <c r="AH140" s="3">
        <v>0</v>
      </c>
      <c r="AI140" s="3">
        <v>5</v>
      </c>
      <c r="AJ140" s="3">
        <v>4</v>
      </c>
      <c r="AK140" s="3">
        <v>7</v>
      </c>
      <c r="AL140" s="3">
        <v>2</v>
      </c>
      <c r="AM140" s="3">
        <v>10</v>
      </c>
      <c r="AN140" s="3">
        <v>0</v>
      </c>
      <c r="AO140" s="3">
        <v>2</v>
      </c>
      <c r="AP140" s="3">
        <v>0</v>
      </c>
      <c r="AQ140" s="3">
        <v>0</v>
      </c>
      <c r="AR140" s="2" t="s">
        <v>63</v>
      </c>
      <c r="AS140" s="2" t="s">
        <v>63</v>
      </c>
      <c r="AU140" s="5" t="str">
        <f>HYPERLINK("https://creighton-primo.hosted.exlibrisgroup.com/primo-explore/search?tab=default_tab&amp;search_scope=EVERYTHING&amp;vid=01CRU&amp;lang=en_US&amp;offset=0&amp;query=any,contains,991000333339702656","Catalog Record")</f>
        <v>Catalog Record</v>
      </c>
      <c r="AV140" s="5" t="str">
        <f>HYPERLINK("http://www.worldcat.org/oclc/45500371","WorldCat Record")</f>
        <v>WorldCat Record</v>
      </c>
      <c r="AW140" s="2" t="s">
        <v>1691</v>
      </c>
      <c r="AX140" s="2" t="s">
        <v>1692</v>
      </c>
      <c r="AY140" s="2" t="s">
        <v>1693</v>
      </c>
      <c r="AZ140" s="2" t="s">
        <v>1693</v>
      </c>
      <c r="BA140" s="2" t="s">
        <v>1694</v>
      </c>
      <c r="BB140" s="2" t="s">
        <v>81</v>
      </c>
      <c r="BD140" s="2" t="s">
        <v>1695</v>
      </c>
      <c r="BE140" s="2" t="s">
        <v>1696</v>
      </c>
      <c r="BF140" s="2" t="s">
        <v>1697</v>
      </c>
    </row>
    <row r="141" spans="1:58" ht="42" customHeight="1">
      <c r="A141" s="1"/>
      <c r="B141" s="1" t="s">
        <v>58</v>
      </c>
      <c r="C141" s="1" t="s">
        <v>59</v>
      </c>
      <c r="D141" s="1" t="s">
        <v>1684</v>
      </c>
      <c r="E141" s="1" t="s">
        <v>1685</v>
      </c>
      <c r="F141" s="1" t="s">
        <v>1686</v>
      </c>
      <c r="G141" s="2" t="s">
        <v>372</v>
      </c>
      <c r="H141" s="2" t="s">
        <v>76</v>
      </c>
      <c r="I141" s="2" t="s">
        <v>64</v>
      </c>
      <c r="J141" s="2" t="s">
        <v>63</v>
      </c>
      <c r="K141" s="2" t="s">
        <v>76</v>
      </c>
      <c r="L141" s="2" t="s">
        <v>65</v>
      </c>
      <c r="N141" s="1" t="s">
        <v>1687</v>
      </c>
      <c r="O141" s="2" t="s">
        <v>1688</v>
      </c>
      <c r="P141" s="1" t="s">
        <v>69</v>
      </c>
      <c r="Q141" s="2" t="s">
        <v>70</v>
      </c>
      <c r="R141" s="2" t="s">
        <v>246</v>
      </c>
      <c r="T141" s="2" t="s">
        <v>73</v>
      </c>
      <c r="U141" s="3">
        <v>1</v>
      </c>
      <c r="V141" s="3">
        <v>3</v>
      </c>
      <c r="X141" s="4" t="s">
        <v>1689</v>
      </c>
      <c r="Y141" s="4" t="s">
        <v>1690</v>
      </c>
      <c r="Z141" s="4" t="s">
        <v>1690</v>
      </c>
      <c r="AA141" s="3">
        <v>325</v>
      </c>
      <c r="AB141" s="3">
        <v>241</v>
      </c>
      <c r="AC141" s="3">
        <v>524</v>
      </c>
      <c r="AD141" s="3">
        <v>1</v>
      </c>
      <c r="AE141" s="3">
        <v>4</v>
      </c>
      <c r="AF141" s="3">
        <v>5</v>
      </c>
      <c r="AG141" s="3">
        <v>18</v>
      </c>
      <c r="AH141" s="3">
        <v>0</v>
      </c>
      <c r="AI141" s="3">
        <v>5</v>
      </c>
      <c r="AJ141" s="3">
        <v>4</v>
      </c>
      <c r="AK141" s="3">
        <v>7</v>
      </c>
      <c r="AL141" s="3">
        <v>2</v>
      </c>
      <c r="AM141" s="3">
        <v>10</v>
      </c>
      <c r="AN141" s="3">
        <v>0</v>
      </c>
      <c r="AO141" s="3">
        <v>2</v>
      </c>
      <c r="AP141" s="3">
        <v>0</v>
      </c>
      <c r="AQ141" s="3">
        <v>0</v>
      </c>
      <c r="AR141" s="2" t="s">
        <v>63</v>
      </c>
      <c r="AS141" s="2" t="s">
        <v>63</v>
      </c>
      <c r="AU141" s="5" t="str">
        <f>HYPERLINK("https://creighton-primo.hosted.exlibrisgroup.com/primo-explore/search?tab=default_tab&amp;search_scope=EVERYTHING&amp;vid=01CRU&amp;lang=en_US&amp;offset=0&amp;query=any,contains,991000333339702656","Catalog Record")</f>
        <v>Catalog Record</v>
      </c>
      <c r="AV141" s="5" t="str">
        <f>HYPERLINK("http://www.worldcat.org/oclc/45500371","WorldCat Record")</f>
        <v>WorldCat Record</v>
      </c>
      <c r="AW141" s="2" t="s">
        <v>1691</v>
      </c>
      <c r="AX141" s="2" t="s">
        <v>1692</v>
      </c>
      <c r="AY141" s="2" t="s">
        <v>1693</v>
      </c>
      <c r="AZ141" s="2" t="s">
        <v>1693</v>
      </c>
      <c r="BA141" s="2" t="s">
        <v>1694</v>
      </c>
      <c r="BB141" s="2" t="s">
        <v>81</v>
      </c>
      <c r="BD141" s="2" t="s">
        <v>1695</v>
      </c>
      <c r="BE141" s="2" t="s">
        <v>1698</v>
      </c>
      <c r="BF141" s="2" t="s">
        <v>1699</v>
      </c>
    </row>
    <row r="142" spans="1:58" ht="42" customHeight="1">
      <c r="A142" s="1"/>
      <c r="B142" s="1" t="s">
        <v>58</v>
      </c>
      <c r="C142" s="1" t="s">
        <v>59</v>
      </c>
      <c r="D142" s="1" t="s">
        <v>1700</v>
      </c>
      <c r="E142" s="1" t="s">
        <v>1701</v>
      </c>
      <c r="F142" s="1" t="s">
        <v>1702</v>
      </c>
      <c r="H142" s="2" t="s">
        <v>63</v>
      </c>
      <c r="I142" s="2" t="s">
        <v>64</v>
      </c>
      <c r="J142" s="2" t="s">
        <v>63</v>
      </c>
      <c r="K142" s="2" t="s">
        <v>63</v>
      </c>
      <c r="L142" s="2" t="s">
        <v>65</v>
      </c>
      <c r="M142" s="1" t="s">
        <v>1703</v>
      </c>
      <c r="N142" s="1" t="s">
        <v>1704</v>
      </c>
      <c r="O142" s="2" t="s">
        <v>863</v>
      </c>
      <c r="P142" s="1" t="s">
        <v>231</v>
      </c>
      <c r="Q142" s="2" t="s">
        <v>70</v>
      </c>
      <c r="R142" s="2" t="s">
        <v>107</v>
      </c>
      <c r="T142" s="2" t="s">
        <v>73</v>
      </c>
      <c r="U142" s="3">
        <v>15</v>
      </c>
      <c r="V142" s="3">
        <v>15</v>
      </c>
      <c r="W142" s="4" t="s">
        <v>1705</v>
      </c>
      <c r="X142" s="4" t="s">
        <v>1705</v>
      </c>
      <c r="Y142" s="4" t="s">
        <v>1706</v>
      </c>
      <c r="Z142" s="4" t="s">
        <v>1706</v>
      </c>
      <c r="AA142" s="3">
        <v>200</v>
      </c>
      <c r="AB142" s="3">
        <v>135</v>
      </c>
      <c r="AC142" s="3">
        <v>385</v>
      </c>
      <c r="AD142" s="3">
        <v>1</v>
      </c>
      <c r="AE142" s="3">
        <v>1</v>
      </c>
      <c r="AF142" s="3">
        <v>1</v>
      </c>
      <c r="AG142" s="3">
        <v>13</v>
      </c>
      <c r="AH142" s="3">
        <v>0</v>
      </c>
      <c r="AI142" s="3">
        <v>4</v>
      </c>
      <c r="AJ142" s="3">
        <v>1</v>
      </c>
      <c r="AK142" s="3">
        <v>3</v>
      </c>
      <c r="AL142" s="3">
        <v>1</v>
      </c>
      <c r="AM142" s="3">
        <v>10</v>
      </c>
      <c r="AN142" s="3">
        <v>0</v>
      </c>
      <c r="AO142" s="3">
        <v>0</v>
      </c>
      <c r="AP142" s="3">
        <v>0</v>
      </c>
      <c r="AQ142" s="3">
        <v>0</v>
      </c>
      <c r="AR142" s="2" t="s">
        <v>63</v>
      </c>
      <c r="AS142" s="2" t="s">
        <v>63</v>
      </c>
      <c r="AU142" s="5" t="str">
        <f>HYPERLINK("https://creighton-primo.hosted.exlibrisgroup.com/primo-explore/search?tab=default_tab&amp;search_scope=EVERYTHING&amp;vid=01CRU&amp;lang=en_US&amp;offset=0&amp;query=any,contains,991001420389702656","Catalog Record")</f>
        <v>Catalog Record</v>
      </c>
      <c r="AV142" s="5" t="str">
        <f>HYPERLINK("http://www.worldcat.org/oclc/17200063","WorldCat Record")</f>
        <v>WorldCat Record</v>
      </c>
      <c r="AW142" s="2" t="s">
        <v>1707</v>
      </c>
      <c r="AX142" s="2" t="s">
        <v>1708</v>
      </c>
      <c r="AY142" s="2" t="s">
        <v>1709</v>
      </c>
      <c r="AZ142" s="2" t="s">
        <v>1709</v>
      </c>
      <c r="BA142" s="2" t="s">
        <v>1710</v>
      </c>
      <c r="BB142" s="2" t="s">
        <v>81</v>
      </c>
      <c r="BD142" s="2" t="s">
        <v>1711</v>
      </c>
      <c r="BE142" s="2" t="s">
        <v>1712</v>
      </c>
      <c r="BF142" s="2" t="s">
        <v>1713</v>
      </c>
    </row>
    <row r="143" spans="1:58" ht="42" customHeight="1">
      <c r="A143" s="1"/>
      <c r="B143" s="1" t="s">
        <v>58</v>
      </c>
      <c r="C143" s="1" t="s">
        <v>59</v>
      </c>
      <c r="D143" s="1" t="s">
        <v>1714</v>
      </c>
      <c r="E143" s="1" t="s">
        <v>1715</v>
      </c>
      <c r="F143" s="1" t="s">
        <v>1716</v>
      </c>
      <c r="H143" s="2" t="s">
        <v>63</v>
      </c>
      <c r="I143" s="2" t="s">
        <v>64</v>
      </c>
      <c r="J143" s="2" t="s">
        <v>63</v>
      </c>
      <c r="K143" s="2" t="s">
        <v>76</v>
      </c>
      <c r="L143" s="2" t="s">
        <v>65</v>
      </c>
      <c r="N143" s="1" t="s">
        <v>1717</v>
      </c>
      <c r="O143" s="2" t="s">
        <v>894</v>
      </c>
      <c r="P143" s="1" t="s">
        <v>1718</v>
      </c>
      <c r="Q143" s="2" t="s">
        <v>70</v>
      </c>
      <c r="R143" s="2" t="s">
        <v>422</v>
      </c>
      <c r="T143" s="2" t="s">
        <v>73</v>
      </c>
      <c r="U143" s="3">
        <v>5</v>
      </c>
      <c r="V143" s="3">
        <v>5</v>
      </c>
      <c r="W143" s="4" t="s">
        <v>1719</v>
      </c>
      <c r="X143" s="4" t="s">
        <v>1719</v>
      </c>
      <c r="Y143" s="4" t="s">
        <v>301</v>
      </c>
      <c r="Z143" s="4" t="s">
        <v>301</v>
      </c>
      <c r="AA143" s="3">
        <v>497</v>
      </c>
      <c r="AB143" s="3">
        <v>321</v>
      </c>
      <c r="AC143" s="3">
        <v>695</v>
      </c>
      <c r="AD143" s="3">
        <v>1</v>
      </c>
      <c r="AE143" s="3">
        <v>4</v>
      </c>
      <c r="AF143" s="3">
        <v>14</v>
      </c>
      <c r="AG143" s="3">
        <v>22</v>
      </c>
      <c r="AH143" s="3">
        <v>5</v>
      </c>
      <c r="AI143" s="3">
        <v>7</v>
      </c>
      <c r="AJ143" s="3">
        <v>5</v>
      </c>
      <c r="AK143" s="3">
        <v>5</v>
      </c>
      <c r="AL143" s="3">
        <v>9</v>
      </c>
      <c r="AM143" s="3">
        <v>13</v>
      </c>
      <c r="AN143" s="3">
        <v>0</v>
      </c>
      <c r="AO143" s="3">
        <v>2</v>
      </c>
      <c r="AP143" s="3">
        <v>0</v>
      </c>
      <c r="AQ143" s="3">
        <v>0</v>
      </c>
      <c r="AR143" s="2" t="s">
        <v>63</v>
      </c>
      <c r="AS143" s="2" t="s">
        <v>76</v>
      </c>
      <c r="AT143" s="5" t="str">
        <f>HYPERLINK("http://catalog.hathitrust.org/Record/000253431","HathiTrust Record")</f>
        <v>HathiTrust Record</v>
      </c>
      <c r="AU143" s="5" t="str">
        <f>HYPERLINK("https://creighton-primo.hosted.exlibrisgroup.com/primo-explore/search?tab=default_tab&amp;search_scope=EVERYTHING&amp;vid=01CRU&amp;lang=en_US&amp;offset=0&amp;query=any,contains,991000748769702656","Catalog Record")</f>
        <v>Catalog Record</v>
      </c>
      <c r="AV143" s="5" t="str">
        <f>HYPERLINK("http://www.worldcat.org/oclc/3071766","WorldCat Record")</f>
        <v>WorldCat Record</v>
      </c>
      <c r="AW143" s="2" t="s">
        <v>1720</v>
      </c>
      <c r="AX143" s="2" t="s">
        <v>1721</v>
      </c>
      <c r="AY143" s="2" t="s">
        <v>1722</v>
      </c>
      <c r="AZ143" s="2" t="s">
        <v>1722</v>
      </c>
      <c r="BA143" s="2" t="s">
        <v>1723</v>
      </c>
      <c r="BB143" s="2" t="s">
        <v>81</v>
      </c>
      <c r="BD143" s="2" t="s">
        <v>1724</v>
      </c>
      <c r="BE143" s="2" t="s">
        <v>1725</v>
      </c>
      <c r="BF143" s="2" t="s">
        <v>1726</v>
      </c>
    </row>
    <row r="144" spans="1:58" ht="42" customHeight="1">
      <c r="A144" s="1"/>
      <c r="B144" s="1" t="s">
        <v>58</v>
      </c>
      <c r="C144" s="1" t="s">
        <v>59</v>
      </c>
      <c r="D144" s="1" t="s">
        <v>1727</v>
      </c>
      <c r="E144" s="1" t="s">
        <v>1728</v>
      </c>
      <c r="F144" s="1" t="s">
        <v>1729</v>
      </c>
      <c r="H144" s="2" t="s">
        <v>63</v>
      </c>
      <c r="I144" s="2" t="s">
        <v>64</v>
      </c>
      <c r="J144" s="2" t="s">
        <v>63</v>
      </c>
      <c r="K144" s="2" t="s">
        <v>63</v>
      </c>
      <c r="L144" s="2" t="s">
        <v>65</v>
      </c>
      <c r="M144" s="1" t="s">
        <v>1730</v>
      </c>
      <c r="N144" s="1" t="s">
        <v>1731</v>
      </c>
      <c r="O144" s="2" t="s">
        <v>508</v>
      </c>
      <c r="Q144" s="2" t="s">
        <v>70</v>
      </c>
      <c r="R144" s="2" t="s">
        <v>422</v>
      </c>
      <c r="S144" s="1" t="s">
        <v>1732</v>
      </c>
      <c r="T144" s="2" t="s">
        <v>73</v>
      </c>
      <c r="U144" s="3">
        <v>9</v>
      </c>
      <c r="V144" s="3">
        <v>9</v>
      </c>
      <c r="W144" s="4" t="s">
        <v>1733</v>
      </c>
      <c r="X144" s="4" t="s">
        <v>1733</v>
      </c>
      <c r="Y144" s="4" t="s">
        <v>1258</v>
      </c>
      <c r="Z144" s="4" t="s">
        <v>1258</v>
      </c>
      <c r="AA144" s="3">
        <v>260</v>
      </c>
      <c r="AB144" s="3">
        <v>163</v>
      </c>
      <c r="AC144" s="3">
        <v>213</v>
      </c>
      <c r="AD144" s="3">
        <v>1</v>
      </c>
      <c r="AE144" s="3">
        <v>2</v>
      </c>
      <c r="AF144" s="3">
        <v>2</v>
      </c>
      <c r="AG144" s="3">
        <v>6</v>
      </c>
      <c r="AH144" s="3">
        <v>1</v>
      </c>
      <c r="AI144" s="3">
        <v>3</v>
      </c>
      <c r="AJ144" s="3">
        <v>1</v>
      </c>
      <c r="AK144" s="3">
        <v>3</v>
      </c>
      <c r="AL144" s="3">
        <v>1</v>
      </c>
      <c r="AM144" s="3">
        <v>1</v>
      </c>
      <c r="AN144" s="3">
        <v>0</v>
      </c>
      <c r="AO144" s="3">
        <v>1</v>
      </c>
      <c r="AP144" s="3">
        <v>0</v>
      </c>
      <c r="AQ144" s="3">
        <v>0</v>
      </c>
      <c r="AR144" s="2" t="s">
        <v>63</v>
      </c>
      <c r="AS144" s="2" t="s">
        <v>63</v>
      </c>
      <c r="AU144" s="5" t="str">
        <f>HYPERLINK("https://creighton-primo.hosted.exlibrisgroup.com/primo-explore/search?tab=default_tab&amp;search_scope=EVERYTHING&amp;vid=01CRU&amp;lang=en_US&amp;offset=0&amp;query=any,contains,991000997359702656","Catalog Record")</f>
        <v>Catalog Record</v>
      </c>
      <c r="AV144" s="5" t="str">
        <f>HYPERLINK("http://www.worldcat.org/oclc/815007","WorldCat Record")</f>
        <v>WorldCat Record</v>
      </c>
      <c r="AW144" s="2" t="s">
        <v>1734</v>
      </c>
      <c r="AX144" s="2" t="s">
        <v>1735</v>
      </c>
      <c r="AY144" s="2" t="s">
        <v>1736</v>
      </c>
      <c r="AZ144" s="2" t="s">
        <v>1736</v>
      </c>
      <c r="BA144" s="2" t="s">
        <v>1737</v>
      </c>
      <c r="BB144" s="2" t="s">
        <v>81</v>
      </c>
      <c r="BD144" s="2" t="s">
        <v>1738</v>
      </c>
      <c r="BE144" s="2" t="s">
        <v>1739</v>
      </c>
      <c r="BF144" s="2" t="s">
        <v>1740</v>
      </c>
    </row>
    <row r="145" spans="1:58" ht="42" customHeight="1">
      <c r="A145" s="1"/>
      <c r="B145" s="1" t="s">
        <v>58</v>
      </c>
      <c r="C145" s="1" t="s">
        <v>59</v>
      </c>
      <c r="D145" s="1" t="s">
        <v>1741</v>
      </c>
      <c r="E145" s="1" t="s">
        <v>1742</v>
      </c>
      <c r="F145" s="1" t="s">
        <v>1743</v>
      </c>
      <c r="H145" s="2" t="s">
        <v>63</v>
      </c>
      <c r="I145" s="2" t="s">
        <v>64</v>
      </c>
      <c r="J145" s="2" t="s">
        <v>63</v>
      </c>
      <c r="K145" s="2" t="s">
        <v>63</v>
      </c>
      <c r="L145" s="2" t="s">
        <v>65</v>
      </c>
      <c r="M145" s="1" t="s">
        <v>1744</v>
      </c>
      <c r="N145" s="1" t="s">
        <v>1745</v>
      </c>
      <c r="O145" s="2" t="s">
        <v>550</v>
      </c>
      <c r="Q145" s="2" t="s">
        <v>70</v>
      </c>
      <c r="R145" s="2" t="s">
        <v>593</v>
      </c>
      <c r="T145" s="2" t="s">
        <v>73</v>
      </c>
      <c r="U145" s="3">
        <v>1</v>
      </c>
      <c r="V145" s="3">
        <v>1</v>
      </c>
      <c r="W145" s="4" t="s">
        <v>1645</v>
      </c>
      <c r="X145" s="4" t="s">
        <v>1645</v>
      </c>
      <c r="Y145" s="4" t="s">
        <v>1258</v>
      </c>
      <c r="Z145" s="4" t="s">
        <v>1258</v>
      </c>
      <c r="AA145" s="3">
        <v>165</v>
      </c>
      <c r="AB145" s="3">
        <v>131</v>
      </c>
      <c r="AC145" s="3">
        <v>133</v>
      </c>
      <c r="AD145" s="3">
        <v>2</v>
      </c>
      <c r="AE145" s="3">
        <v>2</v>
      </c>
      <c r="AF145" s="3">
        <v>1</v>
      </c>
      <c r="AG145" s="3">
        <v>1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</v>
      </c>
      <c r="AO145" s="3">
        <v>1</v>
      </c>
      <c r="AP145" s="3">
        <v>0</v>
      </c>
      <c r="AQ145" s="3">
        <v>0</v>
      </c>
      <c r="AR145" s="2" t="s">
        <v>63</v>
      </c>
      <c r="AS145" s="2" t="s">
        <v>76</v>
      </c>
      <c r="AT145" s="5" t="str">
        <f>HYPERLINK("http://catalog.hathitrust.org/Record/001556740","HathiTrust Record")</f>
        <v>HathiTrust Record</v>
      </c>
      <c r="AU145" s="5" t="str">
        <f>HYPERLINK("https://creighton-primo.hosted.exlibrisgroup.com/primo-explore/search?tab=default_tab&amp;search_scope=EVERYTHING&amp;vid=01CRU&amp;lang=en_US&amp;offset=0&amp;query=any,contains,991000997439702656","Catalog Record")</f>
        <v>Catalog Record</v>
      </c>
      <c r="AV145" s="5" t="str">
        <f>HYPERLINK("http://www.worldcat.org/oclc/137063","WorldCat Record")</f>
        <v>WorldCat Record</v>
      </c>
      <c r="AW145" s="2" t="s">
        <v>1746</v>
      </c>
      <c r="AX145" s="2" t="s">
        <v>1747</v>
      </c>
      <c r="AY145" s="2" t="s">
        <v>1748</v>
      </c>
      <c r="AZ145" s="2" t="s">
        <v>1748</v>
      </c>
      <c r="BA145" s="2" t="s">
        <v>1749</v>
      </c>
      <c r="BB145" s="2" t="s">
        <v>81</v>
      </c>
      <c r="BE145" s="2" t="s">
        <v>1750</v>
      </c>
      <c r="BF145" s="2" t="s">
        <v>1751</v>
      </c>
    </row>
    <row r="146" spans="1:58" ht="42" customHeight="1">
      <c r="A146" s="1"/>
      <c r="B146" s="1" t="s">
        <v>58</v>
      </c>
      <c r="C146" s="1" t="s">
        <v>59</v>
      </c>
      <c r="D146" s="1" t="s">
        <v>1752</v>
      </c>
      <c r="E146" s="1" t="s">
        <v>1753</v>
      </c>
      <c r="F146" s="1" t="s">
        <v>1754</v>
      </c>
      <c r="H146" s="2" t="s">
        <v>63</v>
      </c>
      <c r="I146" s="2" t="s">
        <v>64</v>
      </c>
      <c r="J146" s="2" t="s">
        <v>63</v>
      </c>
      <c r="K146" s="2" t="s">
        <v>63</v>
      </c>
      <c r="L146" s="2" t="s">
        <v>65</v>
      </c>
      <c r="M146" s="1" t="s">
        <v>1755</v>
      </c>
      <c r="N146" s="1" t="s">
        <v>1756</v>
      </c>
      <c r="O146" s="2" t="s">
        <v>106</v>
      </c>
      <c r="Q146" s="2" t="s">
        <v>70</v>
      </c>
      <c r="R146" s="2" t="s">
        <v>422</v>
      </c>
      <c r="T146" s="2" t="s">
        <v>73</v>
      </c>
      <c r="U146" s="3">
        <v>1</v>
      </c>
      <c r="V146" s="3">
        <v>1</v>
      </c>
      <c r="W146" s="4" t="s">
        <v>1757</v>
      </c>
      <c r="X146" s="4" t="s">
        <v>1757</v>
      </c>
      <c r="Y146" s="4" t="s">
        <v>109</v>
      </c>
      <c r="Z146" s="4" t="s">
        <v>109</v>
      </c>
      <c r="AA146" s="3">
        <v>61</v>
      </c>
      <c r="AB146" s="3">
        <v>43</v>
      </c>
      <c r="AC146" s="3">
        <v>44</v>
      </c>
      <c r="AD146" s="3">
        <v>1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2" t="s">
        <v>63</v>
      </c>
      <c r="AS146" s="2" t="s">
        <v>63</v>
      </c>
      <c r="AU146" s="5" t="str">
        <f>HYPERLINK("https://creighton-primo.hosted.exlibrisgroup.com/primo-explore/search?tab=default_tab&amp;search_scope=EVERYTHING&amp;vid=01CRU&amp;lang=en_US&amp;offset=0&amp;query=any,contains,991000997549702656","Catalog Record")</f>
        <v>Catalog Record</v>
      </c>
      <c r="AV146" s="5" t="str">
        <f>HYPERLINK("http://www.worldcat.org/oclc/10753105","WorldCat Record")</f>
        <v>WorldCat Record</v>
      </c>
      <c r="AW146" s="2" t="s">
        <v>1758</v>
      </c>
      <c r="AX146" s="2" t="s">
        <v>1759</v>
      </c>
      <c r="AY146" s="2" t="s">
        <v>1760</v>
      </c>
      <c r="AZ146" s="2" t="s">
        <v>1760</v>
      </c>
      <c r="BA146" s="2" t="s">
        <v>1761</v>
      </c>
      <c r="BB146" s="2" t="s">
        <v>81</v>
      </c>
      <c r="BD146" s="2" t="s">
        <v>1762</v>
      </c>
      <c r="BE146" s="2" t="s">
        <v>1763</v>
      </c>
      <c r="BF146" s="2" t="s">
        <v>1764</v>
      </c>
    </row>
    <row r="147" spans="1:58" ht="42" customHeight="1">
      <c r="A147" s="1"/>
      <c r="B147" s="1" t="s">
        <v>58</v>
      </c>
      <c r="C147" s="1" t="s">
        <v>59</v>
      </c>
      <c r="D147" s="1" t="s">
        <v>1765</v>
      </c>
      <c r="E147" s="1" t="s">
        <v>1766</v>
      </c>
      <c r="F147" s="1" t="s">
        <v>1767</v>
      </c>
      <c r="H147" s="2" t="s">
        <v>63</v>
      </c>
      <c r="I147" s="2" t="s">
        <v>64</v>
      </c>
      <c r="J147" s="2" t="s">
        <v>63</v>
      </c>
      <c r="K147" s="2" t="s">
        <v>63</v>
      </c>
      <c r="L147" s="2" t="s">
        <v>65</v>
      </c>
      <c r="M147" s="1" t="s">
        <v>1768</v>
      </c>
      <c r="N147" s="1" t="s">
        <v>1769</v>
      </c>
      <c r="O147" s="2" t="s">
        <v>449</v>
      </c>
      <c r="Q147" s="2" t="s">
        <v>70</v>
      </c>
      <c r="R147" s="2" t="s">
        <v>648</v>
      </c>
      <c r="T147" s="2" t="s">
        <v>73</v>
      </c>
      <c r="U147" s="3">
        <v>2</v>
      </c>
      <c r="V147" s="3">
        <v>2</v>
      </c>
      <c r="W147" s="4" t="s">
        <v>1770</v>
      </c>
      <c r="X147" s="4" t="s">
        <v>1770</v>
      </c>
      <c r="Y147" s="4" t="s">
        <v>1771</v>
      </c>
      <c r="Z147" s="4" t="s">
        <v>1771</v>
      </c>
      <c r="AA147" s="3">
        <v>35</v>
      </c>
      <c r="AB147" s="3">
        <v>29</v>
      </c>
      <c r="AC147" s="3">
        <v>30</v>
      </c>
      <c r="AD147" s="3">
        <v>1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2" t="s">
        <v>63</v>
      </c>
      <c r="AS147" s="2" t="s">
        <v>76</v>
      </c>
      <c r="AT147" s="5" t="str">
        <f>HYPERLINK("http://catalog.hathitrust.org/Record/008856608","HathiTrust Record")</f>
        <v>HathiTrust Record</v>
      </c>
      <c r="AU147" s="5" t="str">
        <f>HYPERLINK("https://creighton-primo.hosted.exlibrisgroup.com/primo-explore/search?tab=default_tab&amp;search_scope=EVERYTHING&amp;vid=01CRU&amp;lang=en_US&amp;offset=0&amp;query=any,contains,991001269699702656","Catalog Record")</f>
        <v>Catalog Record</v>
      </c>
      <c r="AV147" s="5" t="str">
        <f>HYPERLINK("http://www.worldcat.org/oclc/15963159","WorldCat Record")</f>
        <v>WorldCat Record</v>
      </c>
      <c r="AW147" s="2" t="s">
        <v>1772</v>
      </c>
      <c r="AX147" s="2" t="s">
        <v>1773</v>
      </c>
      <c r="AY147" s="2" t="s">
        <v>1774</v>
      </c>
      <c r="AZ147" s="2" t="s">
        <v>1774</v>
      </c>
      <c r="BA147" s="2" t="s">
        <v>1775</v>
      </c>
      <c r="BB147" s="2" t="s">
        <v>81</v>
      </c>
      <c r="BD147" s="2" t="s">
        <v>1776</v>
      </c>
      <c r="BE147" s="2" t="s">
        <v>1777</v>
      </c>
      <c r="BF147" s="2" t="s">
        <v>1778</v>
      </c>
    </row>
    <row r="148" spans="1:58" ht="42" customHeight="1">
      <c r="A148" s="1"/>
      <c r="B148" s="1" t="s">
        <v>58</v>
      </c>
      <c r="C148" s="1" t="s">
        <v>59</v>
      </c>
      <c r="D148" s="1" t="s">
        <v>1779</v>
      </c>
      <c r="E148" s="1" t="s">
        <v>1780</v>
      </c>
      <c r="F148" s="1" t="s">
        <v>1781</v>
      </c>
      <c r="H148" s="2" t="s">
        <v>63</v>
      </c>
      <c r="I148" s="2" t="s">
        <v>64</v>
      </c>
      <c r="J148" s="2" t="s">
        <v>63</v>
      </c>
      <c r="K148" s="2" t="s">
        <v>63</v>
      </c>
      <c r="L148" s="2" t="s">
        <v>65</v>
      </c>
      <c r="M148" s="1" t="s">
        <v>1782</v>
      </c>
      <c r="N148" s="1" t="s">
        <v>1783</v>
      </c>
      <c r="O148" s="2" t="s">
        <v>713</v>
      </c>
      <c r="Q148" s="2" t="s">
        <v>70</v>
      </c>
      <c r="R148" s="2" t="s">
        <v>408</v>
      </c>
      <c r="S148" s="1" t="s">
        <v>1784</v>
      </c>
      <c r="T148" s="2" t="s">
        <v>73</v>
      </c>
      <c r="U148" s="3">
        <v>3</v>
      </c>
      <c r="V148" s="3">
        <v>3</v>
      </c>
      <c r="W148" s="4" t="s">
        <v>1785</v>
      </c>
      <c r="X148" s="4" t="s">
        <v>1785</v>
      </c>
      <c r="Y148" s="4" t="s">
        <v>1786</v>
      </c>
      <c r="Z148" s="4" t="s">
        <v>1786</v>
      </c>
      <c r="AA148" s="3">
        <v>59</v>
      </c>
      <c r="AB148" s="3">
        <v>52</v>
      </c>
      <c r="AC148" s="3">
        <v>54</v>
      </c>
      <c r="AD148" s="3">
        <v>1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2" t="s">
        <v>63</v>
      </c>
      <c r="AS148" s="2" t="s">
        <v>63</v>
      </c>
      <c r="AU148" s="5" t="str">
        <f>HYPERLINK("https://creighton-primo.hosted.exlibrisgroup.com/primo-explore/search?tab=default_tab&amp;search_scope=EVERYTHING&amp;vid=01CRU&amp;lang=en_US&amp;offset=0&amp;query=any,contains,991001115829702656","Catalog Record")</f>
        <v>Catalog Record</v>
      </c>
      <c r="AV148" s="5" t="str">
        <f>HYPERLINK("http://www.worldcat.org/oclc/16088113","WorldCat Record")</f>
        <v>WorldCat Record</v>
      </c>
      <c r="AW148" s="2" t="s">
        <v>1787</v>
      </c>
      <c r="AX148" s="2" t="s">
        <v>1788</v>
      </c>
      <c r="AY148" s="2" t="s">
        <v>1789</v>
      </c>
      <c r="AZ148" s="2" t="s">
        <v>1789</v>
      </c>
      <c r="BA148" s="2" t="s">
        <v>1790</v>
      </c>
      <c r="BB148" s="2" t="s">
        <v>81</v>
      </c>
      <c r="BD148" s="2" t="s">
        <v>1791</v>
      </c>
      <c r="BE148" s="2" t="s">
        <v>1792</v>
      </c>
      <c r="BF148" s="2" t="s">
        <v>1793</v>
      </c>
    </row>
    <row r="149" spans="1:58" ht="42" customHeight="1">
      <c r="A149" s="1"/>
      <c r="B149" s="1" t="s">
        <v>58</v>
      </c>
      <c r="C149" s="1" t="s">
        <v>59</v>
      </c>
      <c r="D149" s="1" t="s">
        <v>1794</v>
      </c>
      <c r="E149" s="1" t="s">
        <v>1795</v>
      </c>
      <c r="F149" s="1" t="s">
        <v>1796</v>
      </c>
      <c r="H149" s="2" t="s">
        <v>63</v>
      </c>
      <c r="I149" s="2" t="s">
        <v>64</v>
      </c>
      <c r="J149" s="2" t="s">
        <v>63</v>
      </c>
      <c r="K149" s="2" t="s">
        <v>63</v>
      </c>
      <c r="L149" s="2" t="s">
        <v>65</v>
      </c>
      <c r="M149" s="1" t="s">
        <v>1797</v>
      </c>
      <c r="N149" s="1" t="s">
        <v>1798</v>
      </c>
      <c r="O149" s="2" t="s">
        <v>863</v>
      </c>
      <c r="Q149" s="2" t="s">
        <v>70</v>
      </c>
      <c r="R149" s="2" t="s">
        <v>408</v>
      </c>
      <c r="T149" s="2" t="s">
        <v>73</v>
      </c>
      <c r="U149" s="3">
        <v>6</v>
      </c>
      <c r="V149" s="3">
        <v>6</v>
      </c>
      <c r="W149" s="4" t="s">
        <v>1799</v>
      </c>
      <c r="X149" s="4" t="s">
        <v>1799</v>
      </c>
      <c r="Y149" s="4" t="s">
        <v>1786</v>
      </c>
      <c r="Z149" s="4" t="s">
        <v>1786</v>
      </c>
      <c r="AA149" s="3">
        <v>28</v>
      </c>
      <c r="AB149" s="3">
        <v>19</v>
      </c>
      <c r="AC149" s="3">
        <v>24</v>
      </c>
      <c r="AD149" s="3">
        <v>1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2" t="s">
        <v>63</v>
      </c>
      <c r="AS149" s="2" t="s">
        <v>63</v>
      </c>
      <c r="AU149" s="5" t="str">
        <f>HYPERLINK("https://creighton-primo.hosted.exlibrisgroup.com/primo-explore/search?tab=default_tab&amp;search_scope=EVERYTHING&amp;vid=01CRU&amp;lang=en_US&amp;offset=0&amp;query=any,contains,991001115869702656","Catalog Record")</f>
        <v>Catalog Record</v>
      </c>
      <c r="AV149" s="5" t="str">
        <f>HYPERLINK("http://www.worldcat.org/oclc/19391022","WorldCat Record")</f>
        <v>WorldCat Record</v>
      </c>
      <c r="AW149" s="2" t="s">
        <v>1800</v>
      </c>
      <c r="AX149" s="2" t="s">
        <v>1801</v>
      </c>
      <c r="AY149" s="2" t="s">
        <v>1802</v>
      </c>
      <c r="AZ149" s="2" t="s">
        <v>1802</v>
      </c>
      <c r="BA149" s="2" t="s">
        <v>1803</v>
      </c>
      <c r="BB149" s="2" t="s">
        <v>81</v>
      </c>
      <c r="BD149" s="2" t="s">
        <v>1804</v>
      </c>
      <c r="BE149" s="2" t="s">
        <v>1805</v>
      </c>
      <c r="BF149" s="2" t="s">
        <v>1806</v>
      </c>
    </row>
    <row r="150" spans="1:58" ht="42" customHeight="1">
      <c r="A150" s="1"/>
      <c r="B150" s="1" t="s">
        <v>58</v>
      </c>
      <c r="C150" s="1" t="s">
        <v>59</v>
      </c>
      <c r="D150" s="1" t="s">
        <v>1807</v>
      </c>
      <c r="E150" s="1" t="s">
        <v>1808</v>
      </c>
      <c r="F150" s="1" t="s">
        <v>1809</v>
      </c>
      <c r="H150" s="2" t="s">
        <v>63</v>
      </c>
      <c r="I150" s="2" t="s">
        <v>64</v>
      </c>
      <c r="J150" s="2" t="s">
        <v>63</v>
      </c>
      <c r="K150" s="2" t="s">
        <v>63</v>
      </c>
      <c r="L150" s="2" t="s">
        <v>65</v>
      </c>
      <c r="M150" s="1" t="s">
        <v>1810</v>
      </c>
      <c r="N150" s="1" t="s">
        <v>1811</v>
      </c>
      <c r="O150" s="2" t="s">
        <v>121</v>
      </c>
      <c r="Q150" s="2" t="s">
        <v>70</v>
      </c>
      <c r="R150" s="2" t="s">
        <v>107</v>
      </c>
      <c r="T150" s="2" t="s">
        <v>73</v>
      </c>
      <c r="U150" s="3">
        <v>3</v>
      </c>
      <c r="V150" s="3">
        <v>3</v>
      </c>
      <c r="W150" s="4" t="s">
        <v>1812</v>
      </c>
      <c r="X150" s="4" t="s">
        <v>1812</v>
      </c>
      <c r="Y150" s="4" t="s">
        <v>109</v>
      </c>
      <c r="Z150" s="4" t="s">
        <v>109</v>
      </c>
      <c r="AA150" s="3">
        <v>123</v>
      </c>
      <c r="AB150" s="3">
        <v>80</v>
      </c>
      <c r="AC150" s="3">
        <v>117</v>
      </c>
      <c r="AD150" s="3">
        <v>2</v>
      </c>
      <c r="AE150" s="3">
        <v>2</v>
      </c>
      <c r="AF150" s="3">
        <v>4</v>
      </c>
      <c r="AG150" s="3">
        <v>4</v>
      </c>
      <c r="AH150" s="3">
        <v>0</v>
      </c>
      <c r="AI150" s="3">
        <v>0</v>
      </c>
      <c r="AJ150" s="3">
        <v>1</v>
      </c>
      <c r="AK150" s="3">
        <v>1</v>
      </c>
      <c r="AL150" s="3">
        <v>3</v>
      </c>
      <c r="AM150" s="3">
        <v>3</v>
      </c>
      <c r="AN150" s="3">
        <v>1</v>
      </c>
      <c r="AO150" s="3">
        <v>1</v>
      </c>
      <c r="AP150" s="3">
        <v>0</v>
      </c>
      <c r="AQ150" s="3">
        <v>0</v>
      </c>
      <c r="AR150" s="2" t="s">
        <v>63</v>
      </c>
      <c r="AS150" s="2" t="s">
        <v>76</v>
      </c>
      <c r="AT150" s="5" t="str">
        <f>HYPERLINK("http://catalog.hathitrust.org/Record/000722619","HathiTrust Record")</f>
        <v>HathiTrust Record</v>
      </c>
      <c r="AU150" s="5" t="str">
        <f>HYPERLINK("https://creighton-primo.hosted.exlibrisgroup.com/primo-explore/search?tab=default_tab&amp;search_scope=EVERYTHING&amp;vid=01CRU&amp;lang=en_US&amp;offset=0&amp;query=any,contains,991000997599702656","Catalog Record")</f>
        <v>Catalog Record</v>
      </c>
      <c r="AV150" s="5" t="str">
        <f>HYPERLINK("http://www.worldcat.org/oclc/6043083","WorldCat Record")</f>
        <v>WorldCat Record</v>
      </c>
      <c r="AW150" s="2" t="s">
        <v>1813</v>
      </c>
      <c r="AX150" s="2" t="s">
        <v>1814</v>
      </c>
      <c r="AY150" s="2" t="s">
        <v>1815</v>
      </c>
      <c r="AZ150" s="2" t="s">
        <v>1815</v>
      </c>
      <c r="BA150" s="2" t="s">
        <v>1816</v>
      </c>
      <c r="BB150" s="2" t="s">
        <v>81</v>
      </c>
      <c r="BD150" s="2" t="s">
        <v>1817</v>
      </c>
      <c r="BE150" s="2" t="s">
        <v>1818</v>
      </c>
      <c r="BF150" s="2" t="s">
        <v>1819</v>
      </c>
    </row>
    <row r="151" spans="1:58" ht="42" customHeight="1">
      <c r="A151" s="1"/>
      <c r="B151" s="1" t="s">
        <v>58</v>
      </c>
      <c r="C151" s="1" t="s">
        <v>59</v>
      </c>
      <c r="D151" s="1" t="s">
        <v>1820</v>
      </c>
      <c r="E151" s="1" t="s">
        <v>1821</v>
      </c>
      <c r="F151" s="1" t="s">
        <v>1822</v>
      </c>
      <c r="G151" s="2" t="s">
        <v>193</v>
      </c>
      <c r="H151" s="2" t="s">
        <v>76</v>
      </c>
      <c r="I151" s="2" t="s">
        <v>64</v>
      </c>
      <c r="J151" s="2" t="s">
        <v>63</v>
      </c>
      <c r="K151" s="2" t="s">
        <v>63</v>
      </c>
      <c r="L151" s="2" t="s">
        <v>65</v>
      </c>
      <c r="N151" s="1" t="s">
        <v>1823</v>
      </c>
      <c r="O151" s="2" t="s">
        <v>1824</v>
      </c>
      <c r="Q151" s="2" t="s">
        <v>70</v>
      </c>
      <c r="R151" s="2" t="s">
        <v>422</v>
      </c>
      <c r="T151" s="2" t="s">
        <v>73</v>
      </c>
      <c r="U151" s="3">
        <v>4</v>
      </c>
      <c r="V151" s="3">
        <v>5</v>
      </c>
      <c r="W151" s="4" t="s">
        <v>1825</v>
      </c>
      <c r="X151" s="4" t="s">
        <v>1825</v>
      </c>
      <c r="Y151" s="4" t="s">
        <v>1006</v>
      </c>
      <c r="Z151" s="4" t="s">
        <v>1006</v>
      </c>
      <c r="AA151" s="3">
        <v>65</v>
      </c>
      <c r="AB151" s="3">
        <v>18</v>
      </c>
      <c r="AC151" s="3">
        <v>70</v>
      </c>
      <c r="AD151" s="3">
        <v>1</v>
      </c>
      <c r="AE151" s="3">
        <v>2</v>
      </c>
      <c r="AF151" s="3">
        <v>2</v>
      </c>
      <c r="AG151" s="3">
        <v>6</v>
      </c>
      <c r="AH151" s="3">
        <v>1</v>
      </c>
      <c r="AI151" s="3">
        <v>3</v>
      </c>
      <c r="AJ151" s="3">
        <v>1</v>
      </c>
      <c r="AK151" s="3">
        <v>3</v>
      </c>
      <c r="AL151" s="3">
        <v>2</v>
      </c>
      <c r="AM151" s="3">
        <v>2</v>
      </c>
      <c r="AN151" s="3">
        <v>0</v>
      </c>
      <c r="AO151" s="3">
        <v>1</v>
      </c>
      <c r="AP151" s="3">
        <v>0</v>
      </c>
      <c r="AQ151" s="3">
        <v>0</v>
      </c>
      <c r="AR151" s="2" t="s">
        <v>63</v>
      </c>
      <c r="AS151" s="2" t="s">
        <v>63</v>
      </c>
      <c r="AU151" s="5" t="str">
        <f>HYPERLINK("https://creighton-primo.hosted.exlibrisgroup.com/primo-explore/search?tab=default_tab&amp;search_scope=EVERYTHING&amp;vid=01CRU&amp;lang=en_US&amp;offset=0&amp;query=any,contains,991000998179702656","Catalog Record")</f>
        <v>Catalog Record</v>
      </c>
      <c r="AV151" s="5" t="str">
        <f>HYPERLINK("http://www.worldcat.org/oclc/13545556","WorldCat Record")</f>
        <v>WorldCat Record</v>
      </c>
      <c r="AW151" s="2" t="s">
        <v>1826</v>
      </c>
      <c r="AX151" s="2" t="s">
        <v>1827</v>
      </c>
      <c r="AY151" s="2" t="s">
        <v>1828</v>
      </c>
      <c r="AZ151" s="2" t="s">
        <v>1828</v>
      </c>
      <c r="BA151" s="2" t="s">
        <v>1829</v>
      </c>
      <c r="BB151" s="2" t="s">
        <v>81</v>
      </c>
      <c r="BE151" s="2" t="s">
        <v>1830</v>
      </c>
      <c r="BF151" s="2" t="s">
        <v>1831</v>
      </c>
    </row>
    <row r="152" spans="1:58" ht="42" customHeight="1">
      <c r="A152" s="1"/>
      <c r="B152" s="1" t="s">
        <v>58</v>
      </c>
      <c r="C152" s="1" t="s">
        <v>59</v>
      </c>
      <c r="D152" s="1" t="s">
        <v>1820</v>
      </c>
      <c r="E152" s="1" t="s">
        <v>1821</v>
      </c>
      <c r="F152" s="1" t="s">
        <v>1822</v>
      </c>
      <c r="G152" s="2" t="s">
        <v>178</v>
      </c>
      <c r="H152" s="2" t="s">
        <v>76</v>
      </c>
      <c r="I152" s="2" t="s">
        <v>64</v>
      </c>
      <c r="J152" s="2" t="s">
        <v>63</v>
      </c>
      <c r="K152" s="2" t="s">
        <v>63</v>
      </c>
      <c r="L152" s="2" t="s">
        <v>65</v>
      </c>
      <c r="N152" s="1" t="s">
        <v>1823</v>
      </c>
      <c r="O152" s="2" t="s">
        <v>1824</v>
      </c>
      <c r="Q152" s="2" t="s">
        <v>70</v>
      </c>
      <c r="R152" s="2" t="s">
        <v>422</v>
      </c>
      <c r="T152" s="2" t="s">
        <v>73</v>
      </c>
      <c r="U152" s="3">
        <v>1</v>
      </c>
      <c r="V152" s="3">
        <v>5</v>
      </c>
      <c r="X152" s="4" t="s">
        <v>1825</v>
      </c>
      <c r="Y152" s="4" t="s">
        <v>1006</v>
      </c>
      <c r="Z152" s="4" t="s">
        <v>1006</v>
      </c>
      <c r="AA152" s="3">
        <v>65</v>
      </c>
      <c r="AB152" s="3">
        <v>18</v>
      </c>
      <c r="AC152" s="3">
        <v>70</v>
      </c>
      <c r="AD152" s="3">
        <v>1</v>
      </c>
      <c r="AE152" s="3">
        <v>2</v>
      </c>
      <c r="AF152" s="3">
        <v>2</v>
      </c>
      <c r="AG152" s="3">
        <v>6</v>
      </c>
      <c r="AH152" s="3">
        <v>1</v>
      </c>
      <c r="AI152" s="3">
        <v>3</v>
      </c>
      <c r="AJ152" s="3">
        <v>1</v>
      </c>
      <c r="AK152" s="3">
        <v>3</v>
      </c>
      <c r="AL152" s="3">
        <v>2</v>
      </c>
      <c r="AM152" s="3">
        <v>2</v>
      </c>
      <c r="AN152" s="3">
        <v>0</v>
      </c>
      <c r="AO152" s="3">
        <v>1</v>
      </c>
      <c r="AP152" s="3">
        <v>0</v>
      </c>
      <c r="AQ152" s="3">
        <v>0</v>
      </c>
      <c r="AR152" s="2" t="s">
        <v>63</v>
      </c>
      <c r="AS152" s="2" t="s">
        <v>63</v>
      </c>
      <c r="AU152" s="5" t="str">
        <f>HYPERLINK("https://creighton-primo.hosted.exlibrisgroup.com/primo-explore/search?tab=default_tab&amp;search_scope=EVERYTHING&amp;vid=01CRU&amp;lang=en_US&amp;offset=0&amp;query=any,contains,991000998179702656","Catalog Record")</f>
        <v>Catalog Record</v>
      </c>
      <c r="AV152" s="5" t="str">
        <f>HYPERLINK("http://www.worldcat.org/oclc/13545556","WorldCat Record")</f>
        <v>WorldCat Record</v>
      </c>
      <c r="AW152" s="2" t="s">
        <v>1826</v>
      </c>
      <c r="AX152" s="2" t="s">
        <v>1827</v>
      </c>
      <c r="AY152" s="2" t="s">
        <v>1828</v>
      </c>
      <c r="AZ152" s="2" t="s">
        <v>1828</v>
      </c>
      <c r="BA152" s="2" t="s">
        <v>1829</v>
      </c>
      <c r="BB152" s="2" t="s">
        <v>81</v>
      </c>
      <c r="BE152" s="2" t="s">
        <v>1832</v>
      </c>
      <c r="BF152" s="2" t="s">
        <v>1833</v>
      </c>
    </row>
    <row r="153" spans="1:58" ht="42" customHeight="1">
      <c r="A153" s="1"/>
      <c r="B153" s="1" t="s">
        <v>58</v>
      </c>
      <c r="C153" s="1" t="s">
        <v>59</v>
      </c>
      <c r="D153" s="1" t="s">
        <v>1820</v>
      </c>
      <c r="E153" s="1" t="s">
        <v>1821</v>
      </c>
      <c r="F153" s="1" t="s">
        <v>1822</v>
      </c>
      <c r="G153" s="2" t="s">
        <v>165</v>
      </c>
      <c r="H153" s="2" t="s">
        <v>76</v>
      </c>
      <c r="I153" s="2" t="s">
        <v>64</v>
      </c>
      <c r="J153" s="2" t="s">
        <v>63</v>
      </c>
      <c r="K153" s="2" t="s">
        <v>63</v>
      </c>
      <c r="L153" s="2" t="s">
        <v>65</v>
      </c>
      <c r="N153" s="1" t="s">
        <v>1823</v>
      </c>
      <c r="O153" s="2" t="s">
        <v>1824</v>
      </c>
      <c r="Q153" s="2" t="s">
        <v>70</v>
      </c>
      <c r="R153" s="2" t="s">
        <v>422</v>
      </c>
      <c r="T153" s="2" t="s">
        <v>73</v>
      </c>
      <c r="U153" s="3">
        <v>0</v>
      </c>
      <c r="V153" s="3">
        <v>5</v>
      </c>
      <c r="X153" s="4" t="s">
        <v>1825</v>
      </c>
      <c r="Y153" s="4" t="s">
        <v>1006</v>
      </c>
      <c r="Z153" s="4" t="s">
        <v>1006</v>
      </c>
      <c r="AA153" s="3">
        <v>65</v>
      </c>
      <c r="AB153" s="3">
        <v>18</v>
      </c>
      <c r="AC153" s="3">
        <v>70</v>
      </c>
      <c r="AD153" s="3">
        <v>1</v>
      </c>
      <c r="AE153" s="3">
        <v>2</v>
      </c>
      <c r="AF153" s="3">
        <v>2</v>
      </c>
      <c r="AG153" s="3">
        <v>6</v>
      </c>
      <c r="AH153" s="3">
        <v>1</v>
      </c>
      <c r="AI153" s="3">
        <v>3</v>
      </c>
      <c r="AJ153" s="3">
        <v>1</v>
      </c>
      <c r="AK153" s="3">
        <v>3</v>
      </c>
      <c r="AL153" s="3">
        <v>2</v>
      </c>
      <c r="AM153" s="3">
        <v>2</v>
      </c>
      <c r="AN153" s="3">
        <v>0</v>
      </c>
      <c r="AO153" s="3">
        <v>1</v>
      </c>
      <c r="AP153" s="3">
        <v>0</v>
      </c>
      <c r="AQ153" s="3">
        <v>0</v>
      </c>
      <c r="AR153" s="2" t="s">
        <v>63</v>
      </c>
      <c r="AS153" s="2" t="s">
        <v>63</v>
      </c>
      <c r="AU153" s="5" t="str">
        <f>HYPERLINK("https://creighton-primo.hosted.exlibrisgroup.com/primo-explore/search?tab=default_tab&amp;search_scope=EVERYTHING&amp;vid=01CRU&amp;lang=en_US&amp;offset=0&amp;query=any,contains,991000998179702656","Catalog Record")</f>
        <v>Catalog Record</v>
      </c>
      <c r="AV153" s="5" t="str">
        <f>HYPERLINK("http://www.worldcat.org/oclc/13545556","WorldCat Record")</f>
        <v>WorldCat Record</v>
      </c>
      <c r="AW153" s="2" t="s">
        <v>1826</v>
      </c>
      <c r="AX153" s="2" t="s">
        <v>1827</v>
      </c>
      <c r="AY153" s="2" t="s">
        <v>1828</v>
      </c>
      <c r="AZ153" s="2" t="s">
        <v>1828</v>
      </c>
      <c r="BA153" s="2" t="s">
        <v>1829</v>
      </c>
      <c r="BB153" s="2" t="s">
        <v>81</v>
      </c>
      <c r="BE153" s="2" t="s">
        <v>1834</v>
      </c>
      <c r="BF153" s="2" t="s">
        <v>1835</v>
      </c>
    </row>
    <row r="154" spans="1:58" ht="42" customHeight="1">
      <c r="A154" s="1"/>
      <c r="B154" s="1" t="s">
        <v>58</v>
      </c>
      <c r="C154" s="1" t="s">
        <v>59</v>
      </c>
      <c r="D154" s="1" t="s">
        <v>1820</v>
      </c>
      <c r="E154" s="1" t="s">
        <v>1821</v>
      </c>
      <c r="F154" s="1" t="s">
        <v>1822</v>
      </c>
      <c r="G154" s="2" t="s">
        <v>184</v>
      </c>
      <c r="H154" s="2" t="s">
        <v>76</v>
      </c>
      <c r="I154" s="2" t="s">
        <v>64</v>
      </c>
      <c r="J154" s="2" t="s">
        <v>63</v>
      </c>
      <c r="K154" s="2" t="s">
        <v>63</v>
      </c>
      <c r="L154" s="2" t="s">
        <v>65</v>
      </c>
      <c r="N154" s="1" t="s">
        <v>1823</v>
      </c>
      <c r="O154" s="2" t="s">
        <v>1824</v>
      </c>
      <c r="Q154" s="2" t="s">
        <v>70</v>
      </c>
      <c r="R154" s="2" t="s">
        <v>422</v>
      </c>
      <c r="T154" s="2" t="s">
        <v>73</v>
      </c>
      <c r="U154" s="3">
        <v>0</v>
      </c>
      <c r="V154" s="3">
        <v>5</v>
      </c>
      <c r="X154" s="4" t="s">
        <v>1825</v>
      </c>
      <c r="Y154" s="4" t="s">
        <v>1006</v>
      </c>
      <c r="Z154" s="4" t="s">
        <v>1006</v>
      </c>
      <c r="AA154" s="3">
        <v>65</v>
      </c>
      <c r="AB154" s="3">
        <v>18</v>
      </c>
      <c r="AC154" s="3">
        <v>70</v>
      </c>
      <c r="AD154" s="3">
        <v>1</v>
      </c>
      <c r="AE154" s="3">
        <v>2</v>
      </c>
      <c r="AF154" s="3">
        <v>2</v>
      </c>
      <c r="AG154" s="3">
        <v>6</v>
      </c>
      <c r="AH154" s="3">
        <v>1</v>
      </c>
      <c r="AI154" s="3">
        <v>3</v>
      </c>
      <c r="AJ154" s="3">
        <v>1</v>
      </c>
      <c r="AK154" s="3">
        <v>3</v>
      </c>
      <c r="AL154" s="3">
        <v>2</v>
      </c>
      <c r="AM154" s="3">
        <v>2</v>
      </c>
      <c r="AN154" s="3">
        <v>0</v>
      </c>
      <c r="AO154" s="3">
        <v>1</v>
      </c>
      <c r="AP154" s="3">
        <v>0</v>
      </c>
      <c r="AQ154" s="3">
        <v>0</v>
      </c>
      <c r="AR154" s="2" t="s">
        <v>63</v>
      </c>
      <c r="AS154" s="2" t="s">
        <v>63</v>
      </c>
      <c r="AU154" s="5" t="str">
        <f>HYPERLINK("https://creighton-primo.hosted.exlibrisgroup.com/primo-explore/search?tab=default_tab&amp;search_scope=EVERYTHING&amp;vid=01CRU&amp;lang=en_US&amp;offset=0&amp;query=any,contains,991000998179702656","Catalog Record")</f>
        <v>Catalog Record</v>
      </c>
      <c r="AV154" s="5" t="str">
        <f>HYPERLINK("http://www.worldcat.org/oclc/13545556","WorldCat Record")</f>
        <v>WorldCat Record</v>
      </c>
      <c r="AW154" s="2" t="s">
        <v>1826</v>
      </c>
      <c r="AX154" s="2" t="s">
        <v>1827</v>
      </c>
      <c r="AY154" s="2" t="s">
        <v>1828</v>
      </c>
      <c r="AZ154" s="2" t="s">
        <v>1828</v>
      </c>
      <c r="BA154" s="2" t="s">
        <v>1829</v>
      </c>
      <c r="BB154" s="2" t="s">
        <v>81</v>
      </c>
      <c r="BE154" s="2" t="s">
        <v>1836</v>
      </c>
      <c r="BF154" s="2" t="s">
        <v>1837</v>
      </c>
    </row>
    <row r="155" spans="1:58" ht="42" customHeight="1">
      <c r="A155" s="1"/>
      <c r="B155" s="1" t="s">
        <v>58</v>
      </c>
      <c r="C155" s="1" t="s">
        <v>59</v>
      </c>
      <c r="D155" s="1" t="s">
        <v>1838</v>
      </c>
      <c r="E155" s="1" t="s">
        <v>1839</v>
      </c>
      <c r="F155" s="1" t="s">
        <v>1840</v>
      </c>
      <c r="H155" s="2" t="s">
        <v>63</v>
      </c>
      <c r="I155" s="2" t="s">
        <v>64</v>
      </c>
      <c r="J155" s="2" t="s">
        <v>63</v>
      </c>
      <c r="K155" s="2" t="s">
        <v>63</v>
      </c>
      <c r="L155" s="2" t="s">
        <v>65</v>
      </c>
      <c r="M155" s="1" t="s">
        <v>1841</v>
      </c>
      <c r="N155" s="1" t="s">
        <v>1842</v>
      </c>
      <c r="O155" s="2" t="s">
        <v>1205</v>
      </c>
      <c r="Q155" s="2" t="s">
        <v>70</v>
      </c>
      <c r="R155" s="2" t="s">
        <v>92</v>
      </c>
      <c r="S155" s="1" t="s">
        <v>1843</v>
      </c>
      <c r="T155" s="2" t="s">
        <v>73</v>
      </c>
      <c r="U155" s="3">
        <v>1</v>
      </c>
      <c r="V155" s="3">
        <v>1</v>
      </c>
      <c r="W155" s="4" t="s">
        <v>1844</v>
      </c>
      <c r="X155" s="4" t="s">
        <v>1844</v>
      </c>
      <c r="Y155" s="4" t="s">
        <v>1006</v>
      </c>
      <c r="Z155" s="4" t="s">
        <v>1006</v>
      </c>
      <c r="AA155" s="3">
        <v>140</v>
      </c>
      <c r="AB155" s="3">
        <v>130</v>
      </c>
      <c r="AC155" s="3">
        <v>183</v>
      </c>
      <c r="AD155" s="3">
        <v>1</v>
      </c>
      <c r="AE155" s="3">
        <v>1</v>
      </c>
      <c r="AF155" s="3">
        <v>7</v>
      </c>
      <c r="AG155" s="3">
        <v>8</v>
      </c>
      <c r="AH155" s="3">
        <v>2</v>
      </c>
      <c r="AI155" s="3">
        <v>2</v>
      </c>
      <c r="AJ155" s="3">
        <v>1</v>
      </c>
      <c r="AK155" s="3">
        <v>2</v>
      </c>
      <c r="AL155" s="3">
        <v>5</v>
      </c>
      <c r="AM155" s="3">
        <v>5</v>
      </c>
      <c r="AN155" s="3">
        <v>0</v>
      </c>
      <c r="AO155" s="3">
        <v>0</v>
      </c>
      <c r="AP155" s="3">
        <v>0</v>
      </c>
      <c r="AQ155" s="3">
        <v>0</v>
      </c>
      <c r="AR155" s="2" t="s">
        <v>63</v>
      </c>
      <c r="AS155" s="2" t="s">
        <v>76</v>
      </c>
      <c r="AT155" s="5" t="str">
        <f>HYPERLINK("http://catalog.hathitrust.org/Record/001556760","HathiTrust Record")</f>
        <v>HathiTrust Record</v>
      </c>
      <c r="AU155" s="5" t="str">
        <f>HYPERLINK("https://creighton-primo.hosted.exlibrisgroup.com/primo-explore/search?tab=default_tab&amp;search_scope=EVERYTHING&amp;vid=01CRU&amp;lang=en_US&amp;offset=0&amp;query=any,contains,991000998009702656","Catalog Record")</f>
        <v>Catalog Record</v>
      </c>
      <c r="AV155" s="5" t="str">
        <f>HYPERLINK("http://www.worldcat.org/oclc/30921371","WorldCat Record")</f>
        <v>WorldCat Record</v>
      </c>
      <c r="AW155" s="2" t="s">
        <v>1845</v>
      </c>
      <c r="AX155" s="2" t="s">
        <v>1846</v>
      </c>
      <c r="AY155" s="2" t="s">
        <v>1847</v>
      </c>
      <c r="AZ155" s="2" t="s">
        <v>1847</v>
      </c>
      <c r="BA155" s="2" t="s">
        <v>1848</v>
      </c>
      <c r="BB155" s="2" t="s">
        <v>81</v>
      </c>
      <c r="BE155" s="2" t="s">
        <v>1849</v>
      </c>
      <c r="BF155" s="2" t="s">
        <v>1850</v>
      </c>
    </row>
    <row r="156" spans="1:58" ht="42" customHeight="1">
      <c r="A156" s="1"/>
      <c r="B156" s="1" t="s">
        <v>58</v>
      </c>
      <c r="C156" s="1" t="s">
        <v>59</v>
      </c>
      <c r="D156" s="1" t="s">
        <v>1851</v>
      </c>
      <c r="E156" s="1" t="s">
        <v>1852</v>
      </c>
      <c r="F156" s="1" t="s">
        <v>1853</v>
      </c>
      <c r="H156" s="2" t="s">
        <v>63</v>
      </c>
      <c r="I156" s="2" t="s">
        <v>64</v>
      </c>
      <c r="J156" s="2" t="s">
        <v>63</v>
      </c>
      <c r="K156" s="2" t="s">
        <v>63</v>
      </c>
      <c r="L156" s="2" t="s">
        <v>65</v>
      </c>
      <c r="N156" s="1" t="s">
        <v>1854</v>
      </c>
      <c r="O156" s="2" t="s">
        <v>449</v>
      </c>
      <c r="Q156" s="2" t="s">
        <v>70</v>
      </c>
      <c r="R156" s="2" t="s">
        <v>1855</v>
      </c>
      <c r="S156" s="1" t="s">
        <v>1856</v>
      </c>
      <c r="T156" s="2" t="s">
        <v>73</v>
      </c>
      <c r="U156" s="3">
        <v>4</v>
      </c>
      <c r="V156" s="3">
        <v>4</v>
      </c>
      <c r="W156" s="4" t="s">
        <v>1661</v>
      </c>
      <c r="X156" s="4" t="s">
        <v>1661</v>
      </c>
      <c r="Y156" s="4" t="s">
        <v>1529</v>
      </c>
      <c r="Z156" s="4" t="s">
        <v>1529</v>
      </c>
      <c r="AA156" s="3">
        <v>49</v>
      </c>
      <c r="AB156" s="3">
        <v>46</v>
      </c>
      <c r="AC156" s="3">
        <v>135</v>
      </c>
      <c r="AD156" s="3">
        <v>1</v>
      </c>
      <c r="AE156" s="3">
        <v>1</v>
      </c>
      <c r="AF156" s="3">
        <v>1</v>
      </c>
      <c r="AG156" s="3">
        <v>3</v>
      </c>
      <c r="AH156" s="3">
        <v>1</v>
      </c>
      <c r="AI156" s="3">
        <v>1</v>
      </c>
      <c r="AJ156" s="3">
        <v>0</v>
      </c>
      <c r="AK156" s="3">
        <v>1</v>
      </c>
      <c r="AL156" s="3">
        <v>1</v>
      </c>
      <c r="AM156" s="3">
        <v>2</v>
      </c>
      <c r="AN156" s="3">
        <v>0</v>
      </c>
      <c r="AO156" s="3">
        <v>0</v>
      </c>
      <c r="AP156" s="3">
        <v>0</v>
      </c>
      <c r="AQ156" s="3">
        <v>0</v>
      </c>
      <c r="AR156" s="2" t="s">
        <v>63</v>
      </c>
      <c r="AS156" s="2" t="s">
        <v>63</v>
      </c>
      <c r="AU156" s="5" t="str">
        <f>HYPERLINK("https://creighton-primo.hosted.exlibrisgroup.com/primo-explore/search?tab=default_tab&amp;search_scope=EVERYTHING&amp;vid=01CRU&amp;lang=en_US&amp;offset=0&amp;query=any,contains,991001103129702656","Catalog Record")</f>
        <v>Catalog Record</v>
      </c>
      <c r="AV156" s="5" t="str">
        <f>HYPERLINK("http://www.worldcat.org/oclc/16854452","WorldCat Record")</f>
        <v>WorldCat Record</v>
      </c>
      <c r="AW156" s="2" t="s">
        <v>1857</v>
      </c>
      <c r="AX156" s="2" t="s">
        <v>1858</v>
      </c>
      <c r="AY156" s="2" t="s">
        <v>1859</v>
      </c>
      <c r="AZ156" s="2" t="s">
        <v>1859</v>
      </c>
      <c r="BA156" s="2" t="s">
        <v>1860</v>
      </c>
      <c r="BB156" s="2" t="s">
        <v>81</v>
      </c>
      <c r="BE156" s="2" t="s">
        <v>1861</v>
      </c>
      <c r="BF156" s="2" t="s">
        <v>1862</v>
      </c>
    </row>
    <row r="157" spans="1:58" ht="42" customHeight="1">
      <c r="A157" s="1"/>
      <c r="B157" s="1" t="s">
        <v>58</v>
      </c>
      <c r="C157" s="1" t="s">
        <v>59</v>
      </c>
      <c r="D157" s="1" t="s">
        <v>1863</v>
      </c>
      <c r="E157" s="1" t="s">
        <v>1864</v>
      </c>
      <c r="F157" s="1" t="s">
        <v>1865</v>
      </c>
      <c r="G157" s="2" t="s">
        <v>178</v>
      </c>
      <c r="H157" s="2" t="s">
        <v>76</v>
      </c>
      <c r="I157" s="2" t="s">
        <v>64</v>
      </c>
      <c r="J157" s="2" t="s">
        <v>63</v>
      </c>
      <c r="K157" s="2" t="s">
        <v>63</v>
      </c>
      <c r="L157" s="2" t="s">
        <v>65</v>
      </c>
      <c r="M157" s="1" t="s">
        <v>1866</v>
      </c>
      <c r="N157" s="1" t="s">
        <v>1867</v>
      </c>
      <c r="O157" s="2" t="s">
        <v>435</v>
      </c>
      <c r="P157" s="1" t="s">
        <v>231</v>
      </c>
      <c r="Q157" s="2" t="s">
        <v>70</v>
      </c>
      <c r="R157" s="2" t="s">
        <v>422</v>
      </c>
      <c r="T157" s="2" t="s">
        <v>73</v>
      </c>
      <c r="U157" s="3">
        <v>13</v>
      </c>
      <c r="V157" s="3">
        <v>29</v>
      </c>
      <c r="W157" s="4" t="s">
        <v>361</v>
      </c>
      <c r="X157" s="4" t="s">
        <v>361</v>
      </c>
      <c r="Y157" s="4" t="s">
        <v>1868</v>
      </c>
      <c r="Z157" s="4" t="s">
        <v>1868</v>
      </c>
      <c r="AA157" s="3">
        <v>334</v>
      </c>
      <c r="AB157" s="3">
        <v>239</v>
      </c>
      <c r="AC157" s="3">
        <v>243</v>
      </c>
      <c r="AD157" s="3">
        <v>1</v>
      </c>
      <c r="AE157" s="3">
        <v>1</v>
      </c>
      <c r="AF157" s="3">
        <v>3</v>
      </c>
      <c r="AG157" s="3">
        <v>5</v>
      </c>
      <c r="AH157" s="3">
        <v>1</v>
      </c>
      <c r="AI157" s="3">
        <v>2</v>
      </c>
      <c r="AJ157" s="3">
        <v>0</v>
      </c>
      <c r="AK157" s="3">
        <v>1</v>
      </c>
      <c r="AL157" s="3">
        <v>2</v>
      </c>
      <c r="AM157" s="3">
        <v>4</v>
      </c>
      <c r="AN157" s="3">
        <v>0</v>
      </c>
      <c r="AO157" s="3">
        <v>0</v>
      </c>
      <c r="AP157" s="3">
        <v>0</v>
      </c>
      <c r="AQ157" s="3">
        <v>0</v>
      </c>
      <c r="AR157" s="2" t="s">
        <v>63</v>
      </c>
      <c r="AS157" s="2" t="s">
        <v>76</v>
      </c>
      <c r="AT157" s="5" t="str">
        <f>HYPERLINK("http://catalog.hathitrust.org/Record/001831846","HathiTrust Record")</f>
        <v>HathiTrust Record</v>
      </c>
      <c r="AU157" s="5" t="str">
        <f>HYPERLINK("https://creighton-primo.hosted.exlibrisgroup.com/primo-explore/search?tab=default_tab&amp;search_scope=EVERYTHING&amp;vid=01CRU&amp;lang=en_US&amp;offset=0&amp;query=any,contains,991001431829702656","Catalog Record")</f>
        <v>Catalog Record</v>
      </c>
      <c r="AV157" s="5" t="str">
        <f>HYPERLINK("http://www.worldcat.org/oclc/20318672","WorldCat Record")</f>
        <v>WorldCat Record</v>
      </c>
      <c r="AW157" s="2" t="s">
        <v>1869</v>
      </c>
      <c r="AX157" s="2" t="s">
        <v>1870</v>
      </c>
      <c r="AY157" s="2" t="s">
        <v>1871</v>
      </c>
      <c r="AZ157" s="2" t="s">
        <v>1871</v>
      </c>
      <c r="BA157" s="2" t="s">
        <v>1872</v>
      </c>
      <c r="BB157" s="2" t="s">
        <v>81</v>
      </c>
      <c r="BD157" s="2" t="s">
        <v>1873</v>
      </c>
      <c r="BE157" s="2" t="s">
        <v>1874</v>
      </c>
      <c r="BF157" s="2" t="s">
        <v>1875</v>
      </c>
    </row>
    <row r="158" spans="1:58" ht="42" customHeight="1">
      <c r="A158" s="1"/>
      <c r="B158" s="1" t="s">
        <v>58</v>
      </c>
      <c r="C158" s="1" t="s">
        <v>59</v>
      </c>
      <c r="D158" s="1" t="s">
        <v>1863</v>
      </c>
      <c r="E158" s="1" t="s">
        <v>1864</v>
      </c>
      <c r="F158" s="1" t="s">
        <v>1865</v>
      </c>
      <c r="G158" s="2" t="s">
        <v>165</v>
      </c>
      <c r="H158" s="2" t="s">
        <v>76</v>
      </c>
      <c r="I158" s="2" t="s">
        <v>64</v>
      </c>
      <c r="J158" s="2" t="s">
        <v>63</v>
      </c>
      <c r="K158" s="2" t="s">
        <v>63</v>
      </c>
      <c r="L158" s="2" t="s">
        <v>65</v>
      </c>
      <c r="M158" s="1" t="s">
        <v>1866</v>
      </c>
      <c r="N158" s="1" t="s">
        <v>1867</v>
      </c>
      <c r="O158" s="2" t="s">
        <v>435</v>
      </c>
      <c r="P158" s="1" t="s">
        <v>231</v>
      </c>
      <c r="Q158" s="2" t="s">
        <v>70</v>
      </c>
      <c r="R158" s="2" t="s">
        <v>422</v>
      </c>
      <c r="T158" s="2" t="s">
        <v>73</v>
      </c>
      <c r="U158" s="3">
        <v>16</v>
      </c>
      <c r="V158" s="3">
        <v>29</v>
      </c>
      <c r="W158" s="4" t="s">
        <v>1876</v>
      </c>
      <c r="X158" s="4" t="s">
        <v>361</v>
      </c>
      <c r="Y158" s="4" t="s">
        <v>1868</v>
      </c>
      <c r="Z158" s="4" t="s">
        <v>1868</v>
      </c>
      <c r="AA158" s="3">
        <v>334</v>
      </c>
      <c r="AB158" s="3">
        <v>239</v>
      </c>
      <c r="AC158" s="3">
        <v>243</v>
      </c>
      <c r="AD158" s="3">
        <v>1</v>
      </c>
      <c r="AE158" s="3">
        <v>1</v>
      </c>
      <c r="AF158" s="3">
        <v>3</v>
      </c>
      <c r="AG158" s="3">
        <v>5</v>
      </c>
      <c r="AH158" s="3">
        <v>1</v>
      </c>
      <c r="AI158" s="3">
        <v>2</v>
      </c>
      <c r="AJ158" s="3">
        <v>0</v>
      </c>
      <c r="AK158" s="3">
        <v>1</v>
      </c>
      <c r="AL158" s="3">
        <v>2</v>
      </c>
      <c r="AM158" s="3">
        <v>4</v>
      </c>
      <c r="AN158" s="3">
        <v>0</v>
      </c>
      <c r="AO158" s="3">
        <v>0</v>
      </c>
      <c r="AP158" s="3">
        <v>0</v>
      </c>
      <c r="AQ158" s="3">
        <v>0</v>
      </c>
      <c r="AR158" s="2" t="s">
        <v>63</v>
      </c>
      <c r="AS158" s="2" t="s">
        <v>76</v>
      </c>
      <c r="AT158" s="5" t="str">
        <f>HYPERLINK("http://catalog.hathitrust.org/Record/001831846","HathiTrust Record")</f>
        <v>HathiTrust Record</v>
      </c>
      <c r="AU158" s="5" t="str">
        <f>HYPERLINK("https://creighton-primo.hosted.exlibrisgroup.com/primo-explore/search?tab=default_tab&amp;search_scope=EVERYTHING&amp;vid=01CRU&amp;lang=en_US&amp;offset=0&amp;query=any,contains,991001431829702656","Catalog Record")</f>
        <v>Catalog Record</v>
      </c>
      <c r="AV158" s="5" t="str">
        <f>HYPERLINK("http://www.worldcat.org/oclc/20318672","WorldCat Record")</f>
        <v>WorldCat Record</v>
      </c>
      <c r="AW158" s="2" t="s">
        <v>1869</v>
      </c>
      <c r="AX158" s="2" t="s">
        <v>1870</v>
      </c>
      <c r="AY158" s="2" t="s">
        <v>1871</v>
      </c>
      <c r="AZ158" s="2" t="s">
        <v>1871</v>
      </c>
      <c r="BA158" s="2" t="s">
        <v>1872</v>
      </c>
      <c r="BB158" s="2" t="s">
        <v>81</v>
      </c>
      <c r="BD158" s="2" t="s">
        <v>1873</v>
      </c>
      <c r="BE158" s="2" t="s">
        <v>1877</v>
      </c>
      <c r="BF158" s="2" t="s">
        <v>1878</v>
      </c>
    </row>
    <row r="159" spans="1:58" ht="42" customHeight="1">
      <c r="A159" s="1"/>
      <c r="B159" s="1" t="s">
        <v>58</v>
      </c>
      <c r="C159" s="1" t="s">
        <v>59</v>
      </c>
      <c r="D159" s="1" t="s">
        <v>1879</v>
      </c>
      <c r="E159" s="1" t="s">
        <v>1880</v>
      </c>
      <c r="F159" s="1" t="s">
        <v>1881</v>
      </c>
      <c r="H159" s="2" t="s">
        <v>63</v>
      </c>
      <c r="I159" s="2" t="s">
        <v>64</v>
      </c>
      <c r="J159" s="2" t="s">
        <v>63</v>
      </c>
      <c r="K159" s="2" t="s">
        <v>63</v>
      </c>
      <c r="L159" s="2" t="s">
        <v>65</v>
      </c>
      <c r="N159" s="1" t="s">
        <v>1882</v>
      </c>
      <c r="O159" s="2" t="s">
        <v>215</v>
      </c>
      <c r="Q159" s="2" t="s">
        <v>70</v>
      </c>
      <c r="R159" s="2" t="s">
        <v>509</v>
      </c>
      <c r="S159" s="1" t="s">
        <v>1883</v>
      </c>
      <c r="T159" s="2" t="s">
        <v>73</v>
      </c>
      <c r="U159" s="3">
        <v>4</v>
      </c>
      <c r="V159" s="3">
        <v>4</v>
      </c>
      <c r="W159" s="4" t="s">
        <v>1884</v>
      </c>
      <c r="X159" s="4" t="s">
        <v>1884</v>
      </c>
      <c r="Y159" s="4" t="s">
        <v>109</v>
      </c>
      <c r="Z159" s="4" t="s">
        <v>109</v>
      </c>
      <c r="AA159" s="3">
        <v>329</v>
      </c>
      <c r="AB159" s="3">
        <v>189</v>
      </c>
      <c r="AC159" s="3">
        <v>196</v>
      </c>
      <c r="AD159" s="3">
        <v>1</v>
      </c>
      <c r="AE159" s="3">
        <v>1</v>
      </c>
      <c r="AF159" s="3">
        <v>7</v>
      </c>
      <c r="AG159" s="3">
        <v>7</v>
      </c>
      <c r="AH159" s="3">
        <v>3</v>
      </c>
      <c r="AI159" s="3">
        <v>3</v>
      </c>
      <c r="AJ159" s="3">
        <v>3</v>
      </c>
      <c r="AK159" s="3">
        <v>3</v>
      </c>
      <c r="AL159" s="3">
        <v>5</v>
      </c>
      <c r="AM159" s="3">
        <v>5</v>
      </c>
      <c r="AN159" s="3">
        <v>0</v>
      </c>
      <c r="AO159" s="3">
        <v>0</v>
      </c>
      <c r="AP159" s="3">
        <v>0</v>
      </c>
      <c r="AQ159" s="3">
        <v>0</v>
      </c>
      <c r="AR159" s="2" t="s">
        <v>63</v>
      </c>
      <c r="AS159" s="2" t="s">
        <v>76</v>
      </c>
      <c r="AT159" s="5" t="str">
        <f>HYPERLINK("http://catalog.hathitrust.org/Record/006253417","HathiTrust Record")</f>
        <v>HathiTrust Record</v>
      </c>
      <c r="AU159" s="5" t="str">
        <f>HYPERLINK("https://creighton-primo.hosted.exlibrisgroup.com/primo-explore/search?tab=default_tab&amp;search_scope=EVERYTHING&amp;vid=01CRU&amp;lang=en_US&amp;offset=0&amp;query=any,contains,991000997819702656","Catalog Record")</f>
        <v>Catalog Record</v>
      </c>
      <c r="AV159" s="5" t="str">
        <f>HYPERLINK("http://www.worldcat.org/oclc/12751642","WorldCat Record")</f>
        <v>WorldCat Record</v>
      </c>
      <c r="AW159" s="2" t="s">
        <v>1885</v>
      </c>
      <c r="AX159" s="2" t="s">
        <v>1886</v>
      </c>
      <c r="AY159" s="2" t="s">
        <v>1887</v>
      </c>
      <c r="AZ159" s="2" t="s">
        <v>1887</v>
      </c>
      <c r="BA159" s="2" t="s">
        <v>1888</v>
      </c>
      <c r="BB159" s="2" t="s">
        <v>81</v>
      </c>
      <c r="BD159" s="2" t="s">
        <v>1889</v>
      </c>
      <c r="BE159" s="2" t="s">
        <v>1890</v>
      </c>
      <c r="BF159" s="2" t="s">
        <v>1891</v>
      </c>
    </row>
    <row r="160" spans="1:58" ht="42" customHeight="1">
      <c r="A160" s="1"/>
      <c r="B160" s="1" t="s">
        <v>58</v>
      </c>
      <c r="C160" s="1" t="s">
        <v>59</v>
      </c>
      <c r="D160" s="1" t="s">
        <v>1892</v>
      </c>
      <c r="E160" s="1" t="s">
        <v>1893</v>
      </c>
      <c r="F160" s="1" t="s">
        <v>1894</v>
      </c>
      <c r="H160" s="2" t="s">
        <v>63</v>
      </c>
      <c r="I160" s="2" t="s">
        <v>64</v>
      </c>
      <c r="J160" s="2" t="s">
        <v>63</v>
      </c>
      <c r="K160" s="2" t="s">
        <v>63</v>
      </c>
      <c r="L160" s="2" t="s">
        <v>65</v>
      </c>
      <c r="N160" s="1" t="s">
        <v>1895</v>
      </c>
      <c r="O160" s="2" t="s">
        <v>908</v>
      </c>
      <c r="Q160" s="2" t="s">
        <v>70</v>
      </c>
      <c r="R160" s="2" t="s">
        <v>1896</v>
      </c>
      <c r="T160" s="2" t="s">
        <v>73</v>
      </c>
      <c r="U160" s="3">
        <v>5</v>
      </c>
      <c r="V160" s="3">
        <v>5</v>
      </c>
      <c r="W160" s="4" t="s">
        <v>1897</v>
      </c>
      <c r="X160" s="4" t="s">
        <v>1897</v>
      </c>
      <c r="Y160" s="4" t="s">
        <v>1898</v>
      </c>
      <c r="Z160" s="4" t="s">
        <v>1898</v>
      </c>
      <c r="AA160" s="3">
        <v>31</v>
      </c>
      <c r="AB160" s="3">
        <v>15</v>
      </c>
      <c r="AC160" s="3">
        <v>15</v>
      </c>
      <c r="AD160" s="3">
        <v>1</v>
      </c>
      <c r="AE160" s="3">
        <v>1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2" t="s">
        <v>63</v>
      </c>
      <c r="AS160" s="2" t="s">
        <v>63</v>
      </c>
      <c r="AU160" s="5" t="str">
        <f>HYPERLINK("https://creighton-primo.hosted.exlibrisgroup.com/primo-explore/search?tab=default_tab&amp;search_scope=EVERYTHING&amp;vid=01CRU&amp;lang=en_US&amp;offset=0&amp;query=any,contains,991000674039702656","Catalog Record")</f>
        <v>Catalog Record</v>
      </c>
      <c r="AV160" s="5" t="str">
        <f>HYPERLINK("http://www.worldcat.org/oclc/28346251","WorldCat Record")</f>
        <v>WorldCat Record</v>
      </c>
      <c r="AW160" s="2" t="s">
        <v>1899</v>
      </c>
      <c r="AX160" s="2" t="s">
        <v>1900</v>
      </c>
      <c r="AY160" s="2" t="s">
        <v>1901</v>
      </c>
      <c r="AZ160" s="2" t="s">
        <v>1901</v>
      </c>
      <c r="BA160" s="2" t="s">
        <v>1902</v>
      </c>
      <c r="BB160" s="2" t="s">
        <v>81</v>
      </c>
      <c r="BD160" s="2" t="s">
        <v>1903</v>
      </c>
      <c r="BE160" s="2" t="s">
        <v>1904</v>
      </c>
      <c r="BF160" s="2" t="s">
        <v>1905</v>
      </c>
    </row>
    <row r="161" spans="1:58" ht="42" customHeight="1">
      <c r="A161" s="1"/>
      <c r="B161" s="1" t="s">
        <v>58</v>
      </c>
      <c r="C161" s="1" t="s">
        <v>59</v>
      </c>
      <c r="D161" s="1" t="s">
        <v>1906</v>
      </c>
      <c r="E161" s="1" t="s">
        <v>1907</v>
      </c>
      <c r="F161" s="1" t="s">
        <v>1908</v>
      </c>
      <c r="G161" s="2" t="s">
        <v>178</v>
      </c>
      <c r="H161" s="2" t="s">
        <v>63</v>
      </c>
      <c r="I161" s="2" t="s">
        <v>64</v>
      </c>
      <c r="J161" s="2" t="s">
        <v>63</v>
      </c>
      <c r="K161" s="2" t="s">
        <v>63</v>
      </c>
      <c r="L161" s="2" t="s">
        <v>64</v>
      </c>
      <c r="N161" s="1" t="s">
        <v>1909</v>
      </c>
      <c r="O161" s="2" t="s">
        <v>863</v>
      </c>
      <c r="Q161" s="2" t="s">
        <v>70</v>
      </c>
      <c r="R161" s="2" t="s">
        <v>107</v>
      </c>
      <c r="S161" s="1" t="s">
        <v>1910</v>
      </c>
      <c r="T161" s="2" t="s">
        <v>73</v>
      </c>
      <c r="U161" s="3">
        <v>1</v>
      </c>
      <c r="V161" s="3">
        <v>1</v>
      </c>
      <c r="W161" s="4" t="s">
        <v>1163</v>
      </c>
      <c r="X161" s="4" t="s">
        <v>1163</v>
      </c>
      <c r="Y161" s="4" t="s">
        <v>1390</v>
      </c>
      <c r="Z161" s="4" t="s">
        <v>1390</v>
      </c>
      <c r="AA161" s="3">
        <v>284</v>
      </c>
      <c r="AB161" s="3">
        <v>216</v>
      </c>
      <c r="AC161" s="3">
        <v>1303</v>
      </c>
      <c r="AD161" s="3">
        <v>1</v>
      </c>
      <c r="AE161" s="3">
        <v>24</v>
      </c>
      <c r="AF161" s="3">
        <v>7</v>
      </c>
      <c r="AG161" s="3">
        <v>55</v>
      </c>
      <c r="AH161" s="3">
        <v>1</v>
      </c>
      <c r="AI161" s="3">
        <v>18</v>
      </c>
      <c r="AJ161" s="3">
        <v>2</v>
      </c>
      <c r="AK161" s="3">
        <v>12</v>
      </c>
      <c r="AL161" s="3">
        <v>5</v>
      </c>
      <c r="AM161" s="3">
        <v>18</v>
      </c>
      <c r="AN161" s="3">
        <v>0</v>
      </c>
      <c r="AO161" s="3">
        <v>15</v>
      </c>
      <c r="AP161" s="3">
        <v>0</v>
      </c>
      <c r="AQ161" s="3">
        <v>2</v>
      </c>
      <c r="AR161" s="2" t="s">
        <v>63</v>
      </c>
      <c r="AS161" s="2" t="s">
        <v>76</v>
      </c>
      <c r="AT161" s="5" t="str">
        <f>HYPERLINK("http://catalog.hathitrust.org/Record/000944573","HathiTrust Record")</f>
        <v>HathiTrust Record</v>
      </c>
      <c r="AU161" s="5" t="str">
        <f>HYPERLINK("https://creighton-primo.hosted.exlibrisgroup.com/primo-explore/search?tab=default_tab&amp;search_scope=EVERYTHING&amp;vid=01CRU&amp;lang=en_US&amp;offset=0&amp;query=any,contains,991001122719702656","Catalog Record")</f>
        <v>Catalog Record</v>
      </c>
      <c r="AV161" s="5" t="str">
        <f>HYPERLINK("http://www.worldcat.org/oclc/17675040","WorldCat Record")</f>
        <v>WorldCat Record</v>
      </c>
      <c r="AW161" s="2" t="s">
        <v>1911</v>
      </c>
      <c r="AX161" s="2" t="s">
        <v>1912</v>
      </c>
      <c r="AY161" s="2" t="s">
        <v>1913</v>
      </c>
      <c r="AZ161" s="2" t="s">
        <v>1913</v>
      </c>
      <c r="BA161" s="2" t="s">
        <v>1914</v>
      </c>
      <c r="BB161" s="2" t="s">
        <v>81</v>
      </c>
      <c r="BD161" s="2" t="s">
        <v>1915</v>
      </c>
      <c r="BE161" s="2" t="s">
        <v>1916</v>
      </c>
      <c r="BF161" s="2" t="s">
        <v>1917</v>
      </c>
    </row>
    <row r="162" spans="1:58" ht="42" customHeight="1">
      <c r="A162" s="1"/>
      <c r="B162" s="1" t="s">
        <v>58</v>
      </c>
      <c r="C162" s="1" t="s">
        <v>59</v>
      </c>
      <c r="D162" s="1" t="s">
        <v>1918</v>
      </c>
      <c r="E162" s="1" t="s">
        <v>1919</v>
      </c>
      <c r="F162" s="1" t="s">
        <v>1920</v>
      </c>
      <c r="H162" s="2" t="s">
        <v>63</v>
      </c>
      <c r="I162" s="2" t="s">
        <v>64</v>
      </c>
      <c r="J162" s="2" t="s">
        <v>63</v>
      </c>
      <c r="K162" s="2" t="s">
        <v>63</v>
      </c>
      <c r="L162" s="2" t="s">
        <v>65</v>
      </c>
      <c r="M162" s="1" t="s">
        <v>1921</v>
      </c>
      <c r="N162" s="1" t="s">
        <v>1922</v>
      </c>
      <c r="O162" s="2" t="s">
        <v>632</v>
      </c>
      <c r="P162" s="1" t="s">
        <v>231</v>
      </c>
      <c r="Q162" s="2" t="s">
        <v>70</v>
      </c>
      <c r="R162" s="2" t="s">
        <v>92</v>
      </c>
      <c r="T162" s="2" t="s">
        <v>73</v>
      </c>
      <c r="U162" s="3">
        <v>6</v>
      </c>
      <c r="V162" s="3">
        <v>6</v>
      </c>
      <c r="W162" s="4" t="s">
        <v>1645</v>
      </c>
      <c r="X162" s="4" t="s">
        <v>1645</v>
      </c>
      <c r="Y162" s="4" t="s">
        <v>1923</v>
      </c>
      <c r="Z162" s="4" t="s">
        <v>1923</v>
      </c>
      <c r="AA162" s="3">
        <v>399</v>
      </c>
      <c r="AB162" s="3">
        <v>272</v>
      </c>
      <c r="AC162" s="3">
        <v>281</v>
      </c>
      <c r="AD162" s="3">
        <v>4</v>
      </c>
      <c r="AE162" s="3">
        <v>4</v>
      </c>
      <c r="AF162" s="3">
        <v>11</v>
      </c>
      <c r="AG162" s="3">
        <v>11</v>
      </c>
      <c r="AH162" s="3">
        <v>3</v>
      </c>
      <c r="AI162" s="3">
        <v>3</v>
      </c>
      <c r="AJ162" s="3">
        <v>5</v>
      </c>
      <c r="AK162" s="3">
        <v>5</v>
      </c>
      <c r="AL162" s="3">
        <v>4</v>
      </c>
      <c r="AM162" s="3">
        <v>4</v>
      </c>
      <c r="AN162" s="3">
        <v>3</v>
      </c>
      <c r="AO162" s="3">
        <v>3</v>
      </c>
      <c r="AP162" s="3">
        <v>0</v>
      </c>
      <c r="AQ162" s="3">
        <v>0</v>
      </c>
      <c r="AR162" s="2" t="s">
        <v>63</v>
      </c>
      <c r="AS162" s="2" t="s">
        <v>63</v>
      </c>
      <c r="AU162" s="5" t="str">
        <f>HYPERLINK("https://creighton-primo.hosted.exlibrisgroup.com/primo-explore/search?tab=default_tab&amp;search_scope=EVERYTHING&amp;vid=01CRU&amp;lang=en_US&amp;offset=0&amp;query=any,contains,991001139679702656","Catalog Record")</f>
        <v>Catalog Record</v>
      </c>
      <c r="AV162" s="5" t="str">
        <f>HYPERLINK("http://www.worldcat.org/oclc/25713934","WorldCat Record")</f>
        <v>WorldCat Record</v>
      </c>
      <c r="AW162" s="2" t="s">
        <v>1924</v>
      </c>
      <c r="AX162" s="2" t="s">
        <v>1925</v>
      </c>
      <c r="AY162" s="2" t="s">
        <v>1926</v>
      </c>
      <c r="AZ162" s="2" t="s">
        <v>1926</v>
      </c>
      <c r="BA162" s="2" t="s">
        <v>1927</v>
      </c>
      <c r="BB162" s="2" t="s">
        <v>81</v>
      </c>
      <c r="BD162" s="2" t="s">
        <v>1928</v>
      </c>
      <c r="BE162" s="2" t="s">
        <v>1929</v>
      </c>
      <c r="BF162" s="2" t="s">
        <v>1930</v>
      </c>
    </row>
    <row r="163" spans="1:58" ht="42" customHeight="1">
      <c r="A163" s="1"/>
      <c r="B163" s="1" t="s">
        <v>58</v>
      </c>
      <c r="C163" s="1" t="s">
        <v>59</v>
      </c>
      <c r="D163" s="1" t="s">
        <v>1931</v>
      </c>
      <c r="E163" s="1" t="s">
        <v>1932</v>
      </c>
      <c r="F163" s="1" t="s">
        <v>1933</v>
      </c>
      <c r="G163" s="2" t="s">
        <v>165</v>
      </c>
      <c r="H163" s="2" t="s">
        <v>76</v>
      </c>
      <c r="I163" s="2" t="s">
        <v>64</v>
      </c>
      <c r="J163" s="2" t="s">
        <v>63</v>
      </c>
      <c r="K163" s="2" t="s">
        <v>63</v>
      </c>
      <c r="L163" s="2" t="s">
        <v>65</v>
      </c>
      <c r="N163" s="1" t="s">
        <v>1934</v>
      </c>
      <c r="O163" s="2" t="s">
        <v>1935</v>
      </c>
      <c r="Q163" s="2" t="s">
        <v>70</v>
      </c>
      <c r="R163" s="2" t="s">
        <v>422</v>
      </c>
      <c r="T163" s="2" t="s">
        <v>73</v>
      </c>
      <c r="U163" s="3">
        <v>1</v>
      </c>
      <c r="V163" s="3">
        <v>3</v>
      </c>
      <c r="W163" s="4" t="s">
        <v>1844</v>
      </c>
      <c r="X163" s="4" t="s">
        <v>1844</v>
      </c>
      <c r="Y163" s="4" t="s">
        <v>1073</v>
      </c>
      <c r="Z163" s="4" t="s">
        <v>1073</v>
      </c>
      <c r="AA163" s="3">
        <v>256</v>
      </c>
      <c r="AB163" s="3">
        <v>194</v>
      </c>
      <c r="AC163" s="3">
        <v>196</v>
      </c>
      <c r="AD163" s="3">
        <v>1</v>
      </c>
      <c r="AE163" s="3">
        <v>1</v>
      </c>
      <c r="AF163" s="3">
        <v>4</v>
      </c>
      <c r="AG163" s="3">
        <v>4</v>
      </c>
      <c r="AH163" s="3">
        <v>1</v>
      </c>
      <c r="AI163" s="3">
        <v>1</v>
      </c>
      <c r="AJ163" s="3">
        <v>2</v>
      </c>
      <c r="AK163" s="3">
        <v>2</v>
      </c>
      <c r="AL163" s="3">
        <v>3</v>
      </c>
      <c r="AM163" s="3">
        <v>3</v>
      </c>
      <c r="AN163" s="3">
        <v>0</v>
      </c>
      <c r="AO163" s="3">
        <v>0</v>
      </c>
      <c r="AP163" s="3">
        <v>0</v>
      </c>
      <c r="AQ163" s="3">
        <v>0</v>
      </c>
      <c r="AR163" s="2" t="s">
        <v>63</v>
      </c>
      <c r="AS163" s="2" t="s">
        <v>76</v>
      </c>
      <c r="AT163" s="5" t="str">
        <f>HYPERLINK("http://catalog.hathitrust.org/Record/000250705","HathiTrust Record")</f>
        <v>HathiTrust Record</v>
      </c>
      <c r="AU163" s="5" t="str">
        <f>HYPERLINK("https://creighton-primo.hosted.exlibrisgroup.com/primo-explore/search?tab=default_tab&amp;search_scope=EVERYTHING&amp;vid=01CRU&amp;lang=en_US&amp;offset=0&amp;query=any,contains,991000997899702656","Catalog Record")</f>
        <v>Catalog Record</v>
      </c>
      <c r="AV163" s="5" t="str">
        <f>HYPERLINK("http://www.worldcat.org/oclc/2986117","WorldCat Record")</f>
        <v>WorldCat Record</v>
      </c>
      <c r="AW163" s="2" t="s">
        <v>1936</v>
      </c>
      <c r="AX163" s="2" t="s">
        <v>1937</v>
      </c>
      <c r="AY163" s="2" t="s">
        <v>1938</v>
      </c>
      <c r="AZ163" s="2" t="s">
        <v>1938</v>
      </c>
      <c r="BA163" s="2" t="s">
        <v>1939</v>
      </c>
      <c r="BB163" s="2" t="s">
        <v>81</v>
      </c>
      <c r="BD163" s="2" t="s">
        <v>1940</v>
      </c>
      <c r="BE163" s="2" t="s">
        <v>1941</v>
      </c>
      <c r="BF163" s="2" t="s">
        <v>1942</v>
      </c>
    </row>
    <row r="164" spans="1:58" ht="42" customHeight="1">
      <c r="A164" s="1"/>
      <c r="B164" s="1" t="s">
        <v>58</v>
      </c>
      <c r="C164" s="1" t="s">
        <v>59</v>
      </c>
      <c r="D164" s="1" t="s">
        <v>1931</v>
      </c>
      <c r="E164" s="1" t="s">
        <v>1932</v>
      </c>
      <c r="F164" s="1" t="s">
        <v>1933</v>
      </c>
      <c r="G164" s="2" t="s">
        <v>178</v>
      </c>
      <c r="H164" s="2" t="s">
        <v>76</v>
      </c>
      <c r="I164" s="2" t="s">
        <v>64</v>
      </c>
      <c r="J164" s="2" t="s">
        <v>63</v>
      </c>
      <c r="K164" s="2" t="s">
        <v>63</v>
      </c>
      <c r="L164" s="2" t="s">
        <v>65</v>
      </c>
      <c r="N164" s="1" t="s">
        <v>1934</v>
      </c>
      <c r="O164" s="2" t="s">
        <v>1935</v>
      </c>
      <c r="Q164" s="2" t="s">
        <v>70</v>
      </c>
      <c r="R164" s="2" t="s">
        <v>422</v>
      </c>
      <c r="T164" s="2" t="s">
        <v>73</v>
      </c>
      <c r="U164" s="3">
        <v>2</v>
      </c>
      <c r="V164" s="3">
        <v>3</v>
      </c>
      <c r="W164" s="4" t="s">
        <v>1844</v>
      </c>
      <c r="X164" s="4" t="s">
        <v>1844</v>
      </c>
      <c r="Y164" s="4" t="s">
        <v>1073</v>
      </c>
      <c r="Z164" s="4" t="s">
        <v>1073</v>
      </c>
      <c r="AA164" s="3">
        <v>256</v>
      </c>
      <c r="AB164" s="3">
        <v>194</v>
      </c>
      <c r="AC164" s="3">
        <v>196</v>
      </c>
      <c r="AD164" s="3">
        <v>1</v>
      </c>
      <c r="AE164" s="3">
        <v>1</v>
      </c>
      <c r="AF164" s="3">
        <v>4</v>
      </c>
      <c r="AG164" s="3">
        <v>4</v>
      </c>
      <c r="AH164" s="3">
        <v>1</v>
      </c>
      <c r="AI164" s="3">
        <v>1</v>
      </c>
      <c r="AJ164" s="3">
        <v>2</v>
      </c>
      <c r="AK164" s="3">
        <v>2</v>
      </c>
      <c r="AL164" s="3">
        <v>3</v>
      </c>
      <c r="AM164" s="3">
        <v>3</v>
      </c>
      <c r="AN164" s="3">
        <v>0</v>
      </c>
      <c r="AO164" s="3">
        <v>0</v>
      </c>
      <c r="AP164" s="3">
        <v>0</v>
      </c>
      <c r="AQ164" s="3">
        <v>0</v>
      </c>
      <c r="AR164" s="2" t="s">
        <v>63</v>
      </c>
      <c r="AS164" s="2" t="s">
        <v>76</v>
      </c>
      <c r="AT164" s="5" t="str">
        <f>HYPERLINK("http://catalog.hathitrust.org/Record/000250705","HathiTrust Record")</f>
        <v>HathiTrust Record</v>
      </c>
      <c r="AU164" s="5" t="str">
        <f>HYPERLINK("https://creighton-primo.hosted.exlibrisgroup.com/primo-explore/search?tab=default_tab&amp;search_scope=EVERYTHING&amp;vid=01CRU&amp;lang=en_US&amp;offset=0&amp;query=any,contains,991000997899702656","Catalog Record")</f>
        <v>Catalog Record</v>
      </c>
      <c r="AV164" s="5" t="str">
        <f>HYPERLINK("http://www.worldcat.org/oclc/2986117","WorldCat Record")</f>
        <v>WorldCat Record</v>
      </c>
      <c r="AW164" s="2" t="s">
        <v>1936</v>
      </c>
      <c r="AX164" s="2" t="s">
        <v>1937</v>
      </c>
      <c r="AY164" s="2" t="s">
        <v>1938</v>
      </c>
      <c r="AZ164" s="2" t="s">
        <v>1938</v>
      </c>
      <c r="BA164" s="2" t="s">
        <v>1939</v>
      </c>
      <c r="BB164" s="2" t="s">
        <v>81</v>
      </c>
      <c r="BD164" s="2" t="s">
        <v>1940</v>
      </c>
      <c r="BE164" s="2" t="s">
        <v>1943</v>
      </c>
      <c r="BF164" s="2" t="s">
        <v>1944</v>
      </c>
    </row>
    <row r="165" spans="1:58" ht="42" customHeight="1">
      <c r="A165" s="1"/>
      <c r="B165" s="1" t="s">
        <v>58</v>
      </c>
      <c r="C165" s="1" t="s">
        <v>59</v>
      </c>
      <c r="D165" s="1" t="s">
        <v>1945</v>
      </c>
      <c r="E165" s="1" t="s">
        <v>1946</v>
      </c>
      <c r="F165" s="1" t="s">
        <v>1947</v>
      </c>
      <c r="H165" s="2" t="s">
        <v>63</v>
      </c>
      <c r="I165" s="2" t="s">
        <v>64</v>
      </c>
      <c r="J165" s="2" t="s">
        <v>63</v>
      </c>
      <c r="K165" s="2" t="s">
        <v>63</v>
      </c>
      <c r="L165" s="2" t="s">
        <v>65</v>
      </c>
      <c r="N165" s="1" t="s">
        <v>1948</v>
      </c>
      <c r="O165" s="2" t="s">
        <v>757</v>
      </c>
      <c r="Q165" s="2" t="s">
        <v>70</v>
      </c>
      <c r="R165" s="2" t="s">
        <v>107</v>
      </c>
      <c r="T165" s="2" t="s">
        <v>73</v>
      </c>
      <c r="U165" s="3">
        <v>3</v>
      </c>
      <c r="V165" s="3">
        <v>3</v>
      </c>
      <c r="W165" s="4" t="s">
        <v>1949</v>
      </c>
      <c r="X165" s="4" t="s">
        <v>1949</v>
      </c>
      <c r="Y165" s="4" t="s">
        <v>109</v>
      </c>
      <c r="Z165" s="4" t="s">
        <v>109</v>
      </c>
      <c r="AA165" s="3">
        <v>176</v>
      </c>
      <c r="AB165" s="3">
        <v>135</v>
      </c>
      <c r="AC165" s="3">
        <v>136</v>
      </c>
      <c r="AD165" s="3">
        <v>2</v>
      </c>
      <c r="AE165" s="3">
        <v>2</v>
      </c>
      <c r="AF165" s="3">
        <v>2</v>
      </c>
      <c r="AG165" s="3">
        <v>2</v>
      </c>
      <c r="AH165" s="3">
        <v>0</v>
      </c>
      <c r="AI165" s="3">
        <v>0</v>
      </c>
      <c r="AJ165" s="3">
        <v>0</v>
      </c>
      <c r="AK165" s="3">
        <v>0</v>
      </c>
      <c r="AL165" s="3">
        <v>1</v>
      </c>
      <c r="AM165" s="3">
        <v>1</v>
      </c>
      <c r="AN165" s="3">
        <v>1</v>
      </c>
      <c r="AO165" s="3">
        <v>1</v>
      </c>
      <c r="AP165" s="3">
        <v>0</v>
      </c>
      <c r="AQ165" s="3">
        <v>0</v>
      </c>
      <c r="AR165" s="2" t="s">
        <v>63</v>
      </c>
      <c r="AS165" s="2" t="s">
        <v>76</v>
      </c>
      <c r="AT165" s="5" t="str">
        <f>HYPERLINK("http://catalog.hathitrust.org/Record/000477988","HathiTrust Record")</f>
        <v>HathiTrust Record</v>
      </c>
      <c r="AU165" s="5" t="str">
        <f>HYPERLINK("https://creighton-primo.hosted.exlibrisgroup.com/primo-explore/search?tab=default_tab&amp;search_scope=EVERYTHING&amp;vid=01CRU&amp;lang=en_US&amp;offset=0&amp;query=any,contains,991000997689702656","Catalog Record")</f>
        <v>Catalog Record</v>
      </c>
      <c r="AV165" s="5" t="str">
        <f>HYPERLINK("http://www.worldcat.org/oclc/8132113","WorldCat Record")</f>
        <v>WorldCat Record</v>
      </c>
      <c r="AW165" s="2" t="s">
        <v>1950</v>
      </c>
      <c r="AX165" s="2" t="s">
        <v>1951</v>
      </c>
      <c r="AY165" s="2" t="s">
        <v>1952</v>
      </c>
      <c r="AZ165" s="2" t="s">
        <v>1952</v>
      </c>
      <c r="BA165" s="2" t="s">
        <v>1953</v>
      </c>
      <c r="BB165" s="2" t="s">
        <v>81</v>
      </c>
      <c r="BD165" s="2" t="s">
        <v>1954</v>
      </c>
      <c r="BE165" s="2" t="s">
        <v>1955</v>
      </c>
      <c r="BF165" s="2" t="s">
        <v>1956</v>
      </c>
    </row>
    <row r="166" spans="1:58" ht="42" customHeight="1">
      <c r="A166" s="1"/>
      <c r="B166" s="1" t="s">
        <v>58</v>
      </c>
      <c r="C166" s="1" t="s">
        <v>59</v>
      </c>
      <c r="D166" s="1" t="s">
        <v>1957</v>
      </c>
      <c r="E166" s="1" t="s">
        <v>1958</v>
      </c>
      <c r="F166" s="1" t="s">
        <v>1959</v>
      </c>
      <c r="H166" s="2" t="s">
        <v>63</v>
      </c>
      <c r="I166" s="2" t="s">
        <v>64</v>
      </c>
      <c r="J166" s="2" t="s">
        <v>63</v>
      </c>
      <c r="K166" s="2" t="s">
        <v>63</v>
      </c>
      <c r="L166" s="2" t="s">
        <v>65</v>
      </c>
      <c r="N166" s="1" t="s">
        <v>1960</v>
      </c>
      <c r="O166" s="2" t="s">
        <v>121</v>
      </c>
      <c r="Q166" s="2" t="s">
        <v>70</v>
      </c>
      <c r="R166" s="2" t="s">
        <v>107</v>
      </c>
      <c r="T166" s="2" t="s">
        <v>73</v>
      </c>
      <c r="U166" s="3">
        <v>1</v>
      </c>
      <c r="V166" s="3">
        <v>1</v>
      </c>
      <c r="W166" s="4" t="s">
        <v>511</v>
      </c>
      <c r="X166" s="4" t="s">
        <v>511</v>
      </c>
      <c r="Y166" s="4" t="s">
        <v>109</v>
      </c>
      <c r="Z166" s="4" t="s">
        <v>109</v>
      </c>
      <c r="AA166" s="3">
        <v>195</v>
      </c>
      <c r="AB166" s="3">
        <v>150</v>
      </c>
      <c r="AC166" s="3">
        <v>155</v>
      </c>
      <c r="AD166" s="3">
        <v>1</v>
      </c>
      <c r="AE166" s="3">
        <v>1</v>
      </c>
      <c r="AF166" s="3">
        <v>3</v>
      </c>
      <c r="AG166" s="3">
        <v>3</v>
      </c>
      <c r="AH166" s="3">
        <v>1</v>
      </c>
      <c r="AI166" s="3">
        <v>1</v>
      </c>
      <c r="AJ166" s="3">
        <v>0</v>
      </c>
      <c r="AK166" s="3">
        <v>0</v>
      </c>
      <c r="AL166" s="3">
        <v>3</v>
      </c>
      <c r="AM166" s="3">
        <v>3</v>
      </c>
      <c r="AN166" s="3">
        <v>0</v>
      </c>
      <c r="AO166" s="3">
        <v>0</v>
      </c>
      <c r="AP166" s="3">
        <v>0</v>
      </c>
      <c r="AQ166" s="3">
        <v>0</v>
      </c>
      <c r="AR166" s="2" t="s">
        <v>63</v>
      </c>
      <c r="AS166" s="2" t="s">
        <v>63</v>
      </c>
      <c r="AU166" s="5" t="str">
        <f>HYPERLINK("https://creighton-primo.hosted.exlibrisgroup.com/primo-explore/search?tab=default_tab&amp;search_scope=EVERYTHING&amp;vid=01CRU&amp;lang=en_US&amp;offset=0&amp;query=any,contains,991000997859702656","Catalog Record")</f>
        <v>Catalog Record</v>
      </c>
      <c r="AV166" s="5" t="str">
        <f>HYPERLINK("http://www.worldcat.org/oclc/6423055","WorldCat Record")</f>
        <v>WorldCat Record</v>
      </c>
      <c r="AW166" s="2" t="s">
        <v>1961</v>
      </c>
      <c r="AX166" s="2" t="s">
        <v>1962</v>
      </c>
      <c r="AY166" s="2" t="s">
        <v>1963</v>
      </c>
      <c r="AZ166" s="2" t="s">
        <v>1963</v>
      </c>
      <c r="BA166" s="2" t="s">
        <v>1964</v>
      </c>
      <c r="BB166" s="2" t="s">
        <v>81</v>
      </c>
      <c r="BD166" s="2" t="s">
        <v>1965</v>
      </c>
      <c r="BE166" s="2" t="s">
        <v>1966</v>
      </c>
      <c r="BF166" s="2" t="s">
        <v>1967</v>
      </c>
    </row>
    <row r="167" spans="1:58" ht="42" customHeight="1">
      <c r="A167" s="1"/>
      <c r="B167" s="1" t="s">
        <v>58</v>
      </c>
      <c r="C167" s="1" t="s">
        <v>59</v>
      </c>
      <c r="D167" s="1" t="s">
        <v>1968</v>
      </c>
      <c r="E167" s="1" t="s">
        <v>1969</v>
      </c>
      <c r="F167" s="1" t="s">
        <v>1970</v>
      </c>
      <c r="H167" s="2" t="s">
        <v>63</v>
      </c>
      <c r="I167" s="2" t="s">
        <v>64</v>
      </c>
      <c r="J167" s="2" t="s">
        <v>63</v>
      </c>
      <c r="K167" s="2" t="s">
        <v>63</v>
      </c>
      <c r="L167" s="2" t="s">
        <v>65</v>
      </c>
      <c r="M167" s="1" t="s">
        <v>1971</v>
      </c>
      <c r="N167" s="1" t="s">
        <v>1972</v>
      </c>
      <c r="O167" s="2" t="s">
        <v>1973</v>
      </c>
      <c r="Q167" s="2" t="s">
        <v>70</v>
      </c>
      <c r="R167" s="2" t="s">
        <v>408</v>
      </c>
      <c r="T167" s="2" t="s">
        <v>73</v>
      </c>
      <c r="U167" s="3">
        <v>0</v>
      </c>
      <c r="V167" s="3">
        <v>0</v>
      </c>
      <c r="W167" s="4" t="s">
        <v>1974</v>
      </c>
      <c r="X167" s="4" t="s">
        <v>1974</v>
      </c>
      <c r="Y167" s="4" t="s">
        <v>1975</v>
      </c>
      <c r="Z167" s="4" t="s">
        <v>1975</v>
      </c>
      <c r="AA167" s="3">
        <v>5</v>
      </c>
      <c r="AB167" s="3">
        <v>1</v>
      </c>
      <c r="AC167" s="3">
        <v>1</v>
      </c>
      <c r="AD167" s="3">
        <v>1</v>
      </c>
      <c r="AE167" s="3">
        <v>1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2" t="s">
        <v>63</v>
      </c>
      <c r="AS167" s="2" t="s">
        <v>63</v>
      </c>
      <c r="AU167" s="5" t="str">
        <f>HYPERLINK("https://creighton-primo.hosted.exlibrisgroup.com/primo-explore/search?tab=default_tab&amp;search_scope=EVERYTHING&amp;vid=01CRU&amp;lang=en_US&amp;offset=0&amp;query=any,contains,991000582619702656","Catalog Record")</f>
        <v>Catalog Record</v>
      </c>
      <c r="AV167" s="5" t="str">
        <f>HYPERLINK("http://www.worldcat.org/oclc/66441981","WorldCat Record")</f>
        <v>WorldCat Record</v>
      </c>
      <c r="AW167" s="2" t="s">
        <v>1976</v>
      </c>
      <c r="AX167" s="2" t="s">
        <v>1977</v>
      </c>
      <c r="AY167" s="2" t="s">
        <v>1978</v>
      </c>
      <c r="AZ167" s="2" t="s">
        <v>1978</v>
      </c>
      <c r="BA167" s="2" t="s">
        <v>1979</v>
      </c>
      <c r="BB167" s="2" t="s">
        <v>81</v>
      </c>
      <c r="BD167" s="2" t="s">
        <v>1980</v>
      </c>
      <c r="BE167" s="2" t="s">
        <v>1981</v>
      </c>
      <c r="BF167" s="2" t="s">
        <v>1982</v>
      </c>
    </row>
    <row r="168" spans="1:58" ht="42" customHeight="1">
      <c r="A168" s="1"/>
      <c r="B168" s="1" t="s">
        <v>58</v>
      </c>
      <c r="C168" s="1" t="s">
        <v>59</v>
      </c>
      <c r="D168" s="1" t="s">
        <v>1983</v>
      </c>
      <c r="E168" s="1" t="s">
        <v>1984</v>
      </c>
      <c r="F168" s="1" t="s">
        <v>1985</v>
      </c>
      <c r="G168" s="2" t="s">
        <v>473</v>
      </c>
      <c r="H168" s="2" t="s">
        <v>76</v>
      </c>
      <c r="I168" s="2" t="s">
        <v>64</v>
      </c>
      <c r="J168" s="2" t="s">
        <v>63</v>
      </c>
      <c r="K168" s="2" t="s">
        <v>63</v>
      </c>
      <c r="L168" s="2" t="s">
        <v>65</v>
      </c>
      <c r="N168" s="1" t="s">
        <v>1986</v>
      </c>
      <c r="O168" s="2" t="s">
        <v>215</v>
      </c>
      <c r="Q168" s="2" t="s">
        <v>70</v>
      </c>
      <c r="R168" s="2" t="s">
        <v>107</v>
      </c>
      <c r="S168" s="1" t="s">
        <v>1910</v>
      </c>
      <c r="T168" s="2" t="s">
        <v>73</v>
      </c>
      <c r="U168" s="3">
        <v>5</v>
      </c>
      <c r="V168" s="3">
        <v>5</v>
      </c>
      <c r="W168" s="4" t="s">
        <v>1987</v>
      </c>
      <c r="X168" s="4" t="s">
        <v>1987</v>
      </c>
      <c r="Y168" s="4" t="s">
        <v>109</v>
      </c>
      <c r="Z168" s="4" t="s">
        <v>109</v>
      </c>
      <c r="AA168" s="3">
        <v>300</v>
      </c>
      <c r="AB168" s="3">
        <v>245</v>
      </c>
      <c r="AC168" s="3">
        <v>266</v>
      </c>
      <c r="AD168" s="3">
        <v>3</v>
      </c>
      <c r="AE168" s="3">
        <v>3</v>
      </c>
      <c r="AF168" s="3">
        <v>7</v>
      </c>
      <c r="AG168" s="3">
        <v>7</v>
      </c>
      <c r="AH168" s="3">
        <v>2</v>
      </c>
      <c r="AI168" s="3">
        <v>2</v>
      </c>
      <c r="AJ168" s="3">
        <v>1</v>
      </c>
      <c r="AK168" s="3">
        <v>1</v>
      </c>
      <c r="AL168" s="3">
        <v>5</v>
      </c>
      <c r="AM168" s="3">
        <v>5</v>
      </c>
      <c r="AN168" s="3">
        <v>1</v>
      </c>
      <c r="AO168" s="3">
        <v>1</v>
      </c>
      <c r="AP168" s="3">
        <v>0</v>
      </c>
      <c r="AQ168" s="3">
        <v>0</v>
      </c>
      <c r="AR168" s="2" t="s">
        <v>63</v>
      </c>
      <c r="AS168" s="2" t="s">
        <v>76</v>
      </c>
      <c r="AT168" s="5" t="str">
        <f>HYPERLINK("http://catalog.hathitrust.org/Record/000269044","HathiTrust Record")</f>
        <v>HathiTrust Record</v>
      </c>
      <c r="AU168" s="5" t="str">
        <f>HYPERLINK("https://creighton-primo.hosted.exlibrisgroup.com/primo-explore/search?tab=default_tab&amp;search_scope=EVERYTHING&amp;vid=01CRU&amp;lang=en_US&amp;offset=0&amp;query=any,contains,991000997779702656","Catalog Record")</f>
        <v>Catalog Record</v>
      </c>
      <c r="AV168" s="5" t="str">
        <f>HYPERLINK("http://www.worldcat.org/oclc/8689752","WorldCat Record")</f>
        <v>WorldCat Record</v>
      </c>
      <c r="AW168" s="2" t="s">
        <v>1988</v>
      </c>
      <c r="AX168" s="2" t="s">
        <v>1989</v>
      </c>
      <c r="AY168" s="2" t="s">
        <v>1990</v>
      </c>
      <c r="AZ168" s="2" t="s">
        <v>1990</v>
      </c>
      <c r="BA168" s="2" t="s">
        <v>1991</v>
      </c>
      <c r="BB168" s="2" t="s">
        <v>81</v>
      </c>
      <c r="BE168" s="2" t="s">
        <v>1992</v>
      </c>
      <c r="BF168" s="2" t="s">
        <v>1993</v>
      </c>
    </row>
    <row r="169" spans="1:58" ht="42" customHeight="1">
      <c r="A169" s="1"/>
      <c r="B169" s="1" t="s">
        <v>58</v>
      </c>
      <c r="C169" s="1" t="s">
        <v>59</v>
      </c>
      <c r="D169" s="1" t="s">
        <v>1994</v>
      </c>
      <c r="E169" s="1" t="s">
        <v>1995</v>
      </c>
      <c r="F169" s="1" t="s">
        <v>1996</v>
      </c>
      <c r="H169" s="2" t="s">
        <v>63</v>
      </c>
      <c r="I169" s="2" t="s">
        <v>64</v>
      </c>
      <c r="J169" s="2" t="s">
        <v>63</v>
      </c>
      <c r="K169" s="2" t="s">
        <v>63</v>
      </c>
      <c r="L169" s="2" t="s">
        <v>65</v>
      </c>
      <c r="N169" s="1" t="s">
        <v>1451</v>
      </c>
      <c r="O169" s="2" t="s">
        <v>314</v>
      </c>
      <c r="Q169" s="2" t="s">
        <v>70</v>
      </c>
      <c r="R169" s="2" t="s">
        <v>422</v>
      </c>
      <c r="S169" s="1" t="s">
        <v>1997</v>
      </c>
      <c r="T169" s="2" t="s">
        <v>73</v>
      </c>
      <c r="U169" s="3">
        <v>3</v>
      </c>
      <c r="V169" s="3">
        <v>3</v>
      </c>
      <c r="W169" s="4" t="s">
        <v>1998</v>
      </c>
      <c r="X169" s="4" t="s">
        <v>1998</v>
      </c>
      <c r="Y169" s="4" t="s">
        <v>1454</v>
      </c>
      <c r="Z169" s="4" t="s">
        <v>1454</v>
      </c>
      <c r="AA169" s="3">
        <v>169</v>
      </c>
      <c r="AB169" s="3">
        <v>132</v>
      </c>
      <c r="AC169" s="3">
        <v>599</v>
      </c>
      <c r="AD169" s="3">
        <v>2</v>
      </c>
      <c r="AE169" s="3">
        <v>28</v>
      </c>
      <c r="AF169" s="3">
        <v>3</v>
      </c>
      <c r="AG169" s="3">
        <v>24</v>
      </c>
      <c r="AH169" s="3">
        <v>0</v>
      </c>
      <c r="AI169" s="3">
        <v>4</v>
      </c>
      <c r="AJ169" s="3">
        <v>2</v>
      </c>
      <c r="AK169" s="3">
        <v>4</v>
      </c>
      <c r="AL169" s="3">
        <v>1</v>
      </c>
      <c r="AM169" s="3">
        <v>6</v>
      </c>
      <c r="AN169" s="3">
        <v>1</v>
      </c>
      <c r="AO169" s="3">
        <v>13</v>
      </c>
      <c r="AP169" s="3">
        <v>0</v>
      </c>
      <c r="AQ169" s="3">
        <v>0</v>
      </c>
      <c r="AR169" s="2" t="s">
        <v>63</v>
      </c>
      <c r="AS169" s="2" t="s">
        <v>63</v>
      </c>
      <c r="AU169" s="5" t="str">
        <f>HYPERLINK("https://creighton-primo.hosted.exlibrisgroup.com/primo-explore/search?tab=default_tab&amp;search_scope=EVERYTHING&amp;vid=01CRU&amp;lang=en_US&amp;offset=0&amp;query=any,contains,991000795549702656","Catalog Record")</f>
        <v>Catalog Record</v>
      </c>
      <c r="AV169" s="5" t="str">
        <f>HYPERLINK("http://www.worldcat.org/oclc/39764145","WorldCat Record")</f>
        <v>WorldCat Record</v>
      </c>
      <c r="AW169" s="2" t="s">
        <v>1999</v>
      </c>
      <c r="AX169" s="2" t="s">
        <v>2000</v>
      </c>
      <c r="AY169" s="2" t="s">
        <v>2001</v>
      </c>
      <c r="AZ169" s="2" t="s">
        <v>2001</v>
      </c>
      <c r="BA169" s="2" t="s">
        <v>2002</v>
      </c>
      <c r="BB169" s="2" t="s">
        <v>81</v>
      </c>
      <c r="BD169" s="2" t="s">
        <v>2003</v>
      </c>
      <c r="BE169" s="2" t="s">
        <v>2004</v>
      </c>
      <c r="BF169" s="2" t="s">
        <v>2005</v>
      </c>
    </row>
    <row r="170" spans="1:58" ht="42" customHeight="1">
      <c r="A170" s="1"/>
      <c r="B170" s="1" t="s">
        <v>58</v>
      </c>
      <c r="C170" s="1" t="s">
        <v>59</v>
      </c>
      <c r="D170" s="1" t="s">
        <v>2006</v>
      </c>
      <c r="E170" s="1" t="s">
        <v>2007</v>
      </c>
      <c r="F170" s="1" t="s">
        <v>2008</v>
      </c>
      <c r="H170" s="2" t="s">
        <v>63</v>
      </c>
      <c r="I170" s="2" t="s">
        <v>64</v>
      </c>
      <c r="J170" s="2" t="s">
        <v>63</v>
      </c>
      <c r="K170" s="2" t="s">
        <v>63</v>
      </c>
      <c r="L170" s="2" t="s">
        <v>65</v>
      </c>
      <c r="M170" s="1" t="s">
        <v>2009</v>
      </c>
      <c r="N170" s="1" t="s">
        <v>2010</v>
      </c>
      <c r="O170" s="2" t="s">
        <v>757</v>
      </c>
      <c r="Q170" s="2" t="s">
        <v>70</v>
      </c>
      <c r="R170" s="2" t="s">
        <v>107</v>
      </c>
      <c r="S170" s="1" t="s">
        <v>2011</v>
      </c>
      <c r="T170" s="2" t="s">
        <v>73</v>
      </c>
      <c r="U170" s="3">
        <v>6</v>
      </c>
      <c r="V170" s="3">
        <v>6</v>
      </c>
      <c r="W170" s="4" t="s">
        <v>2012</v>
      </c>
      <c r="X170" s="4" t="s">
        <v>2012</v>
      </c>
      <c r="Y170" s="4" t="s">
        <v>2013</v>
      </c>
      <c r="Z170" s="4" t="s">
        <v>2013</v>
      </c>
      <c r="AA170" s="3">
        <v>160</v>
      </c>
      <c r="AB170" s="3">
        <v>117</v>
      </c>
      <c r="AC170" s="3">
        <v>201</v>
      </c>
      <c r="AD170" s="3">
        <v>1</v>
      </c>
      <c r="AE170" s="3">
        <v>2</v>
      </c>
      <c r="AF170" s="3">
        <v>1</v>
      </c>
      <c r="AG170" s="3">
        <v>4</v>
      </c>
      <c r="AH170" s="3">
        <v>1</v>
      </c>
      <c r="AI170" s="3">
        <v>2</v>
      </c>
      <c r="AJ170" s="3">
        <v>0</v>
      </c>
      <c r="AK170" s="3">
        <v>0</v>
      </c>
      <c r="AL170" s="3">
        <v>1</v>
      </c>
      <c r="AM170" s="3">
        <v>2</v>
      </c>
      <c r="AN170" s="3">
        <v>0</v>
      </c>
      <c r="AO170" s="3">
        <v>1</v>
      </c>
      <c r="AP170" s="3">
        <v>0</v>
      </c>
      <c r="AQ170" s="3">
        <v>0</v>
      </c>
      <c r="AR170" s="2" t="s">
        <v>63</v>
      </c>
      <c r="AS170" s="2" t="s">
        <v>63</v>
      </c>
      <c r="AU170" s="5" t="str">
        <f>HYPERLINK("https://creighton-primo.hosted.exlibrisgroup.com/primo-explore/search?tab=default_tab&amp;search_scope=EVERYTHING&amp;vid=01CRU&amp;lang=en_US&amp;offset=0&amp;query=any,contains,991000997729702656","Catalog Record")</f>
        <v>Catalog Record</v>
      </c>
      <c r="AV170" s="5" t="str">
        <f>HYPERLINK("http://www.worldcat.org/oclc/8281941","WorldCat Record")</f>
        <v>WorldCat Record</v>
      </c>
      <c r="AW170" s="2" t="s">
        <v>2014</v>
      </c>
      <c r="AX170" s="2" t="s">
        <v>2015</v>
      </c>
      <c r="AY170" s="2" t="s">
        <v>2016</v>
      </c>
      <c r="AZ170" s="2" t="s">
        <v>2016</v>
      </c>
      <c r="BA170" s="2" t="s">
        <v>2017</v>
      </c>
      <c r="BB170" s="2" t="s">
        <v>81</v>
      </c>
      <c r="BD170" s="2" t="s">
        <v>2018</v>
      </c>
      <c r="BE170" s="2" t="s">
        <v>2019</v>
      </c>
      <c r="BF170" s="2" t="s">
        <v>2020</v>
      </c>
    </row>
    <row r="171" spans="1:58" ht="42" customHeight="1">
      <c r="A171" s="1"/>
      <c r="B171" s="1" t="s">
        <v>58</v>
      </c>
      <c r="C171" s="1" t="s">
        <v>59</v>
      </c>
      <c r="D171" s="1" t="s">
        <v>2021</v>
      </c>
      <c r="E171" s="1" t="s">
        <v>2022</v>
      </c>
      <c r="F171" s="1" t="s">
        <v>2023</v>
      </c>
      <c r="H171" s="2" t="s">
        <v>63</v>
      </c>
      <c r="I171" s="2" t="s">
        <v>64</v>
      </c>
      <c r="J171" s="2" t="s">
        <v>63</v>
      </c>
      <c r="K171" s="2" t="s">
        <v>63</v>
      </c>
      <c r="L171" s="2" t="s">
        <v>65</v>
      </c>
      <c r="N171" s="1" t="s">
        <v>2024</v>
      </c>
      <c r="O171" s="2" t="s">
        <v>186</v>
      </c>
      <c r="Q171" s="2" t="s">
        <v>70</v>
      </c>
      <c r="R171" s="2" t="s">
        <v>422</v>
      </c>
      <c r="S171" s="1" t="s">
        <v>2025</v>
      </c>
      <c r="T171" s="2" t="s">
        <v>73</v>
      </c>
      <c r="U171" s="3">
        <v>14</v>
      </c>
      <c r="V171" s="3">
        <v>14</v>
      </c>
      <c r="W171" s="4" t="s">
        <v>2026</v>
      </c>
      <c r="X171" s="4" t="s">
        <v>2026</v>
      </c>
      <c r="Y171" s="4" t="s">
        <v>2027</v>
      </c>
      <c r="Z171" s="4" t="s">
        <v>2027</v>
      </c>
      <c r="AA171" s="3">
        <v>31</v>
      </c>
      <c r="AB171" s="3">
        <v>15</v>
      </c>
      <c r="AC171" s="3">
        <v>15</v>
      </c>
      <c r="AD171" s="3">
        <v>1</v>
      </c>
      <c r="AE171" s="3">
        <v>1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2" t="s">
        <v>63</v>
      </c>
      <c r="AS171" s="2" t="s">
        <v>63</v>
      </c>
      <c r="AU171" s="5" t="str">
        <f>HYPERLINK("https://creighton-primo.hosted.exlibrisgroup.com/primo-explore/search?tab=default_tab&amp;search_scope=EVERYTHING&amp;vid=01CRU&amp;lang=en_US&amp;offset=0&amp;query=any,contains,991000761239702656","Catalog Record")</f>
        <v>Catalog Record</v>
      </c>
      <c r="AV171" s="5" t="str">
        <f>HYPERLINK("http://www.worldcat.org/oclc/21465221","WorldCat Record")</f>
        <v>WorldCat Record</v>
      </c>
      <c r="AW171" s="2" t="s">
        <v>2028</v>
      </c>
      <c r="AX171" s="2" t="s">
        <v>2029</v>
      </c>
      <c r="AY171" s="2" t="s">
        <v>2030</v>
      </c>
      <c r="AZ171" s="2" t="s">
        <v>2030</v>
      </c>
      <c r="BA171" s="2" t="s">
        <v>2031</v>
      </c>
      <c r="BB171" s="2" t="s">
        <v>81</v>
      </c>
      <c r="BD171" s="2" t="s">
        <v>2032</v>
      </c>
      <c r="BE171" s="2" t="s">
        <v>2033</v>
      </c>
      <c r="BF171" s="2" t="s">
        <v>2034</v>
      </c>
    </row>
    <row r="172" spans="1:58" ht="42" customHeight="1">
      <c r="A172" s="1"/>
      <c r="B172" s="1" t="s">
        <v>58</v>
      </c>
      <c r="C172" s="1" t="s">
        <v>59</v>
      </c>
      <c r="D172" s="1" t="s">
        <v>2035</v>
      </c>
      <c r="E172" s="1" t="s">
        <v>2036</v>
      </c>
      <c r="F172" s="1" t="s">
        <v>2037</v>
      </c>
      <c r="H172" s="2" t="s">
        <v>63</v>
      </c>
      <c r="I172" s="2" t="s">
        <v>64</v>
      </c>
      <c r="J172" s="2" t="s">
        <v>63</v>
      </c>
      <c r="K172" s="2" t="s">
        <v>63</v>
      </c>
      <c r="L172" s="2" t="s">
        <v>65</v>
      </c>
      <c r="N172" s="1" t="s">
        <v>2038</v>
      </c>
      <c r="O172" s="2" t="s">
        <v>1688</v>
      </c>
      <c r="Q172" s="2" t="s">
        <v>70</v>
      </c>
      <c r="R172" s="2" t="s">
        <v>509</v>
      </c>
      <c r="T172" s="2" t="s">
        <v>73</v>
      </c>
      <c r="U172" s="3">
        <v>3</v>
      </c>
      <c r="V172" s="3">
        <v>3</v>
      </c>
      <c r="W172" s="4" t="s">
        <v>2039</v>
      </c>
      <c r="X172" s="4" t="s">
        <v>2039</v>
      </c>
      <c r="Y172" s="4" t="s">
        <v>2040</v>
      </c>
      <c r="Z172" s="4" t="s">
        <v>2040</v>
      </c>
      <c r="AA172" s="3">
        <v>116</v>
      </c>
      <c r="AB172" s="3">
        <v>79</v>
      </c>
      <c r="AC172" s="3">
        <v>84</v>
      </c>
      <c r="AD172" s="3">
        <v>1</v>
      </c>
      <c r="AE172" s="3">
        <v>1</v>
      </c>
      <c r="AF172" s="3">
        <v>3</v>
      </c>
      <c r="AG172" s="3">
        <v>3</v>
      </c>
      <c r="AH172" s="3">
        <v>1</v>
      </c>
      <c r="AI172" s="3">
        <v>1</v>
      </c>
      <c r="AJ172" s="3">
        <v>1</v>
      </c>
      <c r="AK172" s="3">
        <v>1</v>
      </c>
      <c r="AL172" s="3">
        <v>1</v>
      </c>
      <c r="AM172" s="3">
        <v>1</v>
      </c>
      <c r="AN172" s="3">
        <v>0</v>
      </c>
      <c r="AO172" s="3">
        <v>0</v>
      </c>
      <c r="AP172" s="3">
        <v>0</v>
      </c>
      <c r="AQ172" s="3">
        <v>0</v>
      </c>
      <c r="AR172" s="2" t="s">
        <v>63</v>
      </c>
      <c r="AS172" s="2" t="s">
        <v>63</v>
      </c>
      <c r="AU172" s="5" t="str">
        <f>HYPERLINK("https://creighton-primo.hosted.exlibrisgroup.com/primo-explore/search?tab=default_tab&amp;search_scope=EVERYTHING&amp;vid=01CRU&amp;lang=en_US&amp;offset=0&amp;query=any,contains,991000321329702656","Catalog Record")</f>
        <v>Catalog Record</v>
      </c>
      <c r="AV172" s="5" t="str">
        <f>HYPERLINK("http://www.worldcat.org/oclc/43969142","WorldCat Record")</f>
        <v>WorldCat Record</v>
      </c>
      <c r="AW172" s="2" t="s">
        <v>2041</v>
      </c>
      <c r="AX172" s="2" t="s">
        <v>2042</v>
      </c>
      <c r="AY172" s="2" t="s">
        <v>2043</v>
      </c>
      <c r="AZ172" s="2" t="s">
        <v>2043</v>
      </c>
      <c r="BA172" s="2" t="s">
        <v>2044</v>
      </c>
      <c r="BB172" s="2" t="s">
        <v>81</v>
      </c>
      <c r="BD172" s="2" t="s">
        <v>2045</v>
      </c>
      <c r="BE172" s="2" t="s">
        <v>2046</v>
      </c>
      <c r="BF172" s="2" t="s">
        <v>2047</v>
      </c>
    </row>
    <row r="173" spans="1:58" ht="42" customHeight="1">
      <c r="A173" s="1"/>
      <c r="B173" s="1" t="s">
        <v>58</v>
      </c>
      <c r="C173" s="1" t="s">
        <v>59</v>
      </c>
      <c r="D173" s="1" t="s">
        <v>2048</v>
      </c>
      <c r="E173" s="1" t="s">
        <v>2049</v>
      </c>
      <c r="F173" s="1" t="s">
        <v>2050</v>
      </c>
      <c r="H173" s="2" t="s">
        <v>63</v>
      </c>
      <c r="I173" s="2" t="s">
        <v>64</v>
      </c>
      <c r="J173" s="2" t="s">
        <v>63</v>
      </c>
      <c r="K173" s="2" t="s">
        <v>63</v>
      </c>
      <c r="L173" s="2" t="s">
        <v>65</v>
      </c>
      <c r="N173" s="1" t="s">
        <v>2051</v>
      </c>
      <c r="O173" s="2" t="s">
        <v>215</v>
      </c>
      <c r="Q173" s="2" t="s">
        <v>70</v>
      </c>
      <c r="R173" s="2" t="s">
        <v>107</v>
      </c>
      <c r="S173" s="1" t="s">
        <v>2052</v>
      </c>
      <c r="T173" s="2" t="s">
        <v>73</v>
      </c>
      <c r="U173" s="3">
        <v>14</v>
      </c>
      <c r="V173" s="3">
        <v>14</v>
      </c>
      <c r="W173" s="4" t="s">
        <v>2053</v>
      </c>
      <c r="X173" s="4" t="s">
        <v>2053</v>
      </c>
      <c r="Y173" s="4" t="s">
        <v>109</v>
      </c>
      <c r="Z173" s="4" t="s">
        <v>109</v>
      </c>
      <c r="AA173" s="3">
        <v>150</v>
      </c>
      <c r="AB173" s="3">
        <v>123</v>
      </c>
      <c r="AC173" s="3">
        <v>125</v>
      </c>
      <c r="AD173" s="3">
        <v>1</v>
      </c>
      <c r="AE173" s="3">
        <v>1</v>
      </c>
      <c r="AF173" s="3">
        <v>3</v>
      </c>
      <c r="AG173" s="3">
        <v>3</v>
      </c>
      <c r="AH173" s="3">
        <v>0</v>
      </c>
      <c r="AI173" s="3">
        <v>0</v>
      </c>
      <c r="AJ173" s="3">
        <v>1</v>
      </c>
      <c r="AK173" s="3">
        <v>1</v>
      </c>
      <c r="AL173" s="3">
        <v>3</v>
      </c>
      <c r="AM173" s="3">
        <v>3</v>
      </c>
      <c r="AN173" s="3">
        <v>0</v>
      </c>
      <c r="AO173" s="3">
        <v>0</v>
      </c>
      <c r="AP173" s="3">
        <v>0</v>
      </c>
      <c r="AQ173" s="3">
        <v>0</v>
      </c>
      <c r="AR173" s="2" t="s">
        <v>63</v>
      </c>
      <c r="AS173" s="2" t="s">
        <v>76</v>
      </c>
      <c r="AT173" s="5" t="str">
        <f>HYPERLINK("http://catalog.hathitrust.org/Record/000361001","HathiTrust Record")</f>
        <v>HathiTrust Record</v>
      </c>
      <c r="AU173" s="5" t="str">
        <f>HYPERLINK("https://creighton-primo.hosted.exlibrisgroup.com/primo-explore/search?tab=default_tab&amp;search_scope=EVERYTHING&amp;vid=01CRU&amp;lang=en_US&amp;offset=0&amp;query=any,contains,991000997659702656","Catalog Record")</f>
        <v>Catalog Record</v>
      </c>
      <c r="AV173" s="5" t="str">
        <f>HYPERLINK("http://www.worldcat.org/oclc/12751152","WorldCat Record")</f>
        <v>WorldCat Record</v>
      </c>
      <c r="AW173" s="2" t="s">
        <v>2054</v>
      </c>
      <c r="AX173" s="2" t="s">
        <v>2055</v>
      </c>
      <c r="AY173" s="2" t="s">
        <v>2056</v>
      </c>
      <c r="AZ173" s="2" t="s">
        <v>2056</v>
      </c>
      <c r="BA173" s="2" t="s">
        <v>2057</v>
      </c>
      <c r="BB173" s="2" t="s">
        <v>81</v>
      </c>
      <c r="BD173" s="2" t="s">
        <v>2058</v>
      </c>
      <c r="BE173" s="2" t="s">
        <v>2059</v>
      </c>
      <c r="BF173" s="2" t="s">
        <v>2060</v>
      </c>
    </row>
    <row r="174" spans="1:58" ht="42" customHeight="1">
      <c r="A174" s="1"/>
      <c r="B174" s="1" t="s">
        <v>58</v>
      </c>
      <c r="C174" s="1" t="s">
        <v>59</v>
      </c>
      <c r="D174" s="1" t="s">
        <v>2061</v>
      </c>
      <c r="E174" s="1" t="s">
        <v>2062</v>
      </c>
      <c r="F174" s="1" t="s">
        <v>2063</v>
      </c>
      <c r="G174" s="2" t="s">
        <v>384</v>
      </c>
      <c r="H174" s="2" t="s">
        <v>63</v>
      </c>
      <c r="I174" s="2" t="s">
        <v>64</v>
      </c>
      <c r="J174" s="2" t="s">
        <v>63</v>
      </c>
      <c r="K174" s="2" t="s">
        <v>63</v>
      </c>
      <c r="L174" s="2" t="s">
        <v>65</v>
      </c>
      <c r="N174" s="1" t="s">
        <v>2064</v>
      </c>
      <c r="O174" s="2" t="s">
        <v>713</v>
      </c>
      <c r="Q174" s="2" t="s">
        <v>70</v>
      </c>
      <c r="R174" s="2" t="s">
        <v>107</v>
      </c>
      <c r="S174" s="1" t="s">
        <v>1910</v>
      </c>
      <c r="T174" s="2" t="s">
        <v>73</v>
      </c>
      <c r="U174" s="3">
        <v>13</v>
      </c>
      <c r="V174" s="3">
        <v>13</v>
      </c>
      <c r="W174" s="4" t="s">
        <v>2065</v>
      </c>
      <c r="X174" s="4" t="s">
        <v>2065</v>
      </c>
      <c r="Y174" s="4" t="s">
        <v>2066</v>
      </c>
      <c r="Z174" s="4" t="s">
        <v>2066</v>
      </c>
      <c r="AA174" s="3">
        <v>192</v>
      </c>
      <c r="AB174" s="3">
        <v>154</v>
      </c>
      <c r="AC174" s="3">
        <v>156</v>
      </c>
      <c r="AD174" s="3">
        <v>1</v>
      </c>
      <c r="AE174" s="3">
        <v>1</v>
      </c>
      <c r="AF174" s="3">
        <v>4</v>
      </c>
      <c r="AG174" s="3">
        <v>4</v>
      </c>
      <c r="AH174" s="3">
        <v>0</v>
      </c>
      <c r="AI174" s="3">
        <v>0</v>
      </c>
      <c r="AJ174" s="3">
        <v>2</v>
      </c>
      <c r="AK174" s="3">
        <v>2</v>
      </c>
      <c r="AL174" s="3">
        <v>3</v>
      </c>
      <c r="AM174" s="3">
        <v>3</v>
      </c>
      <c r="AN174" s="3">
        <v>0</v>
      </c>
      <c r="AO174" s="3">
        <v>0</v>
      </c>
      <c r="AP174" s="3">
        <v>0</v>
      </c>
      <c r="AQ174" s="3">
        <v>0</v>
      </c>
      <c r="AR174" s="2" t="s">
        <v>63</v>
      </c>
      <c r="AS174" s="2" t="s">
        <v>76</v>
      </c>
      <c r="AT174" s="5" t="str">
        <f>HYPERLINK("http://catalog.hathitrust.org/Record/000596773","HathiTrust Record")</f>
        <v>HathiTrust Record</v>
      </c>
      <c r="AU174" s="5" t="str">
        <f>HYPERLINK("https://creighton-primo.hosted.exlibrisgroup.com/primo-explore/search?tab=default_tab&amp;search_scope=EVERYTHING&amp;vid=01CRU&amp;lang=en_US&amp;offset=0&amp;query=any,contains,991001527489702656","Catalog Record")</f>
        <v>Catalog Record</v>
      </c>
      <c r="AV174" s="5" t="str">
        <f>HYPERLINK("http://www.worldcat.org/oclc/13792783","WorldCat Record")</f>
        <v>WorldCat Record</v>
      </c>
      <c r="AW174" s="2" t="s">
        <v>2067</v>
      </c>
      <c r="AX174" s="2" t="s">
        <v>2068</v>
      </c>
      <c r="AY174" s="2" t="s">
        <v>2069</v>
      </c>
      <c r="AZ174" s="2" t="s">
        <v>2069</v>
      </c>
      <c r="BA174" s="2" t="s">
        <v>2070</v>
      </c>
      <c r="BB174" s="2" t="s">
        <v>81</v>
      </c>
      <c r="BD174" s="2" t="s">
        <v>2071</v>
      </c>
      <c r="BE174" s="2" t="s">
        <v>2072</v>
      </c>
      <c r="BF174" s="2" t="s">
        <v>2073</v>
      </c>
    </row>
    <row r="175" spans="1:58" ht="42" customHeight="1">
      <c r="A175" s="1"/>
      <c r="B175" s="1" t="s">
        <v>58</v>
      </c>
      <c r="C175" s="1" t="s">
        <v>59</v>
      </c>
      <c r="D175" s="1" t="s">
        <v>2074</v>
      </c>
      <c r="E175" s="1" t="s">
        <v>2075</v>
      </c>
      <c r="F175" s="1" t="s">
        <v>2076</v>
      </c>
      <c r="H175" s="2" t="s">
        <v>63</v>
      </c>
      <c r="I175" s="2" t="s">
        <v>64</v>
      </c>
      <c r="J175" s="2" t="s">
        <v>63</v>
      </c>
      <c r="K175" s="2" t="s">
        <v>63</v>
      </c>
      <c r="L175" s="2" t="s">
        <v>64</v>
      </c>
      <c r="M175" s="1" t="s">
        <v>2077</v>
      </c>
      <c r="N175" s="1" t="s">
        <v>2078</v>
      </c>
      <c r="O175" s="2" t="s">
        <v>1034</v>
      </c>
      <c r="Q175" s="2" t="s">
        <v>70</v>
      </c>
      <c r="R175" s="2" t="s">
        <v>2079</v>
      </c>
      <c r="S175" s="1" t="s">
        <v>2080</v>
      </c>
      <c r="T175" s="2" t="s">
        <v>73</v>
      </c>
      <c r="U175" s="3">
        <v>1</v>
      </c>
      <c r="V175" s="3">
        <v>1</v>
      </c>
      <c r="W175" s="4" t="s">
        <v>2081</v>
      </c>
      <c r="X175" s="4" t="s">
        <v>2081</v>
      </c>
      <c r="Y175" s="4" t="s">
        <v>2082</v>
      </c>
      <c r="Z175" s="4" t="s">
        <v>2082</v>
      </c>
      <c r="AA175" s="3">
        <v>80</v>
      </c>
      <c r="AB175" s="3">
        <v>67</v>
      </c>
      <c r="AC175" s="3">
        <v>795</v>
      </c>
      <c r="AD175" s="3">
        <v>1</v>
      </c>
      <c r="AE175" s="3">
        <v>14</v>
      </c>
      <c r="AF175" s="3">
        <v>2</v>
      </c>
      <c r="AG175" s="3">
        <v>30</v>
      </c>
      <c r="AH175" s="3">
        <v>0</v>
      </c>
      <c r="AI175" s="3">
        <v>7</v>
      </c>
      <c r="AJ175" s="3">
        <v>1</v>
      </c>
      <c r="AK175" s="3">
        <v>6</v>
      </c>
      <c r="AL175" s="3">
        <v>2</v>
      </c>
      <c r="AM175" s="3">
        <v>9</v>
      </c>
      <c r="AN175" s="3">
        <v>0</v>
      </c>
      <c r="AO175" s="3">
        <v>12</v>
      </c>
      <c r="AP175" s="3">
        <v>0</v>
      </c>
      <c r="AQ175" s="3">
        <v>1</v>
      </c>
      <c r="AR175" s="2" t="s">
        <v>63</v>
      </c>
      <c r="AS175" s="2" t="s">
        <v>63</v>
      </c>
      <c r="AU175" s="5" t="str">
        <f>HYPERLINK("https://creighton-primo.hosted.exlibrisgroup.com/primo-explore/search?tab=default_tab&amp;search_scope=EVERYTHING&amp;vid=01CRU&amp;lang=en_US&amp;offset=0&amp;query=any,contains,991001557969702656","Catalog Record")</f>
        <v>Catalog Record</v>
      </c>
      <c r="AV175" s="5" t="str">
        <f>HYPERLINK("http://www.worldcat.org/oclc/34121051","WorldCat Record")</f>
        <v>WorldCat Record</v>
      </c>
      <c r="AW175" s="2" t="s">
        <v>2083</v>
      </c>
      <c r="AX175" s="2" t="s">
        <v>2084</v>
      </c>
      <c r="AY175" s="2" t="s">
        <v>2085</v>
      </c>
      <c r="AZ175" s="2" t="s">
        <v>2085</v>
      </c>
      <c r="BA175" s="2" t="s">
        <v>2086</v>
      </c>
      <c r="BB175" s="2" t="s">
        <v>81</v>
      </c>
      <c r="BD175" s="2" t="s">
        <v>2087</v>
      </c>
      <c r="BE175" s="2" t="s">
        <v>2088</v>
      </c>
      <c r="BF175" s="2" t="s">
        <v>2089</v>
      </c>
    </row>
    <row r="176" spans="1:58" ht="42" customHeight="1">
      <c r="A176" s="1"/>
      <c r="B176" s="1" t="s">
        <v>58</v>
      </c>
      <c r="C176" s="1" t="s">
        <v>59</v>
      </c>
      <c r="D176" s="1" t="s">
        <v>2090</v>
      </c>
      <c r="E176" s="1" t="s">
        <v>2091</v>
      </c>
      <c r="F176" s="1" t="s">
        <v>2092</v>
      </c>
      <c r="H176" s="2" t="s">
        <v>63</v>
      </c>
      <c r="I176" s="2" t="s">
        <v>64</v>
      </c>
      <c r="J176" s="2" t="s">
        <v>63</v>
      </c>
      <c r="K176" s="2" t="s">
        <v>63</v>
      </c>
      <c r="L176" s="2" t="s">
        <v>64</v>
      </c>
      <c r="N176" s="1" t="s">
        <v>2093</v>
      </c>
      <c r="O176" s="2" t="s">
        <v>391</v>
      </c>
      <c r="Q176" s="2" t="s">
        <v>70</v>
      </c>
      <c r="R176" s="2" t="s">
        <v>422</v>
      </c>
      <c r="S176" s="1" t="s">
        <v>2094</v>
      </c>
      <c r="T176" s="2" t="s">
        <v>73</v>
      </c>
      <c r="U176" s="3">
        <v>2</v>
      </c>
      <c r="V176" s="3">
        <v>2</v>
      </c>
      <c r="W176" s="4" t="s">
        <v>2095</v>
      </c>
      <c r="X176" s="4" t="s">
        <v>2095</v>
      </c>
      <c r="Y176" s="4" t="s">
        <v>2096</v>
      </c>
      <c r="Z176" s="4" t="s">
        <v>2096</v>
      </c>
      <c r="AA176" s="3">
        <v>71</v>
      </c>
      <c r="AB176" s="3">
        <v>55</v>
      </c>
      <c r="AC176" s="3">
        <v>302</v>
      </c>
      <c r="AD176" s="3">
        <v>1</v>
      </c>
      <c r="AE176" s="3">
        <v>2</v>
      </c>
      <c r="AF176" s="3">
        <v>0</v>
      </c>
      <c r="AG176" s="3">
        <v>5</v>
      </c>
      <c r="AH176" s="3">
        <v>0</v>
      </c>
      <c r="AI176" s="3">
        <v>3</v>
      </c>
      <c r="AJ176" s="3">
        <v>0</v>
      </c>
      <c r="AK176" s="3">
        <v>1</v>
      </c>
      <c r="AL176" s="3">
        <v>0</v>
      </c>
      <c r="AM176" s="3">
        <v>4</v>
      </c>
      <c r="AN176" s="3">
        <v>0</v>
      </c>
      <c r="AO176" s="3">
        <v>0</v>
      </c>
      <c r="AP176" s="3">
        <v>0</v>
      </c>
      <c r="AQ176" s="3">
        <v>0</v>
      </c>
      <c r="AR176" s="2" t="s">
        <v>63</v>
      </c>
      <c r="AS176" s="2" t="s">
        <v>76</v>
      </c>
      <c r="AT176" s="5" t="str">
        <f>HYPERLINK("http://catalog.hathitrust.org/Record/005636800","HathiTrust Record")</f>
        <v>HathiTrust Record</v>
      </c>
      <c r="AU176" s="5" t="str">
        <f>HYPERLINK("https://creighton-primo.hosted.exlibrisgroup.com/primo-explore/search?tab=default_tab&amp;search_scope=EVERYTHING&amp;vid=01CRU&amp;lang=en_US&amp;offset=0&amp;query=any,contains,991000631499702656","Catalog Record")</f>
        <v>Catalog Record</v>
      </c>
      <c r="AV176" s="5" t="str">
        <f>HYPERLINK("http://www.worldcat.org/oclc/76935743","WorldCat Record")</f>
        <v>WorldCat Record</v>
      </c>
      <c r="AW176" s="2" t="s">
        <v>2097</v>
      </c>
      <c r="AX176" s="2" t="s">
        <v>2098</v>
      </c>
      <c r="AY176" s="2" t="s">
        <v>2099</v>
      </c>
      <c r="AZ176" s="2" t="s">
        <v>2099</v>
      </c>
      <c r="BA176" s="2" t="s">
        <v>2100</v>
      </c>
      <c r="BB176" s="2" t="s">
        <v>81</v>
      </c>
      <c r="BD176" s="2" t="s">
        <v>2101</v>
      </c>
      <c r="BE176" s="2" t="s">
        <v>2102</v>
      </c>
      <c r="BF176" s="2" t="s">
        <v>2103</v>
      </c>
    </row>
    <row r="177" spans="1:58" ht="42" customHeight="1">
      <c r="A177" s="1"/>
      <c r="B177" s="1" t="s">
        <v>58</v>
      </c>
      <c r="C177" s="1" t="s">
        <v>59</v>
      </c>
      <c r="D177" s="1" t="s">
        <v>2104</v>
      </c>
      <c r="E177" s="1" t="s">
        <v>2105</v>
      </c>
      <c r="F177" s="1" t="s">
        <v>2106</v>
      </c>
      <c r="G177" s="2" t="s">
        <v>384</v>
      </c>
      <c r="H177" s="2" t="s">
        <v>63</v>
      </c>
      <c r="I177" s="2" t="s">
        <v>64</v>
      </c>
      <c r="J177" s="2" t="s">
        <v>63</v>
      </c>
      <c r="K177" s="2" t="s">
        <v>63</v>
      </c>
      <c r="L177" s="2" t="s">
        <v>65</v>
      </c>
      <c r="N177" s="1" t="s">
        <v>2107</v>
      </c>
      <c r="O177" s="2" t="s">
        <v>757</v>
      </c>
      <c r="Q177" s="2" t="s">
        <v>70</v>
      </c>
      <c r="R177" s="2" t="s">
        <v>107</v>
      </c>
      <c r="S177" s="1" t="s">
        <v>2108</v>
      </c>
      <c r="T177" s="2" t="s">
        <v>73</v>
      </c>
      <c r="U177" s="3">
        <v>4</v>
      </c>
      <c r="V177" s="3">
        <v>4</v>
      </c>
      <c r="W177" s="4" t="s">
        <v>2109</v>
      </c>
      <c r="X177" s="4" t="s">
        <v>2109</v>
      </c>
      <c r="Y177" s="4" t="s">
        <v>2110</v>
      </c>
      <c r="Z177" s="4" t="s">
        <v>2110</v>
      </c>
      <c r="AA177" s="3">
        <v>121</v>
      </c>
      <c r="AB177" s="3">
        <v>97</v>
      </c>
      <c r="AC177" s="3">
        <v>97</v>
      </c>
      <c r="AD177" s="3">
        <v>1</v>
      </c>
      <c r="AE177" s="3">
        <v>1</v>
      </c>
      <c r="AF177" s="3">
        <v>4</v>
      </c>
      <c r="AG177" s="3">
        <v>4</v>
      </c>
      <c r="AH177" s="3">
        <v>1</v>
      </c>
      <c r="AI177" s="3">
        <v>1</v>
      </c>
      <c r="AJ177" s="3">
        <v>2</v>
      </c>
      <c r="AK177" s="3">
        <v>2</v>
      </c>
      <c r="AL177" s="3">
        <v>2</v>
      </c>
      <c r="AM177" s="3">
        <v>2</v>
      </c>
      <c r="AN177" s="3">
        <v>0</v>
      </c>
      <c r="AO177" s="3">
        <v>0</v>
      </c>
      <c r="AP177" s="3">
        <v>0</v>
      </c>
      <c r="AQ177" s="3">
        <v>0</v>
      </c>
      <c r="AR177" s="2" t="s">
        <v>63</v>
      </c>
      <c r="AS177" s="2" t="s">
        <v>63</v>
      </c>
      <c r="AU177" s="5" t="str">
        <f>HYPERLINK("https://creighton-primo.hosted.exlibrisgroup.com/primo-explore/search?tab=default_tab&amp;search_scope=EVERYTHING&amp;vid=01CRU&amp;lang=en_US&amp;offset=0&amp;query=any,contains,991001108309702656","Catalog Record")</f>
        <v>Catalog Record</v>
      </c>
      <c r="AV177" s="5" t="str">
        <f>HYPERLINK("http://www.worldcat.org/oclc/8553102","WorldCat Record")</f>
        <v>WorldCat Record</v>
      </c>
      <c r="AW177" s="2" t="s">
        <v>2111</v>
      </c>
      <c r="AX177" s="2" t="s">
        <v>2112</v>
      </c>
      <c r="AY177" s="2" t="s">
        <v>2113</v>
      </c>
      <c r="AZ177" s="2" t="s">
        <v>2113</v>
      </c>
      <c r="BA177" s="2" t="s">
        <v>2114</v>
      </c>
      <c r="BB177" s="2" t="s">
        <v>81</v>
      </c>
      <c r="BD177" s="2" t="s">
        <v>2115</v>
      </c>
      <c r="BE177" s="2" t="s">
        <v>2116</v>
      </c>
      <c r="BF177" s="2" t="s">
        <v>2117</v>
      </c>
    </row>
    <row r="178" spans="1:58" ht="42" customHeight="1">
      <c r="A178" s="1"/>
      <c r="B178" s="1" t="s">
        <v>58</v>
      </c>
      <c r="C178" s="1" t="s">
        <v>59</v>
      </c>
      <c r="D178" s="1" t="s">
        <v>2118</v>
      </c>
      <c r="E178" s="1" t="s">
        <v>2119</v>
      </c>
      <c r="F178" s="1" t="s">
        <v>2120</v>
      </c>
      <c r="H178" s="2" t="s">
        <v>63</v>
      </c>
      <c r="I178" s="2" t="s">
        <v>64</v>
      </c>
      <c r="J178" s="2" t="s">
        <v>63</v>
      </c>
      <c r="K178" s="2" t="s">
        <v>63</v>
      </c>
      <c r="L178" s="2" t="s">
        <v>65</v>
      </c>
      <c r="N178" s="1" t="s">
        <v>2121</v>
      </c>
      <c r="O178" s="2" t="s">
        <v>863</v>
      </c>
      <c r="Q178" s="2" t="s">
        <v>70</v>
      </c>
      <c r="R178" s="2" t="s">
        <v>107</v>
      </c>
      <c r="T178" s="2" t="s">
        <v>73</v>
      </c>
      <c r="U178" s="3">
        <v>7</v>
      </c>
      <c r="V178" s="3">
        <v>7</v>
      </c>
      <c r="W178" s="4" t="s">
        <v>2122</v>
      </c>
      <c r="X178" s="4" t="s">
        <v>2122</v>
      </c>
      <c r="Y178" s="4" t="s">
        <v>2123</v>
      </c>
      <c r="Z178" s="4" t="s">
        <v>2123</v>
      </c>
      <c r="AA178" s="3">
        <v>191</v>
      </c>
      <c r="AB178" s="3">
        <v>145</v>
      </c>
      <c r="AC178" s="3">
        <v>147</v>
      </c>
      <c r="AD178" s="3">
        <v>1</v>
      </c>
      <c r="AE178" s="3">
        <v>1</v>
      </c>
      <c r="AF178" s="3">
        <v>2</v>
      </c>
      <c r="AG178" s="3">
        <v>2</v>
      </c>
      <c r="AH178" s="3">
        <v>0</v>
      </c>
      <c r="AI178" s="3">
        <v>0</v>
      </c>
      <c r="AJ178" s="3">
        <v>1</v>
      </c>
      <c r="AK178" s="3">
        <v>1</v>
      </c>
      <c r="AL178" s="3">
        <v>1</v>
      </c>
      <c r="AM178" s="3">
        <v>1</v>
      </c>
      <c r="AN178" s="3">
        <v>0</v>
      </c>
      <c r="AO178" s="3">
        <v>0</v>
      </c>
      <c r="AP178" s="3">
        <v>0</v>
      </c>
      <c r="AQ178" s="3">
        <v>0</v>
      </c>
      <c r="AR178" s="2" t="s">
        <v>63</v>
      </c>
      <c r="AS178" s="2" t="s">
        <v>76</v>
      </c>
      <c r="AT178" s="5" t="str">
        <f>HYPERLINK("http://catalog.hathitrust.org/Record/001093833","HathiTrust Record")</f>
        <v>HathiTrust Record</v>
      </c>
      <c r="AU178" s="5" t="str">
        <f>HYPERLINK("https://creighton-primo.hosted.exlibrisgroup.com/primo-explore/search?tab=default_tab&amp;search_scope=EVERYTHING&amp;vid=01CRU&amp;lang=en_US&amp;offset=0&amp;query=any,contains,991001243679702656","Catalog Record")</f>
        <v>Catalog Record</v>
      </c>
      <c r="AV178" s="5" t="str">
        <f>HYPERLINK("http://www.worldcat.org/oclc/17841482","WorldCat Record")</f>
        <v>WorldCat Record</v>
      </c>
      <c r="AW178" s="2" t="s">
        <v>2124</v>
      </c>
      <c r="AX178" s="2" t="s">
        <v>2125</v>
      </c>
      <c r="AY178" s="2" t="s">
        <v>2126</v>
      </c>
      <c r="AZ178" s="2" t="s">
        <v>2126</v>
      </c>
      <c r="BA178" s="2" t="s">
        <v>2127</v>
      </c>
      <c r="BB178" s="2" t="s">
        <v>81</v>
      </c>
      <c r="BD178" s="2" t="s">
        <v>2128</v>
      </c>
      <c r="BE178" s="2" t="s">
        <v>2129</v>
      </c>
      <c r="BF178" s="2" t="s">
        <v>2130</v>
      </c>
    </row>
    <row r="179" spans="1:58" ht="42" customHeight="1">
      <c r="A179" s="1"/>
      <c r="B179" s="1" t="s">
        <v>58</v>
      </c>
      <c r="C179" s="1" t="s">
        <v>59</v>
      </c>
      <c r="D179" s="1" t="s">
        <v>2131</v>
      </c>
      <c r="E179" s="1" t="s">
        <v>2132</v>
      </c>
      <c r="F179" s="1" t="s">
        <v>2133</v>
      </c>
      <c r="H179" s="2" t="s">
        <v>63</v>
      </c>
      <c r="I179" s="2" t="s">
        <v>64</v>
      </c>
      <c r="J179" s="2" t="s">
        <v>63</v>
      </c>
      <c r="K179" s="2" t="s">
        <v>63</v>
      </c>
      <c r="L179" s="2" t="s">
        <v>65</v>
      </c>
      <c r="N179" s="1" t="s">
        <v>2134</v>
      </c>
      <c r="O179" s="2" t="s">
        <v>121</v>
      </c>
      <c r="Q179" s="2" t="s">
        <v>70</v>
      </c>
      <c r="R179" s="2" t="s">
        <v>153</v>
      </c>
      <c r="T179" s="2" t="s">
        <v>73</v>
      </c>
      <c r="U179" s="3">
        <v>2</v>
      </c>
      <c r="V179" s="3">
        <v>2</v>
      </c>
      <c r="W179" s="4" t="s">
        <v>2135</v>
      </c>
      <c r="X179" s="4" t="s">
        <v>2135</v>
      </c>
      <c r="Y179" s="4" t="s">
        <v>2110</v>
      </c>
      <c r="Z179" s="4" t="s">
        <v>2110</v>
      </c>
      <c r="AA179" s="3">
        <v>233</v>
      </c>
      <c r="AB179" s="3">
        <v>162</v>
      </c>
      <c r="AC179" s="3">
        <v>204</v>
      </c>
      <c r="AD179" s="3">
        <v>1</v>
      </c>
      <c r="AE179" s="3">
        <v>2</v>
      </c>
      <c r="AF179" s="3">
        <v>5</v>
      </c>
      <c r="AG179" s="3">
        <v>9</v>
      </c>
      <c r="AH179" s="3">
        <v>1</v>
      </c>
      <c r="AI179" s="3">
        <v>3</v>
      </c>
      <c r="AJ179" s="3">
        <v>3</v>
      </c>
      <c r="AK179" s="3">
        <v>5</v>
      </c>
      <c r="AL179" s="3">
        <v>3</v>
      </c>
      <c r="AM179" s="3">
        <v>3</v>
      </c>
      <c r="AN179" s="3">
        <v>0</v>
      </c>
      <c r="AO179" s="3">
        <v>1</v>
      </c>
      <c r="AP179" s="3">
        <v>0</v>
      </c>
      <c r="AQ179" s="3">
        <v>0</v>
      </c>
      <c r="AR179" s="2" t="s">
        <v>63</v>
      </c>
      <c r="AS179" s="2" t="s">
        <v>76</v>
      </c>
      <c r="AT179" s="5" t="str">
        <f>HYPERLINK("http://catalog.hathitrust.org/Record/000036777","HathiTrust Record")</f>
        <v>HathiTrust Record</v>
      </c>
      <c r="AU179" s="5" t="str">
        <f>HYPERLINK("https://creighton-primo.hosted.exlibrisgroup.com/primo-explore/search?tab=default_tab&amp;search_scope=EVERYTHING&amp;vid=01CRU&amp;lang=en_US&amp;offset=0&amp;query=any,contains,991001108389702656","Catalog Record")</f>
        <v>Catalog Record</v>
      </c>
      <c r="AV179" s="5" t="str">
        <f>HYPERLINK("http://www.worldcat.org/oclc/5889322","WorldCat Record")</f>
        <v>WorldCat Record</v>
      </c>
      <c r="AW179" s="2" t="s">
        <v>2136</v>
      </c>
      <c r="AX179" s="2" t="s">
        <v>2137</v>
      </c>
      <c r="AY179" s="2" t="s">
        <v>2138</v>
      </c>
      <c r="AZ179" s="2" t="s">
        <v>2138</v>
      </c>
      <c r="BA179" s="2" t="s">
        <v>2139</v>
      </c>
      <c r="BB179" s="2" t="s">
        <v>81</v>
      </c>
      <c r="BD179" s="2" t="s">
        <v>2140</v>
      </c>
      <c r="BE179" s="2" t="s">
        <v>2141</v>
      </c>
      <c r="BF179" s="2" t="s">
        <v>2142</v>
      </c>
    </row>
    <row r="180" spans="1:58" ht="42" customHeight="1">
      <c r="A180" s="1"/>
      <c r="B180" s="1" t="s">
        <v>58</v>
      </c>
      <c r="C180" s="1" t="s">
        <v>59</v>
      </c>
      <c r="D180" s="1" t="s">
        <v>2143</v>
      </c>
      <c r="E180" s="1" t="s">
        <v>2144</v>
      </c>
      <c r="F180" s="1" t="s">
        <v>2145</v>
      </c>
      <c r="H180" s="2" t="s">
        <v>63</v>
      </c>
      <c r="I180" s="2" t="s">
        <v>64</v>
      </c>
      <c r="J180" s="2" t="s">
        <v>63</v>
      </c>
      <c r="K180" s="2" t="s">
        <v>63</v>
      </c>
      <c r="L180" s="2" t="s">
        <v>65</v>
      </c>
      <c r="M180" s="1" t="s">
        <v>2146</v>
      </c>
      <c r="N180" s="1" t="s">
        <v>2147</v>
      </c>
      <c r="O180" s="2" t="s">
        <v>728</v>
      </c>
      <c r="Q180" s="2" t="s">
        <v>70</v>
      </c>
      <c r="R180" s="2" t="s">
        <v>422</v>
      </c>
      <c r="T180" s="2" t="s">
        <v>73</v>
      </c>
      <c r="U180" s="3">
        <v>2</v>
      </c>
      <c r="V180" s="3">
        <v>2</v>
      </c>
      <c r="W180" s="4" t="s">
        <v>2135</v>
      </c>
      <c r="X180" s="4" t="s">
        <v>2135</v>
      </c>
      <c r="Y180" s="4" t="s">
        <v>2110</v>
      </c>
      <c r="Z180" s="4" t="s">
        <v>2110</v>
      </c>
      <c r="AA180" s="3">
        <v>137</v>
      </c>
      <c r="AB180" s="3">
        <v>97</v>
      </c>
      <c r="AC180" s="3">
        <v>98</v>
      </c>
      <c r="AD180" s="3">
        <v>2</v>
      </c>
      <c r="AE180" s="3">
        <v>2</v>
      </c>
      <c r="AF180" s="3">
        <v>2</v>
      </c>
      <c r="AG180" s="3">
        <v>2</v>
      </c>
      <c r="AH180" s="3">
        <v>1</v>
      </c>
      <c r="AI180" s="3">
        <v>1</v>
      </c>
      <c r="AJ180" s="3">
        <v>0</v>
      </c>
      <c r="AK180" s="3">
        <v>0</v>
      </c>
      <c r="AL180" s="3">
        <v>1</v>
      </c>
      <c r="AM180" s="3">
        <v>1</v>
      </c>
      <c r="AN180" s="3">
        <v>1</v>
      </c>
      <c r="AO180" s="3">
        <v>1</v>
      </c>
      <c r="AP180" s="3">
        <v>0</v>
      </c>
      <c r="AQ180" s="3">
        <v>0</v>
      </c>
      <c r="AR180" s="2" t="s">
        <v>63</v>
      </c>
      <c r="AS180" s="2" t="s">
        <v>76</v>
      </c>
      <c r="AT180" s="5" t="str">
        <f>HYPERLINK("http://catalog.hathitrust.org/Record/000258275","HathiTrust Record")</f>
        <v>HathiTrust Record</v>
      </c>
      <c r="AU180" s="5" t="str">
        <f>HYPERLINK("https://creighton-primo.hosted.exlibrisgroup.com/primo-explore/search?tab=default_tab&amp;search_scope=EVERYTHING&amp;vid=01CRU&amp;lang=en_US&amp;offset=0&amp;query=any,contains,991001108569702656","Catalog Record")</f>
        <v>Catalog Record</v>
      </c>
      <c r="AV180" s="5" t="str">
        <f>HYPERLINK("http://www.worldcat.org/oclc/4549570","WorldCat Record")</f>
        <v>WorldCat Record</v>
      </c>
      <c r="AW180" s="2" t="s">
        <v>2148</v>
      </c>
      <c r="AX180" s="2" t="s">
        <v>2149</v>
      </c>
      <c r="AY180" s="2" t="s">
        <v>2150</v>
      </c>
      <c r="AZ180" s="2" t="s">
        <v>2150</v>
      </c>
      <c r="BA180" s="2" t="s">
        <v>2151</v>
      </c>
      <c r="BB180" s="2" t="s">
        <v>81</v>
      </c>
      <c r="BD180" s="2" t="s">
        <v>2152</v>
      </c>
      <c r="BE180" s="2" t="s">
        <v>2153</v>
      </c>
      <c r="BF180" s="2" t="s">
        <v>2154</v>
      </c>
    </row>
    <row r="181" spans="1:58" ht="42" customHeight="1">
      <c r="A181" s="1"/>
      <c r="B181" s="1" t="s">
        <v>58</v>
      </c>
      <c r="C181" s="1" t="s">
        <v>59</v>
      </c>
      <c r="D181" s="1" t="s">
        <v>2155</v>
      </c>
      <c r="E181" s="1" t="s">
        <v>2156</v>
      </c>
      <c r="F181" s="1" t="s">
        <v>2157</v>
      </c>
      <c r="G181" s="2" t="s">
        <v>384</v>
      </c>
      <c r="H181" s="2" t="s">
        <v>63</v>
      </c>
      <c r="I181" s="2" t="s">
        <v>64</v>
      </c>
      <c r="J181" s="2" t="s">
        <v>63</v>
      </c>
      <c r="K181" s="2" t="s">
        <v>63</v>
      </c>
      <c r="L181" s="2" t="s">
        <v>65</v>
      </c>
      <c r="N181" s="1" t="s">
        <v>2158</v>
      </c>
      <c r="O181" s="2" t="s">
        <v>215</v>
      </c>
      <c r="P181" s="1" t="s">
        <v>2159</v>
      </c>
      <c r="Q181" s="2" t="s">
        <v>70</v>
      </c>
      <c r="R181" s="2" t="s">
        <v>422</v>
      </c>
      <c r="S181" s="1" t="s">
        <v>2160</v>
      </c>
      <c r="T181" s="2" t="s">
        <v>73</v>
      </c>
      <c r="U181" s="3">
        <v>5</v>
      </c>
      <c r="V181" s="3">
        <v>5</v>
      </c>
      <c r="W181" s="4" t="s">
        <v>2135</v>
      </c>
      <c r="X181" s="4" t="s">
        <v>2135</v>
      </c>
      <c r="Y181" s="4" t="s">
        <v>2110</v>
      </c>
      <c r="Z181" s="4" t="s">
        <v>2110</v>
      </c>
      <c r="AA181" s="3">
        <v>199</v>
      </c>
      <c r="AB181" s="3">
        <v>164</v>
      </c>
      <c r="AC181" s="3">
        <v>168</v>
      </c>
      <c r="AD181" s="3">
        <v>1</v>
      </c>
      <c r="AE181" s="3">
        <v>1</v>
      </c>
      <c r="AF181" s="3">
        <v>7</v>
      </c>
      <c r="AG181" s="3">
        <v>7</v>
      </c>
      <c r="AH181" s="3">
        <v>1</v>
      </c>
      <c r="AI181" s="3">
        <v>1</v>
      </c>
      <c r="AJ181" s="3">
        <v>2</v>
      </c>
      <c r="AK181" s="3">
        <v>2</v>
      </c>
      <c r="AL181" s="3">
        <v>7</v>
      </c>
      <c r="AM181" s="3">
        <v>7</v>
      </c>
      <c r="AN181" s="3">
        <v>0</v>
      </c>
      <c r="AO181" s="3">
        <v>0</v>
      </c>
      <c r="AP181" s="3">
        <v>0</v>
      </c>
      <c r="AQ181" s="3">
        <v>0</v>
      </c>
      <c r="AR181" s="2" t="s">
        <v>63</v>
      </c>
      <c r="AS181" s="2" t="s">
        <v>76</v>
      </c>
      <c r="AT181" s="5" t="str">
        <f>HYPERLINK("http://catalog.hathitrust.org/Record/000573150","HathiTrust Record")</f>
        <v>HathiTrust Record</v>
      </c>
      <c r="AU181" s="5" t="str">
        <f>HYPERLINK("https://creighton-primo.hosted.exlibrisgroup.com/primo-explore/search?tab=default_tab&amp;search_scope=EVERYTHING&amp;vid=01CRU&amp;lang=en_US&amp;offset=0&amp;query=any,contains,991001108609702656","Catalog Record")</f>
        <v>Catalog Record</v>
      </c>
      <c r="AV181" s="5" t="str">
        <f>HYPERLINK("http://www.worldcat.org/oclc/10277501","WorldCat Record")</f>
        <v>WorldCat Record</v>
      </c>
      <c r="AW181" s="2" t="s">
        <v>2161</v>
      </c>
      <c r="AX181" s="2" t="s">
        <v>2162</v>
      </c>
      <c r="AY181" s="2" t="s">
        <v>2163</v>
      </c>
      <c r="AZ181" s="2" t="s">
        <v>2163</v>
      </c>
      <c r="BA181" s="2" t="s">
        <v>2164</v>
      </c>
      <c r="BB181" s="2" t="s">
        <v>81</v>
      </c>
      <c r="BD181" s="2" t="s">
        <v>2165</v>
      </c>
      <c r="BE181" s="2" t="s">
        <v>2166</v>
      </c>
      <c r="BF181" s="2" t="s">
        <v>2167</v>
      </c>
    </row>
    <row r="182" spans="1:58" ht="42" customHeight="1">
      <c r="A182" s="1"/>
      <c r="B182" s="1" t="s">
        <v>58</v>
      </c>
      <c r="C182" s="1" t="s">
        <v>59</v>
      </c>
      <c r="D182" s="1" t="s">
        <v>2168</v>
      </c>
      <c r="E182" s="1" t="s">
        <v>2169</v>
      </c>
      <c r="F182" s="1" t="s">
        <v>2170</v>
      </c>
      <c r="H182" s="2" t="s">
        <v>63</v>
      </c>
      <c r="I182" s="2" t="s">
        <v>64</v>
      </c>
      <c r="J182" s="2" t="s">
        <v>63</v>
      </c>
      <c r="K182" s="2" t="s">
        <v>63</v>
      </c>
      <c r="L182" s="2" t="s">
        <v>65</v>
      </c>
      <c r="N182" s="1" t="s">
        <v>2171</v>
      </c>
      <c r="O182" s="2" t="s">
        <v>121</v>
      </c>
      <c r="Q182" s="2" t="s">
        <v>70</v>
      </c>
      <c r="R182" s="2" t="s">
        <v>422</v>
      </c>
      <c r="T182" s="2" t="s">
        <v>73</v>
      </c>
      <c r="U182" s="3">
        <v>2</v>
      </c>
      <c r="V182" s="3">
        <v>2</v>
      </c>
      <c r="W182" s="4" t="s">
        <v>2172</v>
      </c>
      <c r="X182" s="4" t="s">
        <v>2172</v>
      </c>
      <c r="Y182" s="4" t="s">
        <v>2110</v>
      </c>
      <c r="Z182" s="4" t="s">
        <v>2110</v>
      </c>
      <c r="AA182" s="3">
        <v>227</v>
      </c>
      <c r="AB182" s="3">
        <v>151</v>
      </c>
      <c r="AC182" s="3">
        <v>158</v>
      </c>
      <c r="AD182" s="3">
        <v>1</v>
      </c>
      <c r="AE182" s="3">
        <v>1</v>
      </c>
      <c r="AF182" s="3">
        <v>4</v>
      </c>
      <c r="AG182" s="3">
        <v>4</v>
      </c>
      <c r="AH182" s="3">
        <v>0</v>
      </c>
      <c r="AI182" s="3">
        <v>0</v>
      </c>
      <c r="AJ182" s="3">
        <v>2</v>
      </c>
      <c r="AK182" s="3">
        <v>2</v>
      </c>
      <c r="AL182" s="3">
        <v>4</v>
      </c>
      <c r="AM182" s="3">
        <v>4</v>
      </c>
      <c r="AN182" s="3">
        <v>0</v>
      </c>
      <c r="AO182" s="3">
        <v>0</v>
      </c>
      <c r="AP182" s="3">
        <v>0</v>
      </c>
      <c r="AQ182" s="3">
        <v>0</v>
      </c>
      <c r="AR182" s="2" t="s">
        <v>63</v>
      </c>
      <c r="AS182" s="2" t="s">
        <v>76</v>
      </c>
      <c r="AT182" s="5" t="str">
        <f>HYPERLINK("http://catalog.hathitrust.org/Record/000711976","HathiTrust Record")</f>
        <v>HathiTrust Record</v>
      </c>
      <c r="AU182" s="5" t="str">
        <f>HYPERLINK("https://creighton-primo.hosted.exlibrisgroup.com/primo-explore/search?tab=default_tab&amp;search_scope=EVERYTHING&amp;vid=01CRU&amp;lang=en_US&amp;offset=0&amp;query=any,contains,991001108659702656","Catalog Record")</f>
        <v>Catalog Record</v>
      </c>
      <c r="AV182" s="5" t="str">
        <f>HYPERLINK("http://www.worldcat.org/oclc/5750323","WorldCat Record")</f>
        <v>WorldCat Record</v>
      </c>
      <c r="AW182" s="2" t="s">
        <v>2173</v>
      </c>
      <c r="AX182" s="2" t="s">
        <v>2174</v>
      </c>
      <c r="AY182" s="2" t="s">
        <v>2175</v>
      </c>
      <c r="AZ182" s="2" t="s">
        <v>2175</v>
      </c>
      <c r="BA182" s="2" t="s">
        <v>2176</v>
      </c>
      <c r="BB182" s="2" t="s">
        <v>81</v>
      </c>
      <c r="BD182" s="2" t="s">
        <v>2177</v>
      </c>
      <c r="BE182" s="2" t="s">
        <v>2178</v>
      </c>
      <c r="BF182" s="2" t="s">
        <v>2179</v>
      </c>
    </row>
    <row r="183" spans="1:58" ht="42" customHeight="1">
      <c r="A183" s="1"/>
      <c r="B183" s="1" t="s">
        <v>58</v>
      </c>
      <c r="C183" s="1" t="s">
        <v>59</v>
      </c>
      <c r="D183" s="1" t="s">
        <v>2180</v>
      </c>
      <c r="E183" s="1" t="s">
        <v>2181</v>
      </c>
      <c r="F183" s="1" t="s">
        <v>2182</v>
      </c>
      <c r="H183" s="2" t="s">
        <v>63</v>
      </c>
      <c r="I183" s="2" t="s">
        <v>64</v>
      </c>
      <c r="J183" s="2" t="s">
        <v>63</v>
      </c>
      <c r="K183" s="2" t="s">
        <v>63</v>
      </c>
      <c r="L183" s="2" t="s">
        <v>65</v>
      </c>
      <c r="N183" s="1" t="s">
        <v>2183</v>
      </c>
      <c r="O183" s="2" t="s">
        <v>908</v>
      </c>
      <c r="Q183" s="2" t="s">
        <v>70</v>
      </c>
      <c r="R183" s="2" t="s">
        <v>422</v>
      </c>
      <c r="S183" s="1" t="s">
        <v>2184</v>
      </c>
      <c r="T183" s="2" t="s">
        <v>73</v>
      </c>
      <c r="U183" s="3">
        <v>5</v>
      </c>
      <c r="V183" s="3">
        <v>5</v>
      </c>
      <c r="W183" s="4" t="s">
        <v>2185</v>
      </c>
      <c r="X183" s="4" t="s">
        <v>2185</v>
      </c>
      <c r="Y183" s="4" t="s">
        <v>2186</v>
      </c>
      <c r="Z183" s="4" t="s">
        <v>2186</v>
      </c>
      <c r="AA183" s="3">
        <v>158</v>
      </c>
      <c r="AB183" s="3">
        <v>124</v>
      </c>
      <c r="AC183" s="3">
        <v>143</v>
      </c>
      <c r="AD183" s="3">
        <v>1</v>
      </c>
      <c r="AE183" s="3">
        <v>1</v>
      </c>
      <c r="AF183" s="3">
        <v>4</v>
      </c>
      <c r="AG183" s="3">
        <v>5</v>
      </c>
      <c r="AH183" s="3">
        <v>0</v>
      </c>
      <c r="AI183" s="3">
        <v>1</v>
      </c>
      <c r="AJ183" s="3">
        <v>3</v>
      </c>
      <c r="AK183" s="3">
        <v>3</v>
      </c>
      <c r="AL183" s="3">
        <v>2</v>
      </c>
      <c r="AM183" s="3">
        <v>3</v>
      </c>
      <c r="AN183" s="3">
        <v>0</v>
      </c>
      <c r="AO183" s="3">
        <v>0</v>
      </c>
      <c r="AP183" s="3">
        <v>0</v>
      </c>
      <c r="AQ183" s="3">
        <v>0</v>
      </c>
      <c r="AR183" s="2" t="s">
        <v>63</v>
      </c>
      <c r="AS183" s="2" t="s">
        <v>76</v>
      </c>
      <c r="AT183" s="5" t="str">
        <f>HYPERLINK("http://catalog.hathitrust.org/Record/002704768","HathiTrust Record")</f>
        <v>HathiTrust Record</v>
      </c>
      <c r="AU183" s="5" t="str">
        <f>HYPERLINK("https://creighton-primo.hosted.exlibrisgroup.com/primo-explore/search?tab=default_tab&amp;search_scope=EVERYTHING&amp;vid=01CRU&amp;lang=en_US&amp;offset=0&amp;query=any,contains,991000668649702656","Catalog Record")</f>
        <v>Catalog Record</v>
      </c>
      <c r="AV183" s="5" t="str">
        <f>HYPERLINK("http://www.worldcat.org/oclc/27151508","WorldCat Record")</f>
        <v>WorldCat Record</v>
      </c>
      <c r="AW183" s="2" t="s">
        <v>2187</v>
      </c>
      <c r="AX183" s="2" t="s">
        <v>2188</v>
      </c>
      <c r="AY183" s="2" t="s">
        <v>2189</v>
      </c>
      <c r="AZ183" s="2" t="s">
        <v>2189</v>
      </c>
      <c r="BA183" s="2" t="s">
        <v>2190</v>
      </c>
      <c r="BB183" s="2" t="s">
        <v>81</v>
      </c>
      <c r="BD183" s="2" t="s">
        <v>2191</v>
      </c>
      <c r="BE183" s="2" t="s">
        <v>2192</v>
      </c>
      <c r="BF183" s="2" t="s">
        <v>2193</v>
      </c>
    </row>
    <row r="184" spans="1:58" ht="42" customHeight="1">
      <c r="A184" s="1"/>
      <c r="B184" s="1" t="s">
        <v>58</v>
      </c>
      <c r="C184" s="1" t="s">
        <v>59</v>
      </c>
      <c r="D184" s="1" t="s">
        <v>2194</v>
      </c>
      <c r="E184" s="1" t="s">
        <v>2195</v>
      </c>
      <c r="F184" s="1" t="s">
        <v>2196</v>
      </c>
      <c r="H184" s="2" t="s">
        <v>63</v>
      </c>
      <c r="I184" s="2" t="s">
        <v>64</v>
      </c>
      <c r="J184" s="2" t="s">
        <v>63</v>
      </c>
      <c r="K184" s="2" t="s">
        <v>63</v>
      </c>
      <c r="L184" s="2" t="s">
        <v>65</v>
      </c>
      <c r="N184" s="1" t="s">
        <v>2197</v>
      </c>
      <c r="O184" s="2" t="s">
        <v>186</v>
      </c>
      <c r="Q184" s="2" t="s">
        <v>70</v>
      </c>
      <c r="R184" s="2" t="s">
        <v>107</v>
      </c>
      <c r="S184" s="1" t="s">
        <v>1910</v>
      </c>
      <c r="T184" s="2" t="s">
        <v>73</v>
      </c>
      <c r="U184" s="3">
        <v>5</v>
      </c>
      <c r="V184" s="3">
        <v>5</v>
      </c>
      <c r="W184" s="4" t="s">
        <v>1844</v>
      </c>
      <c r="X184" s="4" t="s">
        <v>1844</v>
      </c>
      <c r="Y184" s="4" t="s">
        <v>2198</v>
      </c>
      <c r="Z184" s="4" t="s">
        <v>2198</v>
      </c>
      <c r="AA184" s="3">
        <v>239</v>
      </c>
      <c r="AB184" s="3">
        <v>176</v>
      </c>
      <c r="AC184" s="3">
        <v>182</v>
      </c>
      <c r="AD184" s="3">
        <v>1</v>
      </c>
      <c r="AE184" s="3">
        <v>1</v>
      </c>
      <c r="AF184" s="3">
        <v>3</v>
      </c>
      <c r="AG184" s="3">
        <v>3</v>
      </c>
      <c r="AH184" s="3">
        <v>0</v>
      </c>
      <c r="AI184" s="3">
        <v>0</v>
      </c>
      <c r="AJ184" s="3">
        <v>2</v>
      </c>
      <c r="AK184" s="3">
        <v>2</v>
      </c>
      <c r="AL184" s="3">
        <v>2</v>
      </c>
      <c r="AM184" s="3">
        <v>2</v>
      </c>
      <c r="AN184" s="3">
        <v>0</v>
      </c>
      <c r="AO184" s="3">
        <v>0</v>
      </c>
      <c r="AP184" s="3">
        <v>0</v>
      </c>
      <c r="AQ184" s="3">
        <v>0</v>
      </c>
      <c r="AR184" s="2" t="s">
        <v>63</v>
      </c>
      <c r="AS184" s="2" t="s">
        <v>63</v>
      </c>
      <c r="AU184" s="5" t="str">
        <f>HYPERLINK("https://creighton-primo.hosted.exlibrisgroup.com/primo-explore/search?tab=default_tab&amp;search_scope=EVERYTHING&amp;vid=01CRU&amp;lang=en_US&amp;offset=0&amp;query=any,contains,991000823619702656","Catalog Record")</f>
        <v>Catalog Record</v>
      </c>
      <c r="AV184" s="5" t="str">
        <f>HYPERLINK("http://www.worldcat.org/oclc/19850363","WorldCat Record")</f>
        <v>WorldCat Record</v>
      </c>
      <c r="AW184" s="2" t="s">
        <v>2199</v>
      </c>
      <c r="AX184" s="2" t="s">
        <v>2200</v>
      </c>
      <c r="AY184" s="2" t="s">
        <v>2201</v>
      </c>
      <c r="AZ184" s="2" t="s">
        <v>2201</v>
      </c>
      <c r="BA184" s="2" t="s">
        <v>2202</v>
      </c>
      <c r="BB184" s="2" t="s">
        <v>81</v>
      </c>
      <c r="BD184" s="2" t="s">
        <v>2203</v>
      </c>
      <c r="BE184" s="2" t="s">
        <v>2204</v>
      </c>
      <c r="BF184" s="2" t="s">
        <v>2205</v>
      </c>
    </row>
    <row r="185" spans="1:58" ht="42" customHeight="1">
      <c r="A185" s="1"/>
      <c r="B185" s="1" t="s">
        <v>58</v>
      </c>
      <c r="C185" s="1" t="s">
        <v>59</v>
      </c>
      <c r="D185" s="1" t="s">
        <v>2206</v>
      </c>
      <c r="E185" s="1" t="s">
        <v>2207</v>
      </c>
      <c r="F185" s="1" t="s">
        <v>2208</v>
      </c>
      <c r="H185" s="2" t="s">
        <v>63</v>
      </c>
      <c r="I185" s="2" t="s">
        <v>64</v>
      </c>
      <c r="J185" s="2" t="s">
        <v>63</v>
      </c>
      <c r="K185" s="2" t="s">
        <v>63</v>
      </c>
      <c r="L185" s="2" t="s">
        <v>65</v>
      </c>
      <c r="M185" s="1" t="s">
        <v>2209</v>
      </c>
      <c r="N185" s="1" t="s">
        <v>2210</v>
      </c>
      <c r="O185" s="2" t="s">
        <v>1005</v>
      </c>
      <c r="Q185" s="2" t="s">
        <v>70</v>
      </c>
      <c r="R185" s="2" t="s">
        <v>422</v>
      </c>
      <c r="S185" s="1" t="s">
        <v>2211</v>
      </c>
      <c r="T185" s="2" t="s">
        <v>73</v>
      </c>
      <c r="U185" s="3">
        <v>2</v>
      </c>
      <c r="V185" s="3">
        <v>2</v>
      </c>
      <c r="W185" s="4" t="s">
        <v>2212</v>
      </c>
      <c r="X185" s="4" t="s">
        <v>2212</v>
      </c>
      <c r="Y185" s="4" t="s">
        <v>1006</v>
      </c>
      <c r="Z185" s="4" t="s">
        <v>1006</v>
      </c>
      <c r="AA185" s="3">
        <v>363</v>
      </c>
      <c r="AB185" s="3">
        <v>246</v>
      </c>
      <c r="AC185" s="3">
        <v>288</v>
      </c>
      <c r="AD185" s="3">
        <v>2</v>
      </c>
      <c r="AE185" s="3">
        <v>2</v>
      </c>
      <c r="AF185" s="3">
        <v>8</v>
      </c>
      <c r="AG185" s="3">
        <v>11</v>
      </c>
      <c r="AH185" s="3">
        <v>3</v>
      </c>
      <c r="AI185" s="3">
        <v>5</v>
      </c>
      <c r="AJ185" s="3">
        <v>2</v>
      </c>
      <c r="AK185" s="3">
        <v>4</v>
      </c>
      <c r="AL185" s="3">
        <v>6</v>
      </c>
      <c r="AM185" s="3">
        <v>6</v>
      </c>
      <c r="AN185" s="3">
        <v>1</v>
      </c>
      <c r="AO185" s="3">
        <v>1</v>
      </c>
      <c r="AP185" s="3">
        <v>0</v>
      </c>
      <c r="AQ185" s="3">
        <v>0</v>
      </c>
      <c r="AR185" s="2" t="s">
        <v>63</v>
      </c>
      <c r="AS185" s="2" t="s">
        <v>76</v>
      </c>
      <c r="AT185" s="5" t="str">
        <f>HYPERLINK("http://catalog.hathitrust.org/Record/002077276","HathiTrust Record")</f>
        <v>HathiTrust Record</v>
      </c>
      <c r="AU185" s="5" t="str">
        <f>HYPERLINK("https://creighton-primo.hosted.exlibrisgroup.com/primo-explore/search?tab=default_tab&amp;search_scope=EVERYTHING&amp;vid=01CRU&amp;lang=en_US&amp;offset=0&amp;query=any,contains,991001108809702656","Catalog Record")</f>
        <v>Catalog Record</v>
      </c>
      <c r="AV185" s="5" t="str">
        <f>HYPERLINK("http://www.worldcat.org/oclc/44461","WorldCat Record")</f>
        <v>WorldCat Record</v>
      </c>
      <c r="AW185" s="2" t="s">
        <v>2213</v>
      </c>
      <c r="AX185" s="2" t="s">
        <v>2214</v>
      </c>
      <c r="AY185" s="2" t="s">
        <v>2215</v>
      </c>
      <c r="AZ185" s="2" t="s">
        <v>2215</v>
      </c>
      <c r="BA185" s="2" t="s">
        <v>2216</v>
      </c>
      <c r="BB185" s="2" t="s">
        <v>81</v>
      </c>
      <c r="BE185" s="2" t="s">
        <v>2217</v>
      </c>
      <c r="BF185" s="2" t="s">
        <v>2218</v>
      </c>
    </row>
    <row r="186" spans="1:58" ht="42" customHeight="1">
      <c r="A186" s="1"/>
      <c r="B186" s="1" t="s">
        <v>58</v>
      </c>
      <c r="C186" s="1" t="s">
        <v>59</v>
      </c>
      <c r="D186" s="1" t="s">
        <v>2219</v>
      </c>
      <c r="E186" s="1" t="s">
        <v>2220</v>
      </c>
      <c r="F186" s="1" t="s">
        <v>2221</v>
      </c>
      <c r="H186" s="2" t="s">
        <v>63</v>
      </c>
      <c r="I186" s="2" t="s">
        <v>64</v>
      </c>
      <c r="J186" s="2" t="s">
        <v>63</v>
      </c>
      <c r="K186" s="2" t="s">
        <v>63</v>
      </c>
      <c r="L186" s="2" t="s">
        <v>65</v>
      </c>
      <c r="M186" s="1" t="s">
        <v>2222</v>
      </c>
      <c r="N186" s="1" t="s">
        <v>2223</v>
      </c>
      <c r="O186" s="2" t="s">
        <v>2224</v>
      </c>
      <c r="Q186" s="2" t="s">
        <v>70</v>
      </c>
      <c r="R186" s="2" t="s">
        <v>408</v>
      </c>
      <c r="T186" s="2" t="s">
        <v>73</v>
      </c>
      <c r="U186" s="3">
        <v>1</v>
      </c>
      <c r="V186" s="3">
        <v>1</v>
      </c>
      <c r="W186" s="4" t="s">
        <v>2225</v>
      </c>
      <c r="X186" s="4" t="s">
        <v>2225</v>
      </c>
      <c r="Y186" s="4" t="s">
        <v>1006</v>
      </c>
      <c r="Z186" s="4" t="s">
        <v>1006</v>
      </c>
      <c r="AA186" s="3">
        <v>273</v>
      </c>
      <c r="AB186" s="3">
        <v>176</v>
      </c>
      <c r="AC186" s="3">
        <v>183</v>
      </c>
      <c r="AD186" s="3">
        <v>2</v>
      </c>
      <c r="AE186" s="3">
        <v>2</v>
      </c>
      <c r="AF186" s="3">
        <v>5</v>
      </c>
      <c r="AG186" s="3">
        <v>5</v>
      </c>
      <c r="AH186" s="3">
        <v>2</v>
      </c>
      <c r="AI186" s="3">
        <v>2</v>
      </c>
      <c r="AJ186" s="3">
        <v>1</v>
      </c>
      <c r="AK186" s="3">
        <v>1</v>
      </c>
      <c r="AL186" s="3">
        <v>3</v>
      </c>
      <c r="AM186" s="3">
        <v>3</v>
      </c>
      <c r="AN186" s="3">
        <v>1</v>
      </c>
      <c r="AO186" s="3">
        <v>1</v>
      </c>
      <c r="AP186" s="3">
        <v>0</v>
      </c>
      <c r="AQ186" s="3">
        <v>0</v>
      </c>
      <c r="AR186" s="2" t="s">
        <v>63</v>
      </c>
      <c r="AS186" s="2" t="s">
        <v>76</v>
      </c>
      <c r="AT186" s="5" t="str">
        <f>HYPERLINK("http://catalog.hathitrust.org/Record/001497453","HathiTrust Record")</f>
        <v>HathiTrust Record</v>
      </c>
      <c r="AU186" s="5" t="str">
        <f>HYPERLINK("https://creighton-primo.hosted.exlibrisgroup.com/primo-explore/search?tab=default_tab&amp;search_scope=EVERYTHING&amp;vid=01CRU&amp;lang=en_US&amp;offset=0&amp;query=any,contains,991001109029702656","Catalog Record")</f>
        <v>Catalog Record</v>
      </c>
      <c r="AV186" s="5" t="str">
        <f>HYPERLINK("http://www.worldcat.org/oclc/709934","WorldCat Record")</f>
        <v>WorldCat Record</v>
      </c>
      <c r="AW186" s="2" t="s">
        <v>2226</v>
      </c>
      <c r="AX186" s="2" t="s">
        <v>2227</v>
      </c>
      <c r="AY186" s="2" t="s">
        <v>2228</v>
      </c>
      <c r="AZ186" s="2" t="s">
        <v>2228</v>
      </c>
      <c r="BA186" s="2" t="s">
        <v>2229</v>
      </c>
      <c r="BB186" s="2" t="s">
        <v>81</v>
      </c>
      <c r="BE186" s="2" t="s">
        <v>2230</v>
      </c>
      <c r="BF186" s="2" t="s">
        <v>2231</v>
      </c>
    </row>
    <row r="187" spans="1:58" ht="42" customHeight="1">
      <c r="A187" s="1"/>
      <c r="B187" s="1" t="s">
        <v>58</v>
      </c>
      <c r="C187" s="1" t="s">
        <v>59</v>
      </c>
      <c r="D187" s="1" t="s">
        <v>2232</v>
      </c>
      <c r="E187" s="1" t="s">
        <v>2233</v>
      </c>
      <c r="F187" s="1" t="s">
        <v>2234</v>
      </c>
      <c r="H187" s="2" t="s">
        <v>63</v>
      </c>
      <c r="I187" s="2" t="s">
        <v>64</v>
      </c>
      <c r="J187" s="2" t="s">
        <v>63</v>
      </c>
      <c r="K187" s="2" t="s">
        <v>63</v>
      </c>
      <c r="L187" s="2" t="s">
        <v>65</v>
      </c>
      <c r="M187" s="1" t="s">
        <v>2235</v>
      </c>
      <c r="N187" s="1" t="s">
        <v>2236</v>
      </c>
      <c r="O187" s="2" t="s">
        <v>332</v>
      </c>
      <c r="Q187" s="2" t="s">
        <v>70</v>
      </c>
      <c r="R187" s="2" t="s">
        <v>422</v>
      </c>
      <c r="T187" s="2" t="s">
        <v>73</v>
      </c>
      <c r="U187" s="3">
        <v>2</v>
      </c>
      <c r="V187" s="3">
        <v>2</v>
      </c>
      <c r="W187" s="4" t="s">
        <v>2237</v>
      </c>
      <c r="X187" s="4" t="s">
        <v>2237</v>
      </c>
      <c r="Y187" s="4" t="s">
        <v>1006</v>
      </c>
      <c r="Z187" s="4" t="s">
        <v>1006</v>
      </c>
      <c r="AA187" s="3">
        <v>245</v>
      </c>
      <c r="AB187" s="3">
        <v>198</v>
      </c>
      <c r="AC187" s="3">
        <v>212</v>
      </c>
      <c r="AD187" s="3">
        <v>2</v>
      </c>
      <c r="AE187" s="3">
        <v>2</v>
      </c>
      <c r="AF187" s="3">
        <v>7</v>
      </c>
      <c r="AG187" s="3">
        <v>8</v>
      </c>
      <c r="AH187" s="3">
        <v>1</v>
      </c>
      <c r="AI187" s="3">
        <v>1</v>
      </c>
      <c r="AJ187" s="3">
        <v>1</v>
      </c>
      <c r="AK187" s="3">
        <v>1</v>
      </c>
      <c r="AL187" s="3">
        <v>4</v>
      </c>
      <c r="AM187" s="3">
        <v>5</v>
      </c>
      <c r="AN187" s="3">
        <v>1</v>
      </c>
      <c r="AO187" s="3">
        <v>1</v>
      </c>
      <c r="AP187" s="3">
        <v>0</v>
      </c>
      <c r="AQ187" s="3">
        <v>0</v>
      </c>
      <c r="AR187" s="2" t="s">
        <v>63</v>
      </c>
      <c r="AS187" s="2" t="s">
        <v>63</v>
      </c>
      <c r="AT187" s="5" t="str">
        <f>HYPERLINK("http://catalog.hathitrust.org/Record/002083088","HathiTrust Record")</f>
        <v>HathiTrust Record</v>
      </c>
      <c r="AU187" s="5" t="str">
        <f>HYPERLINK("https://creighton-primo.hosted.exlibrisgroup.com/primo-explore/search?tab=default_tab&amp;search_scope=EVERYTHING&amp;vid=01CRU&amp;lang=en_US&amp;offset=0&amp;query=any,contains,991001109249702656","Catalog Record")</f>
        <v>Catalog Record</v>
      </c>
      <c r="AV187" s="5" t="str">
        <f>HYPERLINK("http://www.worldcat.org/oclc/726997","WorldCat Record")</f>
        <v>WorldCat Record</v>
      </c>
      <c r="AW187" s="2" t="s">
        <v>2238</v>
      </c>
      <c r="AX187" s="2" t="s">
        <v>2239</v>
      </c>
      <c r="AY187" s="2" t="s">
        <v>2240</v>
      </c>
      <c r="AZ187" s="2" t="s">
        <v>2240</v>
      </c>
      <c r="BA187" s="2" t="s">
        <v>2241</v>
      </c>
      <c r="BB187" s="2" t="s">
        <v>81</v>
      </c>
      <c r="BE187" s="2" t="s">
        <v>2242</v>
      </c>
      <c r="BF187" s="2" t="s">
        <v>2243</v>
      </c>
    </row>
    <row r="188" spans="1:58" ht="42" customHeight="1">
      <c r="A188" s="1"/>
      <c r="B188" s="1" t="s">
        <v>58</v>
      </c>
      <c r="C188" s="1" t="s">
        <v>59</v>
      </c>
      <c r="D188" s="1" t="s">
        <v>2244</v>
      </c>
      <c r="E188" s="1" t="s">
        <v>2245</v>
      </c>
      <c r="F188" s="1" t="s">
        <v>2246</v>
      </c>
      <c r="H188" s="2" t="s">
        <v>63</v>
      </c>
      <c r="I188" s="2" t="s">
        <v>64</v>
      </c>
      <c r="J188" s="2" t="s">
        <v>63</v>
      </c>
      <c r="K188" s="2" t="s">
        <v>63</v>
      </c>
      <c r="L188" s="2" t="s">
        <v>65</v>
      </c>
      <c r="M188" s="1" t="s">
        <v>2247</v>
      </c>
      <c r="N188" s="1" t="s">
        <v>2248</v>
      </c>
      <c r="O188" s="2" t="s">
        <v>2249</v>
      </c>
      <c r="Q188" s="2" t="s">
        <v>70</v>
      </c>
      <c r="R188" s="2" t="s">
        <v>168</v>
      </c>
      <c r="T188" s="2" t="s">
        <v>73</v>
      </c>
      <c r="U188" s="3">
        <v>1</v>
      </c>
      <c r="V188" s="3">
        <v>1</v>
      </c>
      <c r="W188" s="4" t="s">
        <v>2225</v>
      </c>
      <c r="X188" s="4" t="s">
        <v>2225</v>
      </c>
      <c r="Y188" s="4" t="s">
        <v>1006</v>
      </c>
      <c r="Z188" s="4" t="s">
        <v>1006</v>
      </c>
      <c r="AA188" s="3">
        <v>297</v>
      </c>
      <c r="AB188" s="3">
        <v>232</v>
      </c>
      <c r="AC188" s="3">
        <v>397</v>
      </c>
      <c r="AD188" s="3">
        <v>1</v>
      </c>
      <c r="AE188" s="3">
        <v>4</v>
      </c>
      <c r="AF188" s="3">
        <v>9</v>
      </c>
      <c r="AG188" s="3">
        <v>15</v>
      </c>
      <c r="AH188" s="3">
        <v>3</v>
      </c>
      <c r="AI188" s="3">
        <v>3</v>
      </c>
      <c r="AJ188" s="3">
        <v>2</v>
      </c>
      <c r="AK188" s="3">
        <v>3</v>
      </c>
      <c r="AL188" s="3">
        <v>6</v>
      </c>
      <c r="AM188" s="3">
        <v>9</v>
      </c>
      <c r="AN188" s="3">
        <v>0</v>
      </c>
      <c r="AO188" s="3">
        <v>3</v>
      </c>
      <c r="AP188" s="3">
        <v>0</v>
      </c>
      <c r="AQ188" s="3">
        <v>0</v>
      </c>
      <c r="AR188" s="2" t="s">
        <v>76</v>
      </c>
      <c r="AS188" s="2" t="s">
        <v>63</v>
      </c>
      <c r="AT188" s="5" t="str">
        <f>HYPERLINK("http://catalog.hathitrust.org/Record/001497596","HathiTrust Record")</f>
        <v>HathiTrust Record</v>
      </c>
      <c r="AU188" s="5" t="str">
        <f>HYPERLINK("https://creighton-primo.hosted.exlibrisgroup.com/primo-explore/search?tab=default_tab&amp;search_scope=EVERYTHING&amp;vid=01CRU&amp;lang=en_US&amp;offset=0&amp;query=any,contains,991001109299702656","Catalog Record")</f>
        <v>Catalog Record</v>
      </c>
      <c r="AV188" s="5" t="str">
        <f>HYPERLINK("http://www.worldcat.org/oclc/1522344","WorldCat Record")</f>
        <v>WorldCat Record</v>
      </c>
      <c r="AW188" s="2" t="s">
        <v>2250</v>
      </c>
      <c r="AX188" s="2" t="s">
        <v>2251</v>
      </c>
      <c r="AY188" s="2" t="s">
        <v>2252</v>
      </c>
      <c r="AZ188" s="2" t="s">
        <v>2252</v>
      </c>
      <c r="BA188" s="2" t="s">
        <v>2253</v>
      </c>
      <c r="BB188" s="2" t="s">
        <v>81</v>
      </c>
      <c r="BE188" s="2" t="s">
        <v>2254</v>
      </c>
      <c r="BF188" s="2" t="s">
        <v>2255</v>
      </c>
    </row>
    <row r="189" spans="1:58" ht="42" customHeight="1">
      <c r="A189" s="1"/>
      <c r="B189" s="1" t="s">
        <v>58</v>
      </c>
      <c r="C189" s="1" t="s">
        <v>59</v>
      </c>
      <c r="D189" s="1" t="s">
        <v>2256</v>
      </c>
      <c r="E189" s="1" t="s">
        <v>2257</v>
      </c>
      <c r="F189" s="1" t="s">
        <v>2258</v>
      </c>
      <c r="H189" s="2" t="s">
        <v>63</v>
      </c>
      <c r="I189" s="2" t="s">
        <v>64</v>
      </c>
      <c r="J189" s="2" t="s">
        <v>63</v>
      </c>
      <c r="K189" s="2" t="s">
        <v>63</v>
      </c>
      <c r="L189" s="2" t="s">
        <v>65</v>
      </c>
      <c r="N189" s="1" t="s">
        <v>2259</v>
      </c>
      <c r="O189" s="2" t="s">
        <v>68</v>
      </c>
      <c r="Q189" s="2" t="s">
        <v>70</v>
      </c>
      <c r="R189" s="2" t="s">
        <v>1310</v>
      </c>
      <c r="T189" s="2" t="s">
        <v>73</v>
      </c>
      <c r="U189" s="3">
        <v>5</v>
      </c>
      <c r="V189" s="3">
        <v>5</v>
      </c>
      <c r="W189" s="4" t="s">
        <v>2260</v>
      </c>
      <c r="X189" s="4" t="s">
        <v>2260</v>
      </c>
      <c r="Y189" s="4" t="s">
        <v>2261</v>
      </c>
      <c r="Z189" s="4" t="s">
        <v>2261</v>
      </c>
      <c r="AA189" s="3">
        <v>97</v>
      </c>
      <c r="AB189" s="3">
        <v>73</v>
      </c>
      <c r="AC189" s="3">
        <v>73</v>
      </c>
      <c r="AD189" s="3">
        <v>1</v>
      </c>
      <c r="AE189" s="3">
        <v>1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2" t="s">
        <v>63</v>
      </c>
      <c r="AS189" s="2" t="s">
        <v>63</v>
      </c>
      <c r="AU189" s="5" t="str">
        <f>HYPERLINK("https://creighton-primo.hosted.exlibrisgroup.com/primo-explore/search?tab=default_tab&amp;search_scope=EVERYTHING&amp;vid=01CRU&amp;lang=en_US&amp;offset=0&amp;query=any,contains,991000677659702656","Catalog Record")</f>
        <v>Catalog Record</v>
      </c>
      <c r="AV189" s="5" t="str">
        <f>HYPERLINK("http://www.worldcat.org/oclc/28844174","WorldCat Record")</f>
        <v>WorldCat Record</v>
      </c>
      <c r="AW189" s="2" t="s">
        <v>2262</v>
      </c>
      <c r="AX189" s="2" t="s">
        <v>2263</v>
      </c>
      <c r="AY189" s="2" t="s">
        <v>2264</v>
      </c>
      <c r="AZ189" s="2" t="s">
        <v>2264</v>
      </c>
      <c r="BA189" s="2" t="s">
        <v>2265</v>
      </c>
      <c r="BB189" s="2" t="s">
        <v>81</v>
      </c>
      <c r="BD189" s="2" t="s">
        <v>2266</v>
      </c>
      <c r="BE189" s="2" t="s">
        <v>2267</v>
      </c>
      <c r="BF189" s="2" t="s">
        <v>2268</v>
      </c>
    </row>
    <row r="190" spans="1:58" ht="42" customHeight="1">
      <c r="A190" s="1"/>
      <c r="B190" s="1" t="s">
        <v>58</v>
      </c>
      <c r="C190" s="1" t="s">
        <v>59</v>
      </c>
      <c r="D190" s="1" t="s">
        <v>2269</v>
      </c>
      <c r="E190" s="1" t="s">
        <v>2270</v>
      </c>
      <c r="F190" s="1" t="s">
        <v>2271</v>
      </c>
      <c r="H190" s="2" t="s">
        <v>63</v>
      </c>
      <c r="I190" s="2" t="s">
        <v>64</v>
      </c>
      <c r="J190" s="2" t="s">
        <v>63</v>
      </c>
      <c r="K190" s="2" t="s">
        <v>63</v>
      </c>
      <c r="L190" s="2" t="s">
        <v>65</v>
      </c>
      <c r="M190" s="1" t="s">
        <v>2272</v>
      </c>
      <c r="N190" s="1" t="s">
        <v>2273</v>
      </c>
      <c r="O190" s="2" t="s">
        <v>374</v>
      </c>
      <c r="Q190" s="2" t="s">
        <v>70</v>
      </c>
      <c r="R190" s="2" t="s">
        <v>408</v>
      </c>
      <c r="S190" s="1" t="s">
        <v>2274</v>
      </c>
      <c r="T190" s="2" t="s">
        <v>73</v>
      </c>
      <c r="U190" s="3">
        <v>0</v>
      </c>
      <c r="V190" s="3">
        <v>0</v>
      </c>
      <c r="W190" s="4" t="s">
        <v>2275</v>
      </c>
      <c r="X190" s="4" t="s">
        <v>2275</v>
      </c>
      <c r="Y190" s="4" t="s">
        <v>2276</v>
      </c>
      <c r="Z190" s="4" t="s">
        <v>2276</v>
      </c>
      <c r="AA190" s="3">
        <v>93</v>
      </c>
      <c r="AB190" s="3">
        <v>72</v>
      </c>
      <c r="AC190" s="3">
        <v>73</v>
      </c>
      <c r="AD190" s="3">
        <v>1</v>
      </c>
      <c r="AE190" s="3">
        <v>1</v>
      </c>
      <c r="AF190" s="3">
        <v>2</v>
      </c>
      <c r="AG190" s="3">
        <v>2</v>
      </c>
      <c r="AH190" s="3">
        <v>1</v>
      </c>
      <c r="AI190" s="3">
        <v>1</v>
      </c>
      <c r="AJ190" s="3">
        <v>0</v>
      </c>
      <c r="AK190" s="3">
        <v>0</v>
      </c>
      <c r="AL190" s="3">
        <v>2</v>
      </c>
      <c r="AM190" s="3">
        <v>2</v>
      </c>
      <c r="AN190" s="3">
        <v>0</v>
      </c>
      <c r="AO190" s="3">
        <v>0</v>
      </c>
      <c r="AP190" s="3">
        <v>0</v>
      </c>
      <c r="AQ190" s="3">
        <v>0</v>
      </c>
      <c r="AR190" s="2" t="s">
        <v>63</v>
      </c>
      <c r="AS190" s="2" t="s">
        <v>76</v>
      </c>
      <c r="AT190" s="5" t="str">
        <f>HYPERLINK("http://catalog.hathitrust.org/Record/004733140","HathiTrust Record")</f>
        <v>HathiTrust Record</v>
      </c>
      <c r="AU190" s="5" t="str">
        <f>HYPERLINK("https://creighton-primo.hosted.exlibrisgroup.com/primo-explore/search?tab=default_tab&amp;search_scope=EVERYTHING&amp;vid=01CRU&amp;lang=en_US&amp;offset=0&amp;query=any,contains,991000393869702656","Catalog Record")</f>
        <v>Catalog Record</v>
      </c>
      <c r="AV190" s="5" t="str">
        <f>HYPERLINK("http://www.worldcat.org/oclc/54865786","WorldCat Record")</f>
        <v>WorldCat Record</v>
      </c>
      <c r="AW190" s="2" t="s">
        <v>2277</v>
      </c>
      <c r="AX190" s="2" t="s">
        <v>2278</v>
      </c>
      <c r="AY190" s="2" t="s">
        <v>2279</v>
      </c>
      <c r="AZ190" s="2" t="s">
        <v>2279</v>
      </c>
      <c r="BA190" s="2" t="s">
        <v>2280</v>
      </c>
      <c r="BB190" s="2" t="s">
        <v>81</v>
      </c>
      <c r="BD190" s="2" t="s">
        <v>2281</v>
      </c>
      <c r="BE190" s="2" t="s">
        <v>2282</v>
      </c>
      <c r="BF190" s="2" t="s">
        <v>2283</v>
      </c>
    </row>
    <row r="191" spans="1:58" ht="42" customHeight="1">
      <c r="A191" s="1"/>
      <c r="B191" s="1" t="s">
        <v>58</v>
      </c>
      <c r="C191" s="1" t="s">
        <v>59</v>
      </c>
      <c r="D191" s="1" t="s">
        <v>2284</v>
      </c>
      <c r="E191" s="1" t="s">
        <v>2285</v>
      </c>
      <c r="F191" s="1" t="s">
        <v>2286</v>
      </c>
      <c r="H191" s="2" t="s">
        <v>63</v>
      </c>
      <c r="I191" s="2" t="s">
        <v>64</v>
      </c>
      <c r="J191" s="2" t="s">
        <v>63</v>
      </c>
      <c r="K191" s="2" t="s">
        <v>63</v>
      </c>
      <c r="L191" s="2" t="s">
        <v>65</v>
      </c>
      <c r="M191" s="1" t="s">
        <v>2287</v>
      </c>
      <c r="N191" s="1" t="s">
        <v>2288</v>
      </c>
      <c r="O191" s="2" t="s">
        <v>136</v>
      </c>
      <c r="Q191" s="2" t="s">
        <v>70</v>
      </c>
      <c r="R191" s="2" t="s">
        <v>422</v>
      </c>
      <c r="T191" s="2" t="s">
        <v>73</v>
      </c>
      <c r="U191" s="3">
        <v>6</v>
      </c>
      <c r="V191" s="3">
        <v>6</v>
      </c>
      <c r="W191" s="4" t="s">
        <v>2289</v>
      </c>
      <c r="X191" s="4" t="s">
        <v>2289</v>
      </c>
      <c r="Y191" s="4" t="s">
        <v>2110</v>
      </c>
      <c r="Z191" s="4" t="s">
        <v>2110</v>
      </c>
      <c r="AA191" s="3">
        <v>1049</v>
      </c>
      <c r="AB191" s="3">
        <v>962</v>
      </c>
      <c r="AC191" s="3">
        <v>982</v>
      </c>
      <c r="AD191" s="3">
        <v>3</v>
      </c>
      <c r="AE191" s="3">
        <v>3</v>
      </c>
      <c r="AF191" s="3">
        <v>16</v>
      </c>
      <c r="AG191" s="3">
        <v>17</v>
      </c>
      <c r="AH191" s="3">
        <v>6</v>
      </c>
      <c r="AI191" s="3">
        <v>6</v>
      </c>
      <c r="AJ191" s="3">
        <v>3</v>
      </c>
      <c r="AK191" s="3">
        <v>3</v>
      </c>
      <c r="AL191" s="3">
        <v>7</v>
      </c>
      <c r="AM191" s="3">
        <v>8</v>
      </c>
      <c r="AN191" s="3">
        <v>2</v>
      </c>
      <c r="AO191" s="3">
        <v>2</v>
      </c>
      <c r="AP191" s="3">
        <v>0</v>
      </c>
      <c r="AQ191" s="3">
        <v>0</v>
      </c>
      <c r="AR191" s="2" t="s">
        <v>63</v>
      </c>
      <c r="AS191" s="2" t="s">
        <v>63</v>
      </c>
      <c r="AU191" s="5" t="str">
        <f>HYPERLINK("https://creighton-primo.hosted.exlibrisgroup.com/primo-explore/search?tab=default_tab&amp;search_scope=EVERYTHING&amp;vid=01CRU&amp;lang=en_US&amp;offset=0&amp;query=any,contains,991001109529702656","Catalog Record")</f>
        <v>Catalog Record</v>
      </c>
      <c r="AV191" s="5" t="str">
        <f>HYPERLINK("http://www.worldcat.org/oclc/7836875","WorldCat Record")</f>
        <v>WorldCat Record</v>
      </c>
      <c r="AW191" s="2" t="s">
        <v>2290</v>
      </c>
      <c r="AX191" s="2" t="s">
        <v>2291</v>
      </c>
      <c r="AY191" s="2" t="s">
        <v>2292</v>
      </c>
      <c r="AZ191" s="2" t="s">
        <v>2292</v>
      </c>
      <c r="BA191" s="2" t="s">
        <v>2293</v>
      </c>
      <c r="BB191" s="2" t="s">
        <v>81</v>
      </c>
      <c r="BD191" s="2" t="s">
        <v>2294</v>
      </c>
      <c r="BE191" s="2" t="s">
        <v>2295</v>
      </c>
      <c r="BF191" s="2" t="s">
        <v>2296</v>
      </c>
    </row>
    <row r="192" spans="1:58" ht="42" customHeight="1">
      <c r="A192" s="1"/>
      <c r="B192" s="1" t="s">
        <v>58</v>
      </c>
      <c r="C192" s="1" t="s">
        <v>59</v>
      </c>
      <c r="D192" s="1" t="s">
        <v>2297</v>
      </c>
      <c r="E192" s="1" t="s">
        <v>2298</v>
      </c>
      <c r="F192" s="1" t="s">
        <v>2299</v>
      </c>
      <c r="H192" s="2" t="s">
        <v>63</v>
      </c>
      <c r="I192" s="2" t="s">
        <v>64</v>
      </c>
      <c r="J192" s="2" t="s">
        <v>63</v>
      </c>
      <c r="K192" s="2" t="s">
        <v>63</v>
      </c>
      <c r="L192" s="2" t="s">
        <v>65</v>
      </c>
      <c r="N192" s="1" t="s">
        <v>2300</v>
      </c>
      <c r="O192" s="2" t="s">
        <v>374</v>
      </c>
      <c r="Q192" s="2" t="s">
        <v>70</v>
      </c>
      <c r="R192" s="2" t="s">
        <v>246</v>
      </c>
      <c r="S192" s="1" t="s">
        <v>2301</v>
      </c>
      <c r="T192" s="2" t="s">
        <v>73</v>
      </c>
      <c r="U192" s="3">
        <v>0</v>
      </c>
      <c r="V192" s="3">
        <v>0</v>
      </c>
      <c r="W192" s="4" t="s">
        <v>2302</v>
      </c>
      <c r="X192" s="4" t="s">
        <v>2302</v>
      </c>
      <c r="Y192" s="4" t="s">
        <v>2303</v>
      </c>
      <c r="Z192" s="4" t="s">
        <v>2303</v>
      </c>
      <c r="AA192" s="3">
        <v>47</v>
      </c>
      <c r="AB192" s="3">
        <v>43</v>
      </c>
      <c r="AC192" s="3">
        <v>48</v>
      </c>
      <c r="AD192" s="3">
        <v>1</v>
      </c>
      <c r="AE192" s="3">
        <v>1</v>
      </c>
      <c r="AF192" s="3">
        <v>1</v>
      </c>
      <c r="AG192" s="3">
        <v>1</v>
      </c>
      <c r="AH192" s="3">
        <v>0</v>
      </c>
      <c r="AI192" s="3">
        <v>0</v>
      </c>
      <c r="AJ192" s="3">
        <v>1</v>
      </c>
      <c r="AK192" s="3">
        <v>1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2" t="s">
        <v>63</v>
      </c>
      <c r="AS192" s="2" t="s">
        <v>63</v>
      </c>
      <c r="AU192" s="5" t="str">
        <f>HYPERLINK("https://creighton-primo.hosted.exlibrisgroup.com/primo-explore/search?tab=default_tab&amp;search_scope=EVERYTHING&amp;vid=01CRU&amp;lang=en_US&amp;offset=0&amp;query=any,contains,991000398299702656","Catalog Record")</f>
        <v>Catalog Record</v>
      </c>
      <c r="AV192" s="5" t="str">
        <f>HYPERLINK("http://www.worldcat.org/oclc/51999267","WorldCat Record")</f>
        <v>WorldCat Record</v>
      </c>
      <c r="AW192" s="2" t="s">
        <v>2304</v>
      </c>
      <c r="AX192" s="2" t="s">
        <v>2305</v>
      </c>
      <c r="AY192" s="2" t="s">
        <v>2306</v>
      </c>
      <c r="AZ192" s="2" t="s">
        <v>2306</v>
      </c>
      <c r="BA192" s="2" t="s">
        <v>2307</v>
      </c>
      <c r="BB192" s="2" t="s">
        <v>81</v>
      </c>
      <c r="BE192" s="2" t="s">
        <v>2308</v>
      </c>
      <c r="BF192" s="2" t="s">
        <v>2309</v>
      </c>
    </row>
    <row r="193" spans="1:58" ht="42" customHeight="1">
      <c r="A193" s="1"/>
      <c r="B193" s="1" t="s">
        <v>58</v>
      </c>
      <c r="C193" s="1" t="s">
        <v>59</v>
      </c>
      <c r="D193" s="1" t="s">
        <v>2310</v>
      </c>
      <c r="E193" s="1" t="s">
        <v>2311</v>
      </c>
      <c r="F193" s="1" t="s">
        <v>2312</v>
      </c>
      <c r="H193" s="2" t="s">
        <v>63</v>
      </c>
      <c r="I193" s="2" t="s">
        <v>64</v>
      </c>
      <c r="J193" s="2" t="s">
        <v>63</v>
      </c>
      <c r="K193" s="2" t="s">
        <v>76</v>
      </c>
      <c r="L193" s="2" t="s">
        <v>64</v>
      </c>
      <c r="M193" s="1" t="s">
        <v>2313</v>
      </c>
      <c r="N193" s="1" t="s">
        <v>2314</v>
      </c>
      <c r="O193" s="2" t="s">
        <v>1688</v>
      </c>
      <c r="Q193" s="2" t="s">
        <v>70</v>
      </c>
      <c r="R193" s="2" t="s">
        <v>246</v>
      </c>
      <c r="T193" s="2" t="s">
        <v>73</v>
      </c>
      <c r="U193" s="3">
        <v>19</v>
      </c>
      <c r="V193" s="3">
        <v>19</v>
      </c>
      <c r="W193" s="4" t="s">
        <v>2315</v>
      </c>
      <c r="X193" s="4" t="s">
        <v>2315</v>
      </c>
      <c r="Y193" s="4" t="s">
        <v>2316</v>
      </c>
      <c r="Z193" s="4" t="s">
        <v>2316</v>
      </c>
      <c r="AA193" s="3">
        <v>198</v>
      </c>
      <c r="AB193" s="3">
        <v>135</v>
      </c>
      <c r="AC193" s="3">
        <v>752</v>
      </c>
      <c r="AD193" s="3">
        <v>2</v>
      </c>
      <c r="AE193" s="3">
        <v>5</v>
      </c>
      <c r="AF193" s="3">
        <v>5</v>
      </c>
      <c r="AG193" s="3">
        <v>25</v>
      </c>
      <c r="AH193" s="3">
        <v>0</v>
      </c>
      <c r="AI193" s="3">
        <v>8</v>
      </c>
      <c r="AJ193" s="3">
        <v>2</v>
      </c>
      <c r="AK193" s="3">
        <v>7</v>
      </c>
      <c r="AL193" s="3">
        <v>4</v>
      </c>
      <c r="AM193" s="3">
        <v>11</v>
      </c>
      <c r="AN193" s="3">
        <v>1</v>
      </c>
      <c r="AO193" s="3">
        <v>4</v>
      </c>
      <c r="AP193" s="3">
        <v>0</v>
      </c>
      <c r="AQ193" s="3">
        <v>0</v>
      </c>
      <c r="AR193" s="2" t="s">
        <v>63</v>
      </c>
      <c r="AS193" s="2" t="s">
        <v>76</v>
      </c>
      <c r="AT193" s="5" t="str">
        <f>HYPERLINK("http://catalog.hathitrust.org/Record/004175538","HathiTrust Record")</f>
        <v>HathiTrust Record</v>
      </c>
      <c r="AU193" s="5" t="str">
        <f>HYPERLINK("https://creighton-primo.hosted.exlibrisgroup.com/primo-explore/search?tab=default_tab&amp;search_scope=EVERYTHING&amp;vid=01CRU&amp;lang=en_US&amp;offset=0&amp;query=any,contains,991000307749702656","Catalog Record")</f>
        <v>Catalog Record</v>
      </c>
      <c r="AV193" s="5" t="str">
        <f>HYPERLINK("http://www.worldcat.org/oclc/46395179","WorldCat Record")</f>
        <v>WorldCat Record</v>
      </c>
      <c r="AW193" s="2" t="s">
        <v>2317</v>
      </c>
      <c r="AX193" s="2" t="s">
        <v>2318</v>
      </c>
      <c r="AY193" s="2" t="s">
        <v>2319</v>
      </c>
      <c r="AZ193" s="2" t="s">
        <v>2319</v>
      </c>
      <c r="BA193" s="2" t="s">
        <v>2320</v>
      </c>
      <c r="BB193" s="2" t="s">
        <v>81</v>
      </c>
      <c r="BD193" s="2" t="s">
        <v>2321</v>
      </c>
      <c r="BE193" s="2" t="s">
        <v>2322</v>
      </c>
      <c r="BF193" s="2" t="s">
        <v>2323</v>
      </c>
    </row>
    <row r="194" spans="1:58" ht="42" customHeight="1">
      <c r="A194" s="1"/>
      <c r="B194" s="1" t="s">
        <v>58</v>
      </c>
      <c r="C194" s="1" t="s">
        <v>59</v>
      </c>
      <c r="D194" s="1" t="s">
        <v>2324</v>
      </c>
      <c r="E194" s="1" t="s">
        <v>2325</v>
      </c>
      <c r="F194" s="1" t="s">
        <v>2312</v>
      </c>
      <c r="H194" s="2" t="s">
        <v>63</v>
      </c>
      <c r="I194" s="2" t="s">
        <v>64</v>
      </c>
      <c r="J194" s="2" t="s">
        <v>63</v>
      </c>
      <c r="K194" s="2" t="s">
        <v>76</v>
      </c>
      <c r="L194" s="2" t="s">
        <v>64</v>
      </c>
      <c r="M194" s="1" t="s">
        <v>2313</v>
      </c>
      <c r="N194" s="1" t="s">
        <v>2326</v>
      </c>
      <c r="O194" s="2" t="s">
        <v>1147</v>
      </c>
      <c r="P194" s="1" t="s">
        <v>2327</v>
      </c>
      <c r="Q194" s="2" t="s">
        <v>70</v>
      </c>
      <c r="R194" s="2" t="s">
        <v>246</v>
      </c>
      <c r="T194" s="2" t="s">
        <v>73</v>
      </c>
      <c r="U194" s="3">
        <v>12</v>
      </c>
      <c r="V194" s="3">
        <v>12</v>
      </c>
      <c r="W194" s="4" t="s">
        <v>2328</v>
      </c>
      <c r="X194" s="4" t="s">
        <v>2328</v>
      </c>
      <c r="Y194" s="4" t="s">
        <v>2329</v>
      </c>
      <c r="Z194" s="4" t="s">
        <v>2329</v>
      </c>
      <c r="AA194" s="3">
        <v>230</v>
      </c>
      <c r="AB194" s="3">
        <v>118</v>
      </c>
      <c r="AC194" s="3">
        <v>752</v>
      </c>
      <c r="AD194" s="3">
        <v>1</v>
      </c>
      <c r="AE194" s="3">
        <v>5</v>
      </c>
      <c r="AF194" s="3">
        <v>5</v>
      </c>
      <c r="AG194" s="3">
        <v>25</v>
      </c>
      <c r="AH194" s="3">
        <v>1</v>
      </c>
      <c r="AI194" s="3">
        <v>8</v>
      </c>
      <c r="AJ194" s="3">
        <v>3</v>
      </c>
      <c r="AK194" s="3">
        <v>7</v>
      </c>
      <c r="AL194" s="3">
        <v>2</v>
      </c>
      <c r="AM194" s="3">
        <v>11</v>
      </c>
      <c r="AN194" s="3">
        <v>0</v>
      </c>
      <c r="AO194" s="3">
        <v>4</v>
      </c>
      <c r="AP194" s="3">
        <v>0</v>
      </c>
      <c r="AQ194" s="3">
        <v>0</v>
      </c>
      <c r="AR194" s="2" t="s">
        <v>63</v>
      </c>
      <c r="AS194" s="2" t="s">
        <v>76</v>
      </c>
      <c r="AT194" s="5" t="str">
        <f>HYPERLINK("http://catalog.hathitrust.org/Record/010380749","HathiTrust Record")</f>
        <v>HathiTrust Record</v>
      </c>
      <c r="AU194" s="5" t="str">
        <f>HYPERLINK("https://creighton-primo.hosted.exlibrisgroup.com/primo-explore/search?tab=default_tab&amp;search_scope=EVERYTHING&amp;vid=01CRU&amp;lang=en_US&amp;offset=0&amp;query=any,contains,991000546729702656","Catalog Record")</f>
        <v>Catalog Record</v>
      </c>
      <c r="AV194" s="5" t="str">
        <f>HYPERLINK("http://www.worldcat.org/oclc/61309409","WorldCat Record")</f>
        <v>WorldCat Record</v>
      </c>
      <c r="AW194" s="2" t="s">
        <v>2317</v>
      </c>
      <c r="AX194" s="2" t="s">
        <v>2330</v>
      </c>
      <c r="AY194" s="2" t="s">
        <v>2331</v>
      </c>
      <c r="AZ194" s="2" t="s">
        <v>2331</v>
      </c>
      <c r="BA194" s="2" t="s">
        <v>2332</v>
      </c>
      <c r="BB194" s="2" t="s">
        <v>81</v>
      </c>
      <c r="BD194" s="2" t="s">
        <v>2333</v>
      </c>
      <c r="BE194" s="2" t="s">
        <v>2334</v>
      </c>
      <c r="BF194" s="2" t="s">
        <v>2335</v>
      </c>
    </row>
    <row r="195" spans="1:58" ht="42" customHeight="1">
      <c r="A195" s="1"/>
      <c r="B195" s="1" t="s">
        <v>58</v>
      </c>
      <c r="C195" s="1" t="s">
        <v>59</v>
      </c>
      <c r="D195" s="1" t="s">
        <v>2336</v>
      </c>
      <c r="E195" s="1" t="s">
        <v>2337</v>
      </c>
      <c r="F195" s="1" t="s">
        <v>2338</v>
      </c>
      <c r="H195" s="2" t="s">
        <v>63</v>
      </c>
      <c r="I195" s="2" t="s">
        <v>64</v>
      </c>
      <c r="J195" s="2" t="s">
        <v>63</v>
      </c>
      <c r="K195" s="2" t="s">
        <v>63</v>
      </c>
      <c r="L195" s="2" t="s">
        <v>65</v>
      </c>
      <c r="M195" s="1" t="s">
        <v>2339</v>
      </c>
      <c r="N195" s="1" t="s">
        <v>577</v>
      </c>
      <c r="O195" s="2" t="s">
        <v>121</v>
      </c>
      <c r="P195" s="1" t="s">
        <v>260</v>
      </c>
      <c r="Q195" s="2" t="s">
        <v>70</v>
      </c>
      <c r="R195" s="2" t="s">
        <v>107</v>
      </c>
      <c r="T195" s="2" t="s">
        <v>73</v>
      </c>
      <c r="U195" s="3">
        <v>12</v>
      </c>
      <c r="V195" s="3">
        <v>12</v>
      </c>
      <c r="W195" s="4" t="s">
        <v>2340</v>
      </c>
      <c r="X195" s="4" t="s">
        <v>2340</v>
      </c>
      <c r="Y195" s="4" t="s">
        <v>2110</v>
      </c>
      <c r="Z195" s="4" t="s">
        <v>2110</v>
      </c>
      <c r="AA195" s="3">
        <v>235</v>
      </c>
      <c r="AB195" s="3">
        <v>188</v>
      </c>
      <c r="AC195" s="3">
        <v>282</v>
      </c>
      <c r="AD195" s="3">
        <v>1</v>
      </c>
      <c r="AE195" s="3">
        <v>3</v>
      </c>
      <c r="AF195" s="3">
        <v>3</v>
      </c>
      <c r="AG195" s="3">
        <v>9</v>
      </c>
      <c r="AH195" s="3">
        <v>2</v>
      </c>
      <c r="AI195" s="3">
        <v>5</v>
      </c>
      <c r="AJ195" s="3">
        <v>0</v>
      </c>
      <c r="AK195" s="3">
        <v>1</v>
      </c>
      <c r="AL195" s="3">
        <v>1</v>
      </c>
      <c r="AM195" s="3">
        <v>4</v>
      </c>
      <c r="AN195" s="3">
        <v>0</v>
      </c>
      <c r="AO195" s="3">
        <v>1</v>
      </c>
      <c r="AP195" s="3">
        <v>0</v>
      </c>
      <c r="AQ195" s="3">
        <v>0</v>
      </c>
      <c r="AR195" s="2" t="s">
        <v>63</v>
      </c>
      <c r="AS195" s="2" t="s">
        <v>76</v>
      </c>
      <c r="AT195" s="5" t="str">
        <f>HYPERLINK("http://catalog.hathitrust.org/Record/000138934","HathiTrust Record")</f>
        <v>HathiTrust Record</v>
      </c>
      <c r="AU195" s="5" t="str">
        <f>HYPERLINK("https://creighton-primo.hosted.exlibrisgroup.com/primo-explore/search?tab=default_tab&amp;search_scope=EVERYTHING&amp;vid=01CRU&amp;lang=en_US&amp;offset=0&amp;query=any,contains,991001107849702656","Catalog Record")</f>
        <v>Catalog Record</v>
      </c>
      <c r="AV195" s="5" t="str">
        <f>HYPERLINK("http://www.worldcat.org/oclc/6223759","WorldCat Record")</f>
        <v>WorldCat Record</v>
      </c>
      <c r="AW195" s="2" t="s">
        <v>2341</v>
      </c>
      <c r="AX195" s="2" t="s">
        <v>2342</v>
      </c>
      <c r="AY195" s="2" t="s">
        <v>2343</v>
      </c>
      <c r="AZ195" s="2" t="s">
        <v>2343</v>
      </c>
      <c r="BA195" s="2" t="s">
        <v>2344</v>
      </c>
      <c r="BB195" s="2" t="s">
        <v>81</v>
      </c>
      <c r="BD195" s="2" t="s">
        <v>2345</v>
      </c>
      <c r="BE195" s="2" t="s">
        <v>2346</v>
      </c>
      <c r="BF195" s="2" t="s">
        <v>2347</v>
      </c>
    </row>
    <row r="196" spans="1:58" ht="42" customHeight="1">
      <c r="A196" s="1"/>
      <c r="B196" s="1" t="s">
        <v>58</v>
      </c>
      <c r="C196" s="1" t="s">
        <v>59</v>
      </c>
      <c r="D196" s="1" t="s">
        <v>2348</v>
      </c>
      <c r="E196" s="1" t="s">
        <v>2349</v>
      </c>
      <c r="F196" s="1" t="s">
        <v>2350</v>
      </c>
      <c r="H196" s="2" t="s">
        <v>63</v>
      </c>
      <c r="I196" s="2" t="s">
        <v>64</v>
      </c>
      <c r="J196" s="2" t="s">
        <v>63</v>
      </c>
      <c r="K196" s="2" t="s">
        <v>63</v>
      </c>
      <c r="L196" s="2" t="s">
        <v>65</v>
      </c>
      <c r="M196" s="1" t="s">
        <v>2351</v>
      </c>
      <c r="N196" s="1" t="s">
        <v>2352</v>
      </c>
      <c r="O196" s="2" t="s">
        <v>863</v>
      </c>
      <c r="P196" s="1" t="s">
        <v>795</v>
      </c>
      <c r="Q196" s="2" t="s">
        <v>70</v>
      </c>
      <c r="R196" s="2" t="s">
        <v>593</v>
      </c>
      <c r="T196" s="2" t="s">
        <v>73</v>
      </c>
      <c r="U196" s="3">
        <v>22</v>
      </c>
      <c r="V196" s="3">
        <v>22</v>
      </c>
      <c r="W196" s="4" t="s">
        <v>2353</v>
      </c>
      <c r="X196" s="4" t="s">
        <v>2353</v>
      </c>
      <c r="Y196" s="4" t="s">
        <v>2354</v>
      </c>
      <c r="Z196" s="4" t="s">
        <v>2354</v>
      </c>
      <c r="AA196" s="3">
        <v>360</v>
      </c>
      <c r="AB196" s="3">
        <v>277</v>
      </c>
      <c r="AC196" s="3">
        <v>648</v>
      </c>
      <c r="AD196" s="3">
        <v>1</v>
      </c>
      <c r="AE196" s="3">
        <v>5</v>
      </c>
      <c r="AF196" s="3">
        <v>6</v>
      </c>
      <c r="AG196" s="3">
        <v>18</v>
      </c>
      <c r="AH196" s="3">
        <v>1</v>
      </c>
      <c r="AI196" s="3">
        <v>5</v>
      </c>
      <c r="AJ196" s="3">
        <v>3</v>
      </c>
      <c r="AK196" s="3">
        <v>3</v>
      </c>
      <c r="AL196" s="3">
        <v>3</v>
      </c>
      <c r="AM196" s="3">
        <v>9</v>
      </c>
      <c r="AN196" s="3">
        <v>0</v>
      </c>
      <c r="AO196" s="3">
        <v>4</v>
      </c>
      <c r="AP196" s="3">
        <v>0</v>
      </c>
      <c r="AQ196" s="3">
        <v>0</v>
      </c>
      <c r="AR196" s="2" t="s">
        <v>63</v>
      </c>
      <c r="AS196" s="2" t="s">
        <v>76</v>
      </c>
      <c r="AT196" s="5" t="str">
        <f>HYPERLINK("http://catalog.hathitrust.org/Record/000869296","HathiTrust Record")</f>
        <v>HathiTrust Record</v>
      </c>
      <c r="AU196" s="5" t="str">
        <f>HYPERLINK("https://creighton-primo.hosted.exlibrisgroup.com/primo-explore/search?tab=default_tab&amp;search_scope=EVERYTHING&amp;vid=01CRU&amp;lang=en_US&amp;offset=0&amp;query=any,contains,991001185669702656","Catalog Record")</f>
        <v>Catalog Record</v>
      </c>
      <c r="AV196" s="5" t="str">
        <f>HYPERLINK("http://www.worldcat.org/oclc/16404321","WorldCat Record")</f>
        <v>WorldCat Record</v>
      </c>
      <c r="AW196" s="2" t="s">
        <v>2355</v>
      </c>
      <c r="AX196" s="2" t="s">
        <v>2356</v>
      </c>
      <c r="AY196" s="2" t="s">
        <v>2357</v>
      </c>
      <c r="AZ196" s="2" t="s">
        <v>2357</v>
      </c>
      <c r="BA196" s="2" t="s">
        <v>2358</v>
      </c>
      <c r="BB196" s="2" t="s">
        <v>81</v>
      </c>
      <c r="BD196" s="2" t="s">
        <v>2359</v>
      </c>
      <c r="BE196" s="2" t="s">
        <v>2360</v>
      </c>
      <c r="BF196" s="2" t="s">
        <v>2361</v>
      </c>
    </row>
    <row r="197" spans="1:58" ht="42" customHeight="1">
      <c r="A197" s="1"/>
      <c r="B197" s="1" t="s">
        <v>58</v>
      </c>
      <c r="C197" s="1" t="s">
        <v>59</v>
      </c>
      <c r="D197" s="1" t="s">
        <v>2362</v>
      </c>
      <c r="E197" s="1" t="s">
        <v>2363</v>
      </c>
      <c r="F197" s="1" t="s">
        <v>2364</v>
      </c>
      <c r="H197" s="2" t="s">
        <v>63</v>
      </c>
      <c r="I197" s="2" t="s">
        <v>64</v>
      </c>
      <c r="J197" s="2" t="s">
        <v>63</v>
      </c>
      <c r="K197" s="2" t="s">
        <v>63</v>
      </c>
      <c r="L197" s="2" t="s">
        <v>65</v>
      </c>
      <c r="N197" s="1" t="s">
        <v>2365</v>
      </c>
      <c r="O197" s="2" t="s">
        <v>68</v>
      </c>
      <c r="P197" s="1" t="s">
        <v>2366</v>
      </c>
      <c r="Q197" s="2" t="s">
        <v>70</v>
      </c>
      <c r="R197" s="2" t="s">
        <v>316</v>
      </c>
      <c r="T197" s="2" t="s">
        <v>73</v>
      </c>
      <c r="U197" s="3">
        <v>45</v>
      </c>
      <c r="V197" s="3">
        <v>45</v>
      </c>
      <c r="W197" s="4" t="s">
        <v>2367</v>
      </c>
      <c r="X197" s="4" t="s">
        <v>2367</v>
      </c>
      <c r="Y197" s="4" t="s">
        <v>2368</v>
      </c>
      <c r="Z197" s="4" t="s">
        <v>2368</v>
      </c>
      <c r="AA197" s="3">
        <v>227</v>
      </c>
      <c r="AB197" s="3">
        <v>165</v>
      </c>
      <c r="AC197" s="3">
        <v>523</v>
      </c>
      <c r="AD197" s="3">
        <v>1</v>
      </c>
      <c r="AE197" s="3">
        <v>4</v>
      </c>
      <c r="AF197" s="3">
        <v>3</v>
      </c>
      <c r="AG197" s="3">
        <v>13</v>
      </c>
      <c r="AH197" s="3">
        <v>2</v>
      </c>
      <c r="AI197" s="3">
        <v>5</v>
      </c>
      <c r="AJ197" s="3">
        <v>0</v>
      </c>
      <c r="AK197" s="3">
        <v>3</v>
      </c>
      <c r="AL197" s="3">
        <v>2</v>
      </c>
      <c r="AM197" s="3">
        <v>7</v>
      </c>
      <c r="AN197" s="3">
        <v>0</v>
      </c>
      <c r="AO197" s="3">
        <v>2</v>
      </c>
      <c r="AP197" s="3">
        <v>0</v>
      </c>
      <c r="AQ197" s="3">
        <v>0</v>
      </c>
      <c r="AR197" s="2" t="s">
        <v>63</v>
      </c>
      <c r="AS197" s="2" t="s">
        <v>76</v>
      </c>
      <c r="AT197" s="5" t="str">
        <f>HYPERLINK("http://catalog.hathitrust.org/Record/002818410","HathiTrust Record")</f>
        <v>HathiTrust Record</v>
      </c>
      <c r="AU197" s="5" t="str">
        <f>HYPERLINK("https://creighton-primo.hosted.exlibrisgroup.com/primo-explore/search?tab=default_tab&amp;search_scope=EVERYTHING&amp;vid=01CRU&amp;lang=en_US&amp;offset=0&amp;query=any,contains,991000669859702656","Catalog Record")</f>
        <v>Catalog Record</v>
      </c>
      <c r="AV197" s="5" t="str">
        <f>HYPERLINK("http://www.worldcat.org/oclc/30056267","WorldCat Record")</f>
        <v>WorldCat Record</v>
      </c>
      <c r="AW197" s="2" t="s">
        <v>2369</v>
      </c>
      <c r="AX197" s="2" t="s">
        <v>2370</v>
      </c>
      <c r="AY197" s="2" t="s">
        <v>2371</v>
      </c>
      <c r="AZ197" s="2" t="s">
        <v>2371</v>
      </c>
      <c r="BA197" s="2" t="s">
        <v>2372</v>
      </c>
      <c r="BB197" s="2" t="s">
        <v>81</v>
      </c>
      <c r="BD197" s="2" t="s">
        <v>2373</v>
      </c>
      <c r="BE197" s="2" t="s">
        <v>2374</v>
      </c>
      <c r="BF197" s="2" t="s">
        <v>2375</v>
      </c>
    </row>
    <row r="198" spans="1:58" ht="42" customHeight="1">
      <c r="A198" s="1"/>
      <c r="B198" s="1" t="s">
        <v>58</v>
      </c>
      <c r="C198" s="1" t="s">
        <v>59</v>
      </c>
      <c r="D198" s="1" t="s">
        <v>2376</v>
      </c>
      <c r="E198" s="1" t="s">
        <v>2377</v>
      </c>
      <c r="F198" s="1" t="s">
        <v>2378</v>
      </c>
      <c r="H198" s="2" t="s">
        <v>63</v>
      </c>
      <c r="I198" s="2" t="s">
        <v>64</v>
      </c>
      <c r="J198" s="2" t="s">
        <v>63</v>
      </c>
      <c r="K198" s="2" t="s">
        <v>76</v>
      </c>
      <c r="L198" s="2" t="s">
        <v>65</v>
      </c>
      <c r="M198" s="1" t="s">
        <v>2379</v>
      </c>
      <c r="N198" s="1" t="s">
        <v>2380</v>
      </c>
      <c r="O198" s="2" t="s">
        <v>550</v>
      </c>
      <c r="Q198" s="2" t="s">
        <v>70</v>
      </c>
      <c r="R198" s="2" t="s">
        <v>246</v>
      </c>
      <c r="T198" s="2" t="s">
        <v>73</v>
      </c>
      <c r="U198" s="3">
        <v>2</v>
      </c>
      <c r="V198" s="3">
        <v>2</v>
      </c>
      <c r="W198" s="4" t="s">
        <v>2381</v>
      </c>
      <c r="X198" s="4" t="s">
        <v>2381</v>
      </c>
      <c r="Y198" s="4" t="s">
        <v>2110</v>
      </c>
      <c r="Z198" s="4" t="s">
        <v>2110</v>
      </c>
      <c r="AA198" s="3">
        <v>260</v>
      </c>
      <c r="AB198" s="3">
        <v>181</v>
      </c>
      <c r="AC198" s="3">
        <v>472</v>
      </c>
      <c r="AD198" s="3">
        <v>2</v>
      </c>
      <c r="AE198" s="3">
        <v>4</v>
      </c>
      <c r="AF198" s="3">
        <v>6</v>
      </c>
      <c r="AG198" s="3">
        <v>15</v>
      </c>
      <c r="AH198" s="3">
        <v>1</v>
      </c>
      <c r="AI198" s="3">
        <v>6</v>
      </c>
      <c r="AJ198" s="3">
        <v>2</v>
      </c>
      <c r="AK198" s="3">
        <v>4</v>
      </c>
      <c r="AL198" s="3">
        <v>3</v>
      </c>
      <c r="AM198" s="3">
        <v>7</v>
      </c>
      <c r="AN198" s="3">
        <v>1</v>
      </c>
      <c r="AO198" s="3">
        <v>2</v>
      </c>
      <c r="AP198" s="3">
        <v>0</v>
      </c>
      <c r="AQ198" s="3">
        <v>0</v>
      </c>
      <c r="AR198" s="2" t="s">
        <v>63</v>
      </c>
      <c r="AS198" s="2" t="s">
        <v>76</v>
      </c>
      <c r="AT198" s="5" t="str">
        <f>HYPERLINK("http://catalog.hathitrust.org/Record/001565442","HathiTrust Record")</f>
        <v>HathiTrust Record</v>
      </c>
      <c r="AU198" s="5" t="str">
        <f>HYPERLINK("https://creighton-primo.hosted.exlibrisgroup.com/primo-explore/search?tab=default_tab&amp;search_scope=EVERYTHING&amp;vid=01CRU&amp;lang=en_US&amp;offset=0&amp;query=any,contains,991001107579702656","Catalog Record")</f>
        <v>Catalog Record</v>
      </c>
      <c r="AV198" s="5" t="str">
        <f>HYPERLINK("http://www.worldcat.org/oclc/200383","WorldCat Record")</f>
        <v>WorldCat Record</v>
      </c>
      <c r="AW198" s="2" t="s">
        <v>2382</v>
      </c>
      <c r="AX198" s="2" t="s">
        <v>2383</v>
      </c>
      <c r="AY198" s="2" t="s">
        <v>2384</v>
      </c>
      <c r="AZ198" s="2" t="s">
        <v>2384</v>
      </c>
      <c r="BA198" s="2" t="s">
        <v>2385</v>
      </c>
      <c r="BB198" s="2" t="s">
        <v>81</v>
      </c>
      <c r="BD198" s="2" t="s">
        <v>2386</v>
      </c>
      <c r="BE198" s="2" t="s">
        <v>2387</v>
      </c>
      <c r="BF198" s="2" t="s">
        <v>2388</v>
      </c>
    </row>
    <row r="199" spans="1:58" ht="42" customHeight="1">
      <c r="A199" s="1"/>
      <c r="B199" s="1" t="s">
        <v>58</v>
      </c>
      <c r="C199" s="1" t="s">
        <v>59</v>
      </c>
      <c r="D199" s="1" t="s">
        <v>2389</v>
      </c>
      <c r="E199" s="1" t="s">
        <v>2390</v>
      </c>
      <c r="F199" s="1" t="s">
        <v>2391</v>
      </c>
      <c r="H199" s="2" t="s">
        <v>63</v>
      </c>
      <c r="I199" s="2" t="s">
        <v>64</v>
      </c>
      <c r="J199" s="2" t="s">
        <v>63</v>
      </c>
      <c r="K199" s="2" t="s">
        <v>63</v>
      </c>
      <c r="L199" s="2" t="s">
        <v>65</v>
      </c>
      <c r="M199" s="1" t="s">
        <v>2392</v>
      </c>
      <c r="N199" s="1" t="s">
        <v>2393</v>
      </c>
      <c r="O199" s="2" t="s">
        <v>106</v>
      </c>
      <c r="P199" s="1" t="s">
        <v>231</v>
      </c>
      <c r="Q199" s="2" t="s">
        <v>70</v>
      </c>
      <c r="R199" s="2" t="s">
        <v>153</v>
      </c>
      <c r="T199" s="2" t="s">
        <v>73</v>
      </c>
      <c r="U199" s="3">
        <v>9</v>
      </c>
      <c r="V199" s="3">
        <v>9</v>
      </c>
      <c r="W199" s="4" t="s">
        <v>2394</v>
      </c>
      <c r="X199" s="4" t="s">
        <v>2394</v>
      </c>
      <c r="Y199" s="4" t="s">
        <v>2395</v>
      </c>
      <c r="Z199" s="4" t="s">
        <v>2395</v>
      </c>
      <c r="AA199" s="3">
        <v>234</v>
      </c>
      <c r="AB199" s="3">
        <v>159</v>
      </c>
      <c r="AC199" s="3">
        <v>280</v>
      </c>
      <c r="AD199" s="3">
        <v>1</v>
      </c>
      <c r="AE199" s="3">
        <v>1</v>
      </c>
      <c r="AF199" s="3">
        <v>4</v>
      </c>
      <c r="AG199" s="3">
        <v>7</v>
      </c>
      <c r="AH199" s="3">
        <v>1</v>
      </c>
      <c r="AI199" s="3">
        <v>2</v>
      </c>
      <c r="AJ199" s="3">
        <v>3</v>
      </c>
      <c r="AK199" s="3">
        <v>4</v>
      </c>
      <c r="AL199" s="3">
        <v>2</v>
      </c>
      <c r="AM199" s="3">
        <v>5</v>
      </c>
      <c r="AN199" s="3">
        <v>0</v>
      </c>
      <c r="AO199" s="3">
        <v>0</v>
      </c>
      <c r="AP199" s="3">
        <v>0</v>
      </c>
      <c r="AQ199" s="3">
        <v>0</v>
      </c>
      <c r="AR199" s="2" t="s">
        <v>63</v>
      </c>
      <c r="AS199" s="2" t="s">
        <v>76</v>
      </c>
      <c r="AT199" s="5" t="str">
        <f>HYPERLINK("http://catalog.hathitrust.org/Record/000124031","HathiTrust Record")</f>
        <v>HathiTrust Record</v>
      </c>
      <c r="AU199" s="5" t="str">
        <f>HYPERLINK("https://creighton-primo.hosted.exlibrisgroup.com/primo-explore/search?tab=default_tab&amp;search_scope=EVERYTHING&amp;vid=01CRU&amp;lang=en_US&amp;offset=0&amp;query=any,contains,991001271319702656","Catalog Record")</f>
        <v>Catalog Record</v>
      </c>
      <c r="AV199" s="5" t="str">
        <f>HYPERLINK("http://www.worldcat.org/oclc/10723028","WorldCat Record")</f>
        <v>WorldCat Record</v>
      </c>
      <c r="AW199" s="2" t="s">
        <v>2396</v>
      </c>
      <c r="AX199" s="2" t="s">
        <v>2397</v>
      </c>
      <c r="AY199" s="2" t="s">
        <v>2398</v>
      </c>
      <c r="AZ199" s="2" t="s">
        <v>2398</v>
      </c>
      <c r="BA199" s="2" t="s">
        <v>2399</v>
      </c>
      <c r="BB199" s="2" t="s">
        <v>81</v>
      </c>
      <c r="BD199" s="2" t="s">
        <v>2400</v>
      </c>
      <c r="BE199" s="2" t="s">
        <v>2401</v>
      </c>
      <c r="BF199" s="2" t="s">
        <v>2402</v>
      </c>
    </row>
    <row r="200" spans="1:58" ht="42" customHeight="1">
      <c r="A200" s="1"/>
      <c r="B200" s="1" t="s">
        <v>58</v>
      </c>
      <c r="C200" s="1" t="s">
        <v>59</v>
      </c>
      <c r="D200" s="1" t="s">
        <v>2403</v>
      </c>
      <c r="E200" s="1" t="s">
        <v>2404</v>
      </c>
      <c r="F200" s="1" t="s">
        <v>2405</v>
      </c>
      <c r="H200" s="2" t="s">
        <v>63</v>
      </c>
      <c r="I200" s="2" t="s">
        <v>64</v>
      </c>
      <c r="J200" s="2" t="s">
        <v>63</v>
      </c>
      <c r="K200" s="2" t="s">
        <v>76</v>
      </c>
      <c r="L200" s="2" t="s">
        <v>65</v>
      </c>
      <c r="M200" s="1" t="s">
        <v>2406</v>
      </c>
      <c r="N200" s="1" t="s">
        <v>2407</v>
      </c>
      <c r="O200" s="2" t="s">
        <v>1034</v>
      </c>
      <c r="P200" s="1" t="s">
        <v>245</v>
      </c>
      <c r="Q200" s="2" t="s">
        <v>70</v>
      </c>
      <c r="R200" s="2" t="s">
        <v>422</v>
      </c>
      <c r="T200" s="2" t="s">
        <v>73</v>
      </c>
      <c r="U200" s="3">
        <v>132</v>
      </c>
      <c r="V200" s="3">
        <v>132</v>
      </c>
      <c r="W200" s="4" t="s">
        <v>2408</v>
      </c>
      <c r="X200" s="4" t="s">
        <v>2408</v>
      </c>
      <c r="Y200" s="4" t="s">
        <v>1124</v>
      </c>
      <c r="Z200" s="4" t="s">
        <v>1124</v>
      </c>
      <c r="AA200" s="3">
        <v>338</v>
      </c>
      <c r="AB200" s="3">
        <v>225</v>
      </c>
      <c r="AC200" s="3">
        <v>1126</v>
      </c>
      <c r="AD200" s="3">
        <v>1</v>
      </c>
      <c r="AE200" s="3">
        <v>9</v>
      </c>
      <c r="AF200" s="3">
        <v>5</v>
      </c>
      <c r="AG200" s="3">
        <v>47</v>
      </c>
      <c r="AH200" s="3">
        <v>2</v>
      </c>
      <c r="AI200" s="3">
        <v>17</v>
      </c>
      <c r="AJ200" s="3">
        <v>1</v>
      </c>
      <c r="AK200" s="3">
        <v>10</v>
      </c>
      <c r="AL200" s="3">
        <v>3</v>
      </c>
      <c r="AM200" s="3">
        <v>19</v>
      </c>
      <c r="AN200" s="3">
        <v>0</v>
      </c>
      <c r="AO200" s="3">
        <v>8</v>
      </c>
      <c r="AP200" s="3">
        <v>0</v>
      </c>
      <c r="AQ200" s="3">
        <v>1</v>
      </c>
      <c r="AR200" s="2" t="s">
        <v>63</v>
      </c>
      <c r="AS200" s="2" t="s">
        <v>63</v>
      </c>
      <c r="AU200" s="5" t="str">
        <f>HYPERLINK("https://creighton-primo.hosted.exlibrisgroup.com/primo-explore/search?tab=default_tab&amp;search_scope=EVERYTHING&amp;vid=01CRU&amp;lang=en_US&amp;offset=0&amp;query=any,contains,991000836329702656","Catalog Record")</f>
        <v>Catalog Record</v>
      </c>
      <c r="AV200" s="5" t="str">
        <f>HYPERLINK("http://www.worldcat.org/oclc/34080886","WorldCat Record")</f>
        <v>WorldCat Record</v>
      </c>
      <c r="AW200" s="2" t="s">
        <v>2409</v>
      </c>
      <c r="AX200" s="2" t="s">
        <v>2410</v>
      </c>
      <c r="AY200" s="2" t="s">
        <v>2411</v>
      </c>
      <c r="AZ200" s="2" t="s">
        <v>2411</v>
      </c>
      <c r="BA200" s="2" t="s">
        <v>2412</v>
      </c>
      <c r="BB200" s="2" t="s">
        <v>81</v>
      </c>
      <c r="BD200" s="2" t="s">
        <v>2413</v>
      </c>
      <c r="BE200" s="2" t="s">
        <v>2414</v>
      </c>
      <c r="BF200" s="2" t="s">
        <v>2415</v>
      </c>
    </row>
    <row r="201" spans="1:58" ht="42" customHeight="1">
      <c r="A201" s="1"/>
      <c r="B201" s="1" t="s">
        <v>58</v>
      </c>
      <c r="C201" s="1" t="s">
        <v>59</v>
      </c>
      <c r="D201" s="1" t="s">
        <v>2416</v>
      </c>
      <c r="E201" s="1" t="s">
        <v>2417</v>
      </c>
      <c r="F201" s="1" t="s">
        <v>2418</v>
      </c>
      <c r="H201" s="2" t="s">
        <v>63</v>
      </c>
      <c r="I201" s="2" t="s">
        <v>64</v>
      </c>
      <c r="J201" s="2" t="s">
        <v>63</v>
      </c>
      <c r="K201" s="2" t="s">
        <v>63</v>
      </c>
      <c r="L201" s="2" t="s">
        <v>65</v>
      </c>
      <c r="M201" s="1" t="s">
        <v>2419</v>
      </c>
      <c r="N201" s="1" t="s">
        <v>2420</v>
      </c>
      <c r="O201" s="2" t="s">
        <v>449</v>
      </c>
      <c r="P201" s="1" t="s">
        <v>245</v>
      </c>
      <c r="Q201" s="2" t="s">
        <v>70</v>
      </c>
      <c r="R201" s="2" t="s">
        <v>422</v>
      </c>
      <c r="T201" s="2" t="s">
        <v>73</v>
      </c>
      <c r="U201" s="3">
        <v>3</v>
      </c>
      <c r="V201" s="3">
        <v>3</v>
      </c>
      <c r="W201" s="4" t="s">
        <v>2421</v>
      </c>
      <c r="X201" s="4" t="s">
        <v>2421</v>
      </c>
      <c r="Y201" s="4" t="s">
        <v>2422</v>
      </c>
      <c r="Z201" s="4" t="s">
        <v>2422</v>
      </c>
      <c r="AA201" s="3">
        <v>205</v>
      </c>
      <c r="AB201" s="3">
        <v>152</v>
      </c>
      <c r="AC201" s="3">
        <v>506</v>
      </c>
      <c r="AD201" s="3">
        <v>1</v>
      </c>
      <c r="AE201" s="3">
        <v>6</v>
      </c>
      <c r="AF201" s="3">
        <v>8</v>
      </c>
      <c r="AG201" s="3">
        <v>29</v>
      </c>
      <c r="AH201" s="3">
        <v>3</v>
      </c>
      <c r="AI201" s="3">
        <v>10</v>
      </c>
      <c r="AJ201" s="3">
        <v>4</v>
      </c>
      <c r="AK201" s="3">
        <v>6</v>
      </c>
      <c r="AL201" s="3">
        <v>4</v>
      </c>
      <c r="AM201" s="3">
        <v>13</v>
      </c>
      <c r="AN201" s="3">
        <v>0</v>
      </c>
      <c r="AO201" s="3">
        <v>5</v>
      </c>
      <c r="AP201" s="3">
        <v>0</v>
      </c>
      <c r="AQ201" s="3">
        <v>0</v>
      </c>
      <c r="AR201" s="2" t="s">
        <v>63</v>
      </c>
      <c r="AS201" s="2" t="s">
        <v>76</v>
      </c>
      <c r="AT201" s="5" t="str">
        <f>HYPERLINK("http://catalog.hathitrust.org/Record/000400057","HathiTrust Record")</f>
        <v>HathiTrust Record</v>
      </c>
      <c r="AU201" s="5" t="str">
        <f>HYPERLINK("https://creighton-primo.hosted.exlibrisgroup.com/primo-explore/search?tab=default_tab&amp;search_scope=EVERYTHING&amp;vid=01CRU&amp;lang=en_US&amp;offset=0&amp;query=any,contains,991001107279702656","Catalog Record")</f>
        <v>Catalog Record</v>
      </c>
      <c r="AV201" s="5" t="str">
        <f>HYPERLINK("http://www.worldcat.org/oclc/13063030","WorldCat Record")</f>
        <v>WorldCat Record</v>
      </c>
      <c r="AW201" s="2" t="s">
        <v>2423</v>
      </c>
      <c r="AX201" s="2" t="s">
        <v>2424</v>
      </c>
      <c r="AY201" s="2" t="s">
        <v>2425</v>
      </c>
      <c r="AZ201" s="2" t="s">
        <v>2425</v>
      </c>
      <c r="BA201" s="2" t="s">
        <v>2426</v>
      </c>
      <c r="BB201" s="2" t="s">
        <v>81</v>
      </c>
      <c r="BD201" s="2" t="s">
        <v>2427</v>
      </c>
      <c r="BE201" s="2" t="s">
        <v>2428</v>
      </c>
      <c r="BF201" s="2" t="s">
        <v>2429</v>
      </c>
    </row>
    <row r="202" spans="1:58" ht="42" customHeight="1">
      <c r="A202" s="1"/>
      <c r="B202" s="1" t="s">
        <v>58</v>
      </c>
      <c r="C202" s="1" t="s">
        <v>59</v>
      </c>
      <c r="D202" s="1" t="s">
        <v>2430</v>
      </c>
      <c r="E202" s="1" t="s">
        <v>2431</v>
      </c>
      <c r="F202" s="1" t="s">
        <v>2432</v>
      </c>
      <c r="H202" s="2" t="s">
        <v>63</v>
      </c>
      <c r="I202" s="2" t="s">
        <v>64</v>
      </c>
      <c r="J202" s="2" t="s">
        <v>63</v>
      </c>
      <c r="K202" s="2" t="s">
        <v>63</v>
      </c>
      <c r="L202" s="2" t="s">
        <v>65</v>
      </c>
      <c r="N202" s="1" t="s">
        <v>2433</v>
      </c>
      <c r="O202" s="2" t="s">
        <v>106</v>
      </c>
      <c r="Q202" s="2" t="s">
        <v>70</v>
      </c>
      <c r="R202" s="2" t="s">
        <v>153</v>
      </c>
      <c r="T202" s="2" t="s">
        <v>73</v>
      </c>
      <c r="U202" s="3">
        <v>6</v>
      </c>
      <c r="V202" s="3">
        <v>6</v>
      </c>
      <c r="W202" s="4" t="s">
        <v>2434</v>
      </c>
      <c r="X202" s="4" t="s">
        <v>2434</v>
      </c>
      <c r="Y202" s="4" t="s">
        <v>2110</v>
      </c>
      <c r="Z202" s="4" t="s">
        <v>2110</v>
      </c>
      <c r="AA202" s="3">
        <v>119</v>
      </c>
      <c r="AB202" s="3">
        <v>92</v>
      </c>
      <c r="AC202" s="3">
        <v>94</v>
      </c>
      <c r="AD202" s="3">
        <v>1</v>
      </c>
      <c r="AE202" s="3">
        <v>1</v>
      </c>
      <c r="AF202" s="3">
        <v>1</v>
      </c>
      <c r="AG202" s="3">
        <v>1</v>
      </c>
      <c r="AH202" s="3">
        <v>0</v>
      </c>
      <c r="AI202" s="3">
        <v>0</v>
      </c>
      <c r="AJ202" s="3">
        <v>1</v>
      </c>
      <c r="AK202" s="3">
        <v>1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2" t="s">
        <v>63</v>
      </c>
      <c r="AS202" s="2" t="s">
        <v>76</v>
      </c>
      <c r="AT202" s="5" t="str">
        <f>HYPERLINK("http://catalog.hathitrust.org/Record/000285112","HathiTrust Record")</f>
        <v>HathiTrust Record</v>
      </c>
      <c r="AU202" s="5" t="str">
        <f>HYPERLINK("https://creighton-primo.hosted.exlibrisgroup.com/primo-explore/search?tab=default_tab&amp;search_scope=EVERYTHING&amp;vid=01CRU&amp;lang=en_US&amp;offset=0&amp;query=any,contains,991001106349702656","Catalog Record")</f>
        <v>Catalog Record</v>
      </c>
      <c r="AV202" s="5" t="str">
        <f>HYPERLINK("http://www.worldcat.org/oclc/9828315","WorldCat Record")</f>
        <v>WorldCat Record</v>
      </c>
      <c r="AW202" s="2" t="s">
        <v>2435</v>
      </c>
      <c r="AX202" s="2" t="s">
        <v>2436</v>
      </c>
      <c r="AY202" s="2" t="s">
        <v>2437</v>
      </c>
      <c r="AZ202" s="2" t="s">
        <v>2437</v>
      </c>
      <c r="BA202" s="2" t="s">
        <v>2438</v>
      </c>
      <c r="BB202" s="2" t="s">
        <v>81</v>
      </c>
      <c r="BD202" s="2" t="s">
        <v>2439</v>
      </c>
      <c r="BE202" s="2" t="s">
        <v>2440</v>
      </c>
      <c r="BF202" s="2" t="s">
        <v>2441</v>
      </c>
    </row>
    <row r="203" spans="1:58" ht="42" customHeight="1">
      <c r="A203" s="1"/>
      <c r="B203" s="1" t="s">
        <v>58</v>
      </c>
      <c r="C203" s="1" t="s">
        <v>59</v>
      </c>
      <c r="D203" s="1" t="s">
        <v>2442</v>
      </c>
      <c r="E203" s="1" t="s">
        <v>2443</v>
      </c>
      <c r="F203" s="1" t="s">
        <v>2444</v>
      </c>
      <c r="H203" s="2" t="s">
        <v>63</v>
      </c>
      <c r="I203" s="2" t="s">
        <v>64</v>
      </c>
      <c r="J203" s="2" t="s">
        <v>63</v>
      </c>
      <c r="K203" s="2" t="s">
        <v>63</v>
      </c>
      <c r="L203" s="2" t="s">
        <v>65</v>
      </c>
      <c r="N203" s="1" t="s">
        <v>2445</v>
      </c>
      <c r="O203" s="2" t="s">
        <v>878</v>
      </c>
      <c r="P203" s="1" t="s">
        <v>231</v>
      </c>
      <c r="Q203" s="2" t="s">
        <v>70</v>
      </c>
      <c r="R203" s="2" t="s">
        <v>246</v>
      </c>
      <c r="T203" s="2" t="s">
        <v>73</v>
      </c>
      <c r="U203" s="3">
        <v>20</v>
      </c>
      <c r="V203" s="3">
        <v>20</v>
      </c>
      <c r="W203" s="4" t="s">
        <v>2446</v>
      </c>
      <c r="X203" s="4" t="s">
        <v>2446</v>
      </c>
      <c r="Y203" s="4" t="s">
        <v>2447</v>
      </c>
      <c r="Z203" s="4" t="s">
        <v>2447</v>
      </c>
      <c r="AA203" s="3">
        <v>202</v>
      </c>
      <c r="AB203" s="3">
        <v>150</v>
      </c>
      <c r="AC203" s="3">
        <v>211</v>
      </c>
      <c r="AD203" s="3">
        <v>1</v>
      </c>
      <c r="AE203" s="3">
        <v>2</v>
      </c>
      <c r="AF203" s="3">
        <v>4</v>
      </c>
      <c r="AG203" s="3">
        <v>5</v>
      </c>
      <c r="AH203" s="3">
        <v>2</v>
      </c>
      <c r="AI203" s="3">
        <v>2</v>
      </c>
      <c r="AJ203" s="3">
        <v>2</v>
      </c>
      <c r="AK203" s="3">
        <v>2</v>
      </c>
      <c r="AL203" s="3">
        <v>2</v>
      </c>
      <c r="AM203" s="3">
        <v>2</v>
      </c>
      <c r="AN203" s="3">
        <v>0</v>
      </c>
      <c r="AO203" s="3">
        <v>1</v>
      </c>
      <c r="AP203" s="3">
        <v>0</v>
      </c>
      <c r="AQ203" s="3">
        <v>0</v>
      </c>
      <c r="AR203" s="2" t="s">
        <v>63</v>
      </c>
      <c r="AS203" s="2" t="s">
        <v>76</v>
      </c>
      <c r="AT203" s="5" t="str">
        <f>HYPERLINK("http://catalog.hathitrust.org/Record/003144431","HathiTrust Record")</f>
        <v>HathiTrust Record</v>
      </c>
      <c r="AU203" s="5" t="str">
        <f>HYPERLINK("https://creighton-primo.hosted.exlibrisgroup.com/primo-explore/search?tab=default_tab&amp;search_scope=EVERYTHING&amp;vid=01CRU&amp;lang=en_US&amp;offset=0&amp;query=any,contains,991000840039702656","Catalog Record")</f>
        <v>Catalog Record</v>
      </c>
      <c r="AV203" s="5" t="str">
        <f>HYPERLINK("http://www.worldcat.org/oclc/35928653","WorldCat Record")</f>
        <v>WorldCat Record</v>
      </c>
      <c r="AW203" s="2" t="s">
        <v>2448</v>
      </c>
      <c r="AX203" s="2" t="s">
        <v>2449</v>
      </c>
      <c r="AY203" s="2" t="s">
        <v>2450</v>
      </c>
      <c r="AZ203" s="2" t="s">
        <v>2450</v>
      </c>
      <c r="BA203" s="2" t="s">
        <v>2451</v>
      </c>
      <c r="BB203" s="2" t="s">
        <v>81</v>
      </c>
      <c r="BD203" s="2" t="s">
        <v>2452</v>
      </c>
      <c r="BE203" s="2" t="s">
        <v>2453</v>
      </c>
      <c r="BF203" s="2" t="s">
        <v>2454</v>
      </c>
    </row>
    <row r="204" spans="1:58" ht="42" customHeight="1">
      <c r="A204" s="1"/>
      <c r="B204" s="1" t="s">
        <v>58</v>
      </c>
      <c r="C204" s="1" t="s">
        <v>59</v>
      </c>
      <c r="D204" s="1" t="s">
        <v>2455</v>
      </c>
      <c r="E204" s="1" t="s">
        <v>2456</v>
      </c>
      <c r="F204" s="1" t="s">
        <v>2457</v>
      </c>
      <c r="G204" s="2" t="s">
        <v>384</v>
      </c>
      <c r="H204" s="2" t="s">
        <v>76</v>
      </c>
      <c r="I204" s="2" t="s">
        <v>64</v>
      </c>
      <c r="J204" s="2" t="s">
        <v>63</v>
      </c>
      <c r="K204" s="2" t="s">
        <v>76</v>
      </c>
      <c r="L204" s="2" t="s">
        <v>312</v>
      </c>
      <c r="N204" s="1" t="s">
        <v>2458</v>
      </c>
      <c r="O204" s="2" t="s">
        <v>1688</v>
      </c>
      <c r="P204" s="1" t="s">
        <v>231</v>
      </c>
      <c r="Q204" s="2" t="s">
        <v>70</v>
      </c>
      <c r="R204" s="2" t="s">
        <v>509</v>
      </c>
      <c r="T204" s="2" t="s">
        <v>73</v>
      </c>
      <c r="U204" s="3">
        <v>10</v>
      </c>
      <c r="V204" s="3">
        <v>16</v>
      </c>
      <c r="W204" s="4" t="s">
        <v>2459</v>
      </c>
      <c r="X204" s="4" t="s">
        <v>2460</v>
      </c>
      <c r="Y204" s="4" t="s">
        <v>2461</v>
      </c>
      <c r="Z204" s="4" t="s">
        <v>2461</v>
      </c>
      <c r="AA204" s="3">
        <v>172</v>
      </c>
      <c r="AB204" s="3">
        <v>117</v>
      </c>
      <c r="AC204" s="3">
        <v>428</v>
      </c>
      <c r="AD204" s="3">
        <v>1</v>
      </c>
      <c r="AE204" s="3">
        <v>4</v>
      </c>
      <c r="AF204" s="3">
        <v>0</v>
      </c>
      <c r="AG204" s="3">
        <v>12</v>
      </c>
      <c r="AH204" s="3">
        <v>0</v>
      </c>
      <c r="AI204" s="3">
        <v>3</v>
      </c>
      <c r="AJ204" s="3">
        <v>0</v>
      </c>
      <c r="AK204" s="3">
        <v>3</v>
      </c>
      <c r="AL204" s="3">
        <v>0</v>
      </c>
      <c r="AM204" s="3">
        <v>6</v>
      </c>
      <c r="AN204" s="3">
        <v>0</v>
      </c>
      <c r="AO204" s="3">
        <v>3</v>
      </c>
      <c r="AP204" s="3">
        <v>0</v>
      </c>
      <c r="AQ204" s="3">
        <v>0</v>
      </c>
      <c r="AR204" s="2" t="s">
        <v>63</v>
      </c>
      <c r="AS204" s="2" t="s">
        <v>76</v>
      </c>
      <c r="AT204" s="5" t="str">
        <f>HYPERLINK("http://catalog.hathitrust.org/Record/004207853","HathiTrust Record")</f>
        <v>HathiTrust Record</v>
      </c>
      <c r="AU204" s="5" t="str">
        <f>HYPERLINK("https://creighton-primo.hosted.exlibrisgroup.com/primo-explore/search?tab=default_tab&amp;search_scope=EVERYTHING&amp;vid=01CRU&amp;lang=en_US&amp;offset=0&amp;query=any,contains,991000348909702656","Catalog Record")</f>
        <v>Catalog Record</v>
      </c>
      <c r="AV204" s="5" t="str">
        <f>HYPERLINK("http://www.worldcat.org/oclc/46944781","WorldCat Record")</f>
        <v>WorldCat Record</v>
      </c>
      <c r="AW204" s="2" t="s">
        <v>2462</v>
      </c>
      <c r="AX204" s="2" t="s">
        <v>2463</v>
      </c>
      <c r="AY204" s="2" t="s">
        <v>2464</v>
      </c>
      <c r="AZ204" s="2" t="s">
        <v>2464</v>
      </c>
      <c r="BA204" s="2" t="s">
        <v>2465</v>
      </c>
      <c r="BB204" s="2" t="s">
        <v>81</v>
      </c>
      <c r="BD204" s="2" t="s">
        <v>2466</v>
      </c>
      <c r="BE204" s="2" t="s">
        <v>2467</v>
      </c>
      <c r="BF204" s="2" t="s">
        <v>2468</v>
      </c>
    </row>
    <row r="205" spans="1:58" ht="42" customHeight="1">
      <c r="A205" s="1"/>
      <c r="B205" s="1" t="s">
        <v>58</v>
      </c>
      <c r="C205" s="1" t="s">
        <v>59</v>
      </c>
      <c r="D205" s="1" t="s">
        <v>2455</v>
      </c>
      <c r="E205" s="1" t="s">
        <v>2456</v>
      </c>
      <c r="F205" s="1" t="s">
        <v>2457</v>
      </c>
      <c r="G205" s="2" t="s">
        <v>372</v>
      </c>
      <c r="H205" s="2" t="s">
        <v>76</v>
      </c>
      <c r="I205" s="2" t="s">
        <v>64</v>
      </c>
      <c r="J205" s="2" t="s">
        <v>63</v>
      </c>
      <c r="K205" s="2" t="s">
        <v>76</v>
      </c>
      <c r="L205" s="2" t="s">
        <v>312</v>
      </c>
      <c r="N205" s="1" t="s">
        <v>2458</v>
      </c>
      <c r="O205" s="2" t="s">
        <v>1688</v>
      </c>
      <c r="P205" s="1" t="s">
        <v>231</v>
      </c>
      <c r="Q205" s="2" t="s">
        <v>70</v>
      </c>
      <c r="R205" s="2" t="s">
        <v>509</v>
      </c>
      <c r="T205" s="2" t="s">
        <v>73</v>
      </c>
      <c r="U205" s="3">
        <v>6</v>
      </c>
      <c r="V205" s="3">
        <v>16</v>
      </c>
      <c r="W205" s="4" t="s">
        <v>2460</v>
      </c>
      <c r="X205" s="4" t="s">
        <v>2460</v>
      </c>
      <c r="Y205" s="4" t="s">
        <v>2461</v>
      </c>
      <c r="Z205" s="4" t="s">
        <v>2461</v>
      </c>
      <c r="AA205" s="3">
        <v>172</v>
      </c>
      <c r="AB205" s="3">
        <v>117</v>
      </c>
      <c r="AC205" s="3">
        <v>428</v>
      </c>
      <c r="AD205" s="3">
        <v>1</v>
      </c>
      <c r="AE205" s="3">
        <v>4</v>
      </c>
      <c r="AF205" s="3">
        <v>0</v>
      </c>
      <c r="AG205" s="3">
        <v>12</v>
      </c>
      <c r="AH205" s="3">
        <v>0</v>
      </c>
      <c r="AI205" s="3">
        <v>3</v>
      </c>
      <c r="AJ205" s="3">
        <v>0</v>
      </c>
      <c r="AK205" s="3">
        <v>3</v>
      </c>
      <c r="AL205" s="3">
        <v>0</v>
      </c>
      <c r="AM205" s="3">
        <v>6</v>
      </c>
      <c r="AN205" s="3">
        <v>0</v>
      </c>
      <c r="AO205" s="3">
        <v>3</v>
      </c>
      <c r="AP205" s="3">
        <v>0</v>
      </c>
      <c r="AQ205" s="3">
        <v>0</v>
      </c>
      <c r="AR205" s="2" t="s">
        <v>63</v>
      </c>
      <c r="AS205" s="2" t="s">
        <v>76</v>
      </c>
      <c r="AT205" s="5" t="str">
        <f>HYPERLINK("http://catalog.hathitrust.org/Record/004207853","HathiTrust Record")</f>
        <v>HathiTrust Record</v>
      </c>
      <c r="AU205" s="5" t="str">
        <f>HYPERLINK("https://creighton-primo.hosted.exlibrisgroup.com/primo-explore/search?tab=default_tab&amp;search_scope=EVERYTHING&amp;vid=01CRU&amp;lang=en_US&amp;offset=0&amp;query=any,contains,991000348909702656","Catalog Record")</f>
        <v>Catalog Record</v>
      </c>
      <c r="AV205" s="5" t="str">
        <f>HYPERLINK("http://www.worldcat.org/oclc/46944781","WorldCat Record")</f>
        <v>WorldCat Record</v>
      </c>
      <c r="AW205" s="2" t="s">
        <v>2462</v>
      </c>
      <c r="AX205" s="2" t="s">
        <v>2463</v>
      </c>
      <c r="AY205" s="2" t="s">
        <v>2464</v>
      </c>
      <c r="AZ205" s="2" t="s">
        <v>2464</v>
      </c>
      <c r="BA205" s="2" t="s">
        <v>2465</v>
      </c>
      <c r="BB205" s="2" t="s">
        <v>81</v>
      </c>
      <c r="BD205" s="2" t="s">
        <v>2466</v>
      </c>
      <c r="BE205" s="2" t="s">
        <v>2469</v>
      </c>
      <c r="BF205" s="2" t="s">
        <v>2470</v>
      </c>
    </row>
    <row r="206" spans="1:58" ht="42" customHeight="1">
      <c r="A206" s="1"/>
      <c r="B206" s="1" t="s">
        <v>58</v>
      </c>
      <c r="C206" s="1" t="s">
        <v>59</v>
      </c>
      <c r="D206" s="1" t="s">
        <v>2471</v>
      </c>
      <c r="E206" s="1" t="s">
        <v>2472</v>
      </c>
      <c r="F206" s="1" t="s">
        <v>2473</v>
      </c>
      <c r="H206" s="2" t="s">
        <v>63</v>
      </c>
      <c r="I206" s="2" t="s">
        <v>64</v>
      </c>
      <c r="J206" s="2" t="s">
        <v>63</v>
      </c>
      <c r="K206" s="2" t="s">
        <v>63</v>
      </c>
      <c r="L206" s="2" t="s">
        <v>64</v>
      </c>
      <c r="M206" s="1" t="s">
        <v>2474</v>
      </c>
      <c r="N206" s="1" t="s">
        <v>2475</v>
      </c>
      <c r="O206" s="2" t="s">
        <v>563</v>
      </c>
      <c r="Q206" s="2" t="s">
        <v>70</v>
      </c>
      <c r="R206" s="2" t="s">
        <v>71</v>
      </c>
      <c r="T206" s="2" t="s">
        <v>73</v>
      </c>
      <c r="U206" s="3">
        <v>2</v>
      </c>
      <c r="V206" s="3">
        <v>2</v>
      </c>
      <c r="W206" s="4" t="s">
        <v>2476</v>
      </c>
      <c r="X206" s="4" t="s">
        <v>2476</v>
      </c>
      <c r="Y206" s="4" t="s">
        <v>2477</v>
      </c>
      <c r="Z206" s="4" t="s">
        <v>2477</v>
      </c>
      <c r="AA206" s="3">
        <v>323</v>
      </c>
      <c r="AB206" s="3">
        <v>276</v>
      </c>
      <c r="AC206" s="3">
        <v>985</v>
      </c>
      <c r="AD206" s="3">
        <v>3</v>
      </c>
      <c r="AE206" s="3">
        <v>14</v>
      </c>
      <c r="AF206" s="3">
        <v>13</v>
      </c>
      <c r="AG206" s="3">
        <v>36</v>
      </c>
      <c r="AH206" s="3">
        <v>4</v>
      </c>
      <c r="AI206" s="3">
        <v>11</v>
      </c>
      <c r="AJ206" s="3">
        <v>4</v>
      </c>
      <c r="AK206" s="3">
        <v>8</v>
      </c>
      <c r="AL206" s="3">
        <v>7</v>
      </c>
      <c r="AM206" s="3">
        <v>11</v>
      </c>
      <c r="AN206" s="3">
        <v>2</v>
      </c>
      <c r="AO206" s="3">
        <v>12</v>
      </c>
      <c r="AP206" s="3">
        <v>0</v>
      </c>
      <c r="AQ206" s="3">
        <v>1</v>
      </c>
      <c r="AR206" s="2" t="s">
        <v>63</v>
      </c>
      <c r="AS206" s="2" t="s">
        <v>76</v>
      </c>
      <c r="AT206" s="5" t="str">
        <f>HYPERLINK("http://catalog.hathitrust.org/Record/004084850","HathiTrust Record")</f>
        <v>HathiTrust Record</v>
      </c>
      <c r="AU206" s="5" t="str">
        <f>HYPERLINK("https://creighton-primo.hosted.exlibrisgroup.com/primo-explore/search?tab=default_tab&amp;search_scope=EVERYTHING&amp;vid=01CRU&amp;lang=en_US&amp;offset=0&amp;query=any,contains,991000361189702656","Catalog Record")</f>
        <v>Catalog Record</v>
      </c>
      <c r="AV206" s="5" t="str">
        <f>HYPERLINK("http://www.worldcat.org/oclc/44040013","WorldCat Record")</f>
        <v>WorldCat Record</v>
      </c>
      <c r="AW206" s="2" t="s">
        <v>2478</v>
      </c>
      <c r="AX206" s="2" t="s">
        <v>2479</v>
      </c>
      <c r="AY206" s="2" t="s">
        <v>2480</v>
      </c>
      <c r="AZ206" s="2" t="s">
        <v>2480</v>
      </c>
      <c r="BA206" s="2" t="s">
        <v>2481</v>
      </c>
      <c r="BB206" s="2" t="s">
        <v>81</v>
      </c>
      <c r="BD206" s="2" t="s">
        <v>2482</v>
      </c>
      <c r="BE206" s="2" t="s">
        <v>2483</v>
      </c>
      <c r="BF206" s="2" t="s">
        <v>2484</v>
      </c>
    </row>
    <row r="207" spans="1:58" ht="42" customHeight="1">
      <c r="A207" s="1"/>
      <c r="B207" s="1" t="s">
        <v>58</v>
      </c>
      <c r="C207" s="1" t="s">
        <v>59</v>
      </c>
      <c r="D207" s="1" t="s">
        <v>2485</v>
      </c>
      <c r="E207" s="1" t="s">
        <v>2486</v>
      </c>
      <c r="F207" s="1" t="s">
        <v>2487</v>
      </c>
      <c r="G207" s="2" t="s">
        <v>473</v>
      </c>
      <c r="H207" s="2" t="s">
        <v>63</v>
      </c>
      <c r="I207" s="2" t="s">
        <v>64</v>
      </c>
      <c r="J207" s="2" t="s">
        <v>63</v>
      </c>
      <c r="K207" s="2" t="s">
        <v>63</v>
      </c>
      <c r="L207" s="2" t="s">
        <v>65</v>
      </c>
      <c r="N207" s="1" t="s">
        <v>2488</v>
      </c>
      <c r="O207" s="2" t="s">
        <v>1935</v>
      </c>
      <c r="Q207" s="2" t="s">
        <v>70</v>
      </c>
      <c r="R207" s="2" t="s">
        <v>422</v>
      </c>
      <c r="S207" s="1" t="s">
        <v>2489</v>
      </c>
      <c r="T207" s="2" t="s">
        <v>73</v>
      </c>
      <c r="U207" s="3">
        <v>1</v>
      </c>
      <c r="V207" s="3">
        <v>1</v>
      </c>
      <c r="W207" s="4" t="s">
        <v>634</v>
      </c>
      <c r="X207" s="4" t="s">
        <v>634</v>
      </c>
      <c r="Y207" s="4" t="s">
        <v>2110</v>
      </c>
      <c r="Z207" s="4" t="s">
        <v>2110</v>
      </c>
      <c r="AA207" s="3">
        <v>254</v>
      </c>
      <c r="AB207" s="3">
        <v>184</v>
      </c>
      <c r="AC207" s="3">
        <v>202</v>
      </c>
      <c r="AD207" s="3">
        <v>1</v>
      </c>
      <c r="AE207" s="3">
        <v>1</v>
      </c>
      <c r="AF207" s="3">
        <v>6</v>
      </c>
      <c r="AG207" s="3">
        <v>6</v>
      </c>
      <c r="AH207" s="3">
        <v>1</v>
      </c>
      <c r="AI207" s="3">
        <v>1</v>
      </c>
      <c r="AJ207" s="3">
        <v>2</v>
      </c>
      <c r="AK207" s="3">
        <v>2</v>
      </c>
      <c r="AL207" s="3">
        <v>5</v>
      </c>
      <c r="AM207" s="3">
        <v>5</v>
      </c>
      <c r="AN207" s="3">
        <v>0</v>
      </c>
      <c r="AO207" s="3">
        <v>0</v>
      </c>
      <c r="AP207" s="3">
        <v>0</v>
      </c>
      <c r="AQ207" s="3">
        <v>0</v>
      </c>
      <c r="AR207" s="2" t="s">
        <v>63</v>
      </c>
      <c r="AS207" s="2" t="s">
        <v>76</v>
      </c>
      <c r="AT207" s="5" t="str">
        <f>HYPERLINK("http://catalog.hathitrust.org/Record/000293409","HathiTrust Record")</f>
        <v>HathiTrust Record</v>
      </c>
      <c r="AU207" s="5" t="str">
        <f>HYPERLINK("https://creighton-primo.hosted.exlibrisgroup.com/primo-explore/search?tab=default_tab&amp;search_scope=EVERYTHING&amp;vid=01CRU&amp;lang=en_US&amp;offset=0&amp;query=any,contains,991001106759702656","Catalog Record")</f>
        <v>Catalog Record</v>
      </c>
      <c r="AV207" s="5" t="str">
        <f>HYPERLINK("http://www.worldcat.org/oclc/3167656","WorldCat Record")</f>
        <v>WorldCat Record</v>
      </c>
      <c r="AW207" s="2" t="s">
        <v>2490</v>
      </c>
      <c r="AX207" s="2" t="s">
        <v>2491</v>
      </c>
      <c r="AY207" s="2" t="s">
        <v>2492</v>
      </c>
      <c r="AZ207" s="2" t="s">
        <v>2492</v>
      </c>
      <c r="BA207" s="2" t="s">
        <v>2493</v>
      </c>
      <c r="BB207" s="2" t="s">
        <v>81</v>
      </c>
      <c r="BD207" s="2" t="s">
        <v>2494</v>
      </c>
      <c r="BE207" s="2" t="s">
        <v>2495</v>
      </c>
      <c r="BF207" s="2" t="s">
        <v>2496</v>
      </c>
    </row>
    <row r="208" spans="1:58" ht="42" customHeight="1">
      <c r="A208" s="1"/>
      <c r="B208" s="1" t="s">
        <v>58</v>
      </c>
      <c r="C208" s="1" t="s">
        <v>59</v>
      </c>
      <c r="D208" s="1" t="s">
        <v>2497</v>
      </c>
      <c r="E208" s="1" t="s">
        <v>2498</v>
      </c>
      <c r="F208" s="1" t="s">
        <v>2499</v>
      </c>
      <c r="G208" s="2" t="s">
        <v>2500</v>
      </c>
      <c r="H208" s="2" t="s">
        <v>63</v>
      </c>
      <c r="I208" s="2" t="s">
        <v>64</v>
      </c>
      <c r="J208" s="2" t="s">
        <v>63</v>
      </c>
      <c r="K208" s="2" t="s">
        <v>63</v>
      </c>
      <c r="L208" s="2" t="s">
        <v>65</v>
      </c>
      <c r="N208" s="1" t="s">
        <v>2501</v>
      </c>
      <c r="O208" s="2" t="s">
        <v>894</v>
      </c>
      <c r="Q208" s="2" t="s">
        <v>70</v>
      </c>
      <c r="R208" s="2" t="s">
        <v>422</v>
      </c>
      <c r="S208" s="1" t="s">
        <v>2502</v>
      </c>
      <c r="T208" s="2" t="s">
        <v>73</v>
      </c>
      <c r="U208" s="3">
        <v>2</v>
      </c>
      <c r="V208" s="3">
        <v>2</v>
      </c>
      <c r="W208" s="4" t="s">
        <v>2503</v>
      </c>
      <c r="X208" s="4" t="s">
        <v>2503</v>
      </c>
      <c r="Y208" s="4" t="s">
        <v>2110</v>
      </c>
      <c r="Z208" s="4" t="s">
        <v>2110</v>
      </c>
      <c r="AA208" s="3">
        <v>168</v>
      </c>
      <c r="AB208" s="3">
        <v>117</v>
      </c>
      <c r="AC208" s="3">
        <v>141</v>
      </c>
      <c r="AD208" s="3">
        <v>2</v>
      </c>
      <c r="AE208" s="3">
        <v>2</v>
      </c>
      <c r="AF208" s="3">
        <v>3</v>
      </c>
      <c r="AG208" s="3">
        <v>4</v>
      </c>
      <c r="AH208" s="3">
        <v>1</v>
      </c>
      <c r="AI208" s="3">
        <v>2</v>
      </c>
      <c r="AJ208" s="3">
        <v>1</v>
      </c>
      <c r="AK208" s="3">
        <v>1</v>
      </c>
      <c r="AL208" s="3">
        <v>1</v>
      </c>
      <c r="AM208" s="3">
        <v>2</v>
      </c>
      <c r="AN208" s="3">
        <v>1</v>
      </c>
      <c r="AO208" s="3">
        <v>1</v>
      </c>
      <c r="AP208" s="3">
        <v>0</v>
      </c>
      <c r="AQ208" s="3">
        <v>0</v>
      </c>
      <c r="AR208" s="2" t="s">
        <v>63</v>
      </c>
      <c r="AS208" s="2" t="s">
        <v>76</v>
      </c>
      <c r="AT208" s="5" t="str">
        <f>HYPERLINK("http://catalog.hathitrust.org/Record/000089490","HathiTrust Record")</f>
        <v>HathiTrust Record</v>
      </c>
      <c r="AU208" s="5" t="str">
        <f>HYPERLINK("https://creighton-primo.hosted.exlibrisgroup.com/primo-explore/search?tab=default_tab&amp;search_scope=EVERYTHING&amp;vid=01CRU&amp;lang=en_US&amp;offset=0&amp;query=any,contains,991001106799702656","Catalog Record")</f>
        <v>Catalog Record</v>
      </c>
      <c r="AV208" s="5" t="str">
        <f>HYPERLINK("http://www.worldcat.org/oclc/3541734","WorldCat Record")</f>
        <v>WorldCat Record</v>
      </c>
      <c r="AW208" s="2" t="s">
        <v>2504</v>
      </c>
      <c r="AX208" s="2" t="s">
        <v>2505</v>
      </c>
      <c r="AY208" s="2" t="s">
        <v>2506</v>
      </c>
      <c r="AZ208" s="2" t="s">
        <v>2506</v>
      </c>
      <c r="BA208" s="2" t="s">
        <v>2507</v>
      </c>
      <c r="BB208" s="2" t="s">
        <v>81</v>
      </c>
      <c r="BD208" s="2" t="s">
        <v>2508</v>
      </c>
      <c r="BE208" s="2" t="s">
        <v>2509</v>
      </c>
      <c r="BF208" s="2" t="s">
        <v>2510</v>
      </c>
    </row>
    <row r="209" spans="1:58" ht="42" customHeight="1">
      <c r="A209" s="1"/>
      <c r="B209" s="1" t="s">
        <v>58</v>
      </c>
      <c r="C209" s="1" t="s">
        <v>59</v>
      </c>
      <c r="D209" s="1" t="s">
        <v>2511</v>
      </c>
      <c r="E209" s="1" t="s">
        <v>2512</v>
      </c>
      <c r="F209" s="1" t="s">
        <v>2513</v>
      </c>
      <c r="G209" s="2" t="s">
        <v>2514</v>
      </c>
      <c r="H209" s="2" t="s">
        <v>63</v>
      </c>
      <c r="I209" s="2" t="s">
        <v>64</v>
      </c>
      <c r="J209" s="2" t="s">
        <v>63</v>
      </c>
      <c r="K209" s="2" t="s">
        <v>63</v>
      </c>
      <c r="L209" s="2" t="s">
        <v>65</v>
      </c>
      <c r="N209" s="1" t="s">
        <v>2515</v>
      </c>
      <c r="O209" s="2" t="s">
        <v>728</v>
      </c>
      <c r="Q209" s="2" t="s">
        <v>70</v>
      </c>
      <c r="R209" s="2" t="s">
        <v>422</v>
      </c>
      <c r="S209" s="1" t="s">
        <v>2516</v>
      </c>
      <c r="T209" s="2" t="s">
        <v>73</v>
      </c>
      <c r="U209" s="3">
        <v>2</v>
      </c>
      <c r="V209" s="3">
        <v>2</v>
      </c>
      <c r="W209" s="4" t="s">
        <v>2517</v>
      </c>
      <c r="X209" s="4" t="s">
        <v>2517</v>
      </c>
      <c r="Y209" s="4" t="s">
        <v>2110</v>
      </c>
      <c r="Z209" s="4" t="s">
        <v>2110</v>
      </c>
      <c r="AA209" s="3">
        <v>201</v>
      </c>
      <c r="AB209" s="3">
        <v>144</v>
      </c>
      <c r="AC209" s="3">
        <v>165</v>
      </c>
      <c r="AD209" s="3">
        <v>3</v>
      </c>
      <c r="AE209" s="3">
        <v>3</v>
      </c>
      <c r="AF209" s="3">
        <v>4</v>
      </c>
      <c r="AG209" s="3">
        <v>5</v>
      </c>
      <c r="AH209" s="3">
        <v>1</v>
      </c>
      <c r="AI209" s="3">
        <v>2</v>
      </c>
      <c r="AJ209" s="3">
        <v>1</v>
      </c>
      <c r="AK209" s="3">
        <v>1</v>
      </c>
      <c r="AL209" s="3">
        <v>2</v>
      </c>
      <c r="AM209" s="3">
        <v>3</v>
      </c>
      <c r="AN209" s="3">
        <v>1</v>
      </c>
      <c r="AO209" s="3">
        <v>1</v>
      </c>
      <c r="AP209" s="3">
        <v>0</v>
      </c>
      <c r="AQ209" s="3">
        <v>0</v>
      </c>
      <c r="AR209" s="2" t="s">
        <v>63</v>
      </c>
      <c r="AS209" s="2" t="s">
        <v>76</v>
      </c>
      <c r="AT209" s="5" t="str">
        <f>HYPERLINK("http://catalog.hathitrust.org/Record/000260508","HathiTrust Record")</f>
        <v>HathiTrust Record</v>
      </c>
      <c r="AU209" s="5" t="str">
        <f>HYPERLINK("https://creighton-primo.hosted.exlibrisgroup.com/primo-explore/search?tab=default_tab&amp;search_scope=EVERYTHING&amp;vid=01CRU&amp;lang=en_US&amp;offset=0&amp;query=any,contains,991001106969702656","Catalog Record")</f>
        <v>Catalog Record</v>
      </c>
      <c r="AV209" s="5" t="str">
        <f>HYPERLINK("http://www.worldcat.org/oclc/4664619","WorldCat Record")</f>
        <v>WorldCat Record</v>
      </c>
      <c r="AW209" s="2" t="s">
        <v>2518</v>
      </c>
      <c r="AX209" s="2" t="s">
        <v>2519</v>
      </c>
      <c r="AY209" s="2" t="s">
        <v>2520</v>
      </c>
      <c r="AZ209" s="2" t="s">
        <v>2520</v>
      </c>
      <c r="BA209" s="2" t="s">
        <v>2521</v>
      </c>
      <c r="BB209" s="2" t="s">
        <v>81</v>
      </c>
      <c r="BD209" s="2" t="s">
        <v>2522</v>
      </c>
      <c r="BE209" s="2" t="s">
        <v>2523</v>
      </c>
      <c r="BF209" s="2" t="s">
        <v>2524</v>
      </c>
    </row>
    <row r="210" spans="1:58" ht="42" customHeight="1">
      <c r="A210" s="1"/>
      <c r="B210" s="1" t="s">
        <v>58</v>
      </c>
      <c r="C210" s="1" t="s">
        <v>59</v>
      </c>
      <c r="D210" s="1" t="s">
        <v>2525</v>
      </c>
      <c r="E210" s="1" t="s">
        <v>2526</v>
      </c>
      <c r="F210" s="1" t="s">
        <v>2527</v>
      </c>
      <c r="H210" s="2" t="s">
        <v>63</v>
      </c>
      <c r="I210" s="2" t="s">
        <v>64</v>
      </c>
      <c r="J210" s="2" t="s">
        <v>63</v>
      </c>
      <c r="K210" s="2" t="s">
        <v>63</v>
      </c>
      <c r="L210" s="2" t="s">
        <v>65</v>
      </c>
      <c r="N210" s="1" t="s">
        <v>1324</v>
      </c>
      <c r="O210" s="2" t="s">
        <v>494</v>
      </c>
      <c r="Q210" s="2" t="s">
        <v>70</v>
      </c>
      <c r="R210" s="2" t="s">
        <v>648</v>
      </c>
      <c r="S210" s="1" t="s">
        <v>2528</v>
      </c>
      <c r="T210" s="2" t="s">
        <v>73</v>
      </c>
      <c r="U210" s="3">
        <v>0</v>
      </c>
      <c r="V210" s="3">
        <v>0</v>
      </c>
      <c r="W210" s="4" t="s">
        <v>2275</v>
      </c>
      <c r="X210" s="4" t="s">
        <v>2275</v>
      </c>
      <c r="Y210" s="4" t="s">
        <v>2276</v>
      </c>
      <c r="Z210" s="4" t="s">
        <v>2276</v>
      </c>
      <c r="AA210" s="3">
        <v>243</v>
      </c>
      <c r="AB210" s="3">
        <v>178</v>
      </c>
      <c r="AC210" s="3">
        <v>223</v>
      </c>
      <c r="AD210" s="3">
        <v>2</v>
      </c>
      <c r="AE210" s="3">
        <v>2</v>
      </c>
      <c r="AF210" s="3">
        <v>6</v>
      </c>
      <c r="AG210" s="3">
        <v>9</v>
      </c>
      <c r="AH210" s="3">
        <v>1</v>
      </c>
      <c r="AI210" s="3">
        <v>3</v>
      </c>
      <c r="AJ210" s="3">
        <v>2</v>
      </c>
      <c r="AK210" s="3">
        <v>2</v>
      </c>
      <c r="AL210" s="3">
        <v>3</v>
      </c>
      <c r="AM210" s="3">
        <v>6</v>
      </c>
      <c r="AN210" s="3">
        <v>1</v>
      </c>
      <c r="AO210" s="3">
        <v>1</v>
      </c>
      <c r="AP210" s="3">
        <v>0</v>
      </c>
      <c r="AQ210" s="3">
        <v>0</v>
      </c>
      <c r="AR210" s="2" t="s">
        <v>63</v>
      </c>
      <c r="AS210" s="2" t="s">
        <v>76</v>
      </c>
      <c r="AT210" s="5" t="str">
        <f>HYPERLINK("http://catalog.hathitrust.org/Record/004357009","HathiTrust Record")</f>
        <v>HathiTrust Record</v>
      </c>
      <c r="AU210" s="5" t="str">
        <f>HYPERLINK("https://creighton-primo.hosted.exlibrisgroup.com/primo-explore/search?tab=default_tab&amp;search_scope=EVERYTHING&amp;vid=01CRU&amp;lang=en_US&amp;offset=0&amp;query=any,contains,991000394099702656","Catalog Record")</f>
        <v>Catalog Record</v>
      </c>
      <c r="AV210" s="5" t="str">
        <f>HYPERLINK("http://www.worldcat.org/oclc/53091355","WorldCat Record")</f>
        <v>WorldCat Record</v>
      </c>
      <c r="AW210" s="2" t="s">
        <v>2529</v>
      </c>
      <c r="AX210" s="2" t="s">
        <v>2530</v>
      </c>
      <c r="AY210" s="2" t="s">
        <v>2531</v>
      </c>
      <c r="AZ210" s="2" t="s">
        <v>2531</v>
      </c>
      <c r="BA210" s="2" t="s">
        <v>2532</v>
      </c>
      <c r="BB210" s="2" t="s">
        <v>81</v>
      </c>
      <c r="BD210" s="2" t="s">
        <v>2533</v>
      </c>
      <c r="BE210" s="2" t="s">
        <v>2534</v>
      </c>
      <c r="BF210" s="2" t="s">
        <v>2535</v>
      </c>
    </row>
    <row r="211" spans="1:58" ht="42" customHeight="1">
      <c r="A211" s="1"/>
      <c r="B211" s="1" t="s">
        <v>58</v>
      </c>
      <c r="C211" s="1" t="s">
        <v>59</v>
      </c>
      <c r="D211" s="1" t="s">
        <v>2536</v>
      </c>
      <c r="E211" s="1" t="s">
        <v>2537</v>
      </c>
      <c r="F211" s="1" t="s">
        <v>2538</v>
      </c>
      <c r="H211" s="2" t="s">
        <v>63</v>
      </c>
      <c r="I211" s="2" t="s">
        <v>64</v>
      </c>
      <c r="J211" s="2" t="s">
        <v>63</v>
      </c>
      <c r="K211" s="2" t="s">
        <v>76</v>
      </c>
      <c r="L211" s="2" t="s">
        <v>65</v>
      </c>
      <c r="N211" s="1" t="s">
        <v>2539</v>
      </c>
      <c r="O211" s="2" t="s">
        <v>908</v>
      </c>
      <c r="P211" s="1" t="s">
        <v>245</v>
      </c>
      <c r="Q211" s="2" t="s">
        <v>70</v>
      </c>
      <c r="R211" s="2" t="s">
        <v>422</v>
      </c>
      <c r="T211" s="2" t="s">
        <v>73</v>
      </c>
      <c r="U211" s="3">
        <v>28</v>
      </c>
      <c r="V211" s="3">
        <v>28</v>
      </c>
      <c r="W211" s="4" t="s">
        <v>2540</v>
      </c>
      <c r="X211" s="4" t="s">
        <v>2540</v>
      </c>
      <c r="Y211" s="4" t="s">
        <v>2368</v>
      </c>
      <c r="Z211" s="4" t="s">
        <v>2368</v>
      </c>
      <c r="AA211" s="3">
        <v>435</v>
      </c>
      <c r="AB211" s="3">
        <v>317</v>
      </c>
      <c r="AC211" s="3">
        <v>1228</v>
      </c>
      <c r="AD211" s="3">
        <v>2</v>
      </c>
      <c r="AE211" s="3">
        <v>13</v>
      </c>
      <c r="AF211" s="3">
        <v>10</v>
      </c>
      <c r="AG211" s="3">
        <v>47</v>
      </c>
      <c r="AH211" s="3">
        <v>6</v>
      </c>
      <c r="AI211" s="3">
        <v>17</v>
      </c>
      <c r="AJ211" s="3">
        <v>2</v>
      </c>
      <c r="AK211" s="3">
        <v>11</v>
      </c>
      <c r="AL211" s="3">
        <v>2</v>
      </c>
      <c r="AM211" s="3">
        <v>13</v>
      </c>
      <c r="AN211" s="3">
        <v>1</v>
      </c>
      <c r="AO211" s="3">
        <v>10</v>
      </c>
      <c r="AP211" s="3">
        <v>0</v>
      </c>
      <c r="AQ211" s="3">
        <v>1</v>
      </c>
      <c r="AR211" s="2" t="s">
        <v>63</v>
      </c>
      <c r="AS211" s="2" t="s">
        <v>76</v>
      </c>
      <c r="AT211" s="5" t="str">
        <f>HYPERLINK("http://catalog.hathitrust.org/Record/002736683","HathiTrust Record")</f>
        <v>HathiTrust Record</v>
      </c>
      <c r="AU211" s="5" t="str">
        <f>HYPERLINK("https://creighton-primo.hosted.exlibrisgroup.com/primo-explore/search?tab=default_tab&amp;search_scope=EVERYTHING&amp;vid=01CRU&amp;lang=en_US&amp;offset=0&amp;query=any,contains,991000485709702656","Catalog Record")</f>
        <v>Catalog Record</v>
      </c>
      <c r="AV211" s="5" t="str">
        <f>HYPERLINK("http://www.worldcat.org/oclc/27728294","WorldCat Record")</f>
        <v>WorldCat Record</v>
      </c>
      <c r="AW211" s="2" t="s">
        <v>2541</v>
      </c>
      <c r="AX211" s="2" t="s">
        <v>2542</v>
      </c>
      <c r="AY211" s="2" t="s">
        <v>2543</v>
      </c>
      <c r="AZ211" s="2" t="s">
        <v>2543</v>
      </c>
      <c r="BA211" s="2" t="s">
        <v>2544</v>
      </c>
      <c r="BB211" s="2" t="s">
        <v>81</v>
      </c>
      <c r="BD211" s="2" t="s">
        <v>2545</v>
      </c>
      <c r="BE211" s="2" t="s">
        <v>2546</v>
      </c>
      <c r="BF211" s="2" t="s">
        <v>2547</v>
      </c>
    </row>
    <row r="212" spans="1:58" ht="42" customHeight="1">
      <c r="A212" s="1"/>
      <c r="B212" s="1" t="s">
        <v>58</v>
      </c>
      <c r="C212" s="1" t="s">
        <v>59</v>
      </c>
      <c r="D212" s="1" t="s">
        <v>2548</v>
      </c>
      <c r="E212" s="1" t="s">
        <v>2549</v>
      </c>
      <c r="F212" s="1" t="s">
        <v>2550</v>
      </c>
      <c r="H212" s="2" t="s">
        <v>63</v>
      </c>
      <c r="I212" s="2" t="s">
        <v>64</v>
      </c>
      <c r="J212" s="2" t="s">
        <v>63</v>
      </c>
      <c r="K212" s="2" t="s">
        <v>63</v>
      </c>
      <c r="L212" s="2" t="s">
        <v>65</v>
      </c>
      <c r="M212" s="1" t="s">
        <v>2551</v>
      </c>
      <c r="N212" s="1" t="s">
        <v>2552</v>
      </c>
      <c r="O212" s="2" t="s">
        <v>90</v>
      </c>
      <c r="P212" s="1" t="s">
        <v>231</v>
      </c>
      <c r="Q212" s="2" t="s">
        <v>70</v>
      </c>
      <c r="R212" s="2" t="s">
        <v>92</v>
      </c>
      <c r="T212" s="2" t="s">
        <v>73</v>
      </c>
      <c r="U212" s="3">
        <v>6</v>
      </c>
      <c r="V212" s="3">
        <v>6</v>
      </c>
      <c r="W212" s="4" t="s">
        <v>2553</v>
      </c>
      <c r="X212" s="4" t="s">
        <v>2553</v>
      </c>
      <c r="Y212" s="4" t="s">
        <v>680</v>
      </c>
      <c r="Z212" s="4" t="s">
        <v>680</v>
      </c>
      <c r="AA212" s="3">
        <v>289</v>
      </c>
      <c r="AB212" s="3">
        <v>188</v>
      </c>
      <c r="AC212" s="3">
        <v>317</v>
      </c>
      <c r="AD212" s="3">
        <v>2</v>
      </c>
      <c r="AE212" s="3">
        <v>3</v>
      </c>
      <c r="AF212" s="3">
        <v>9</v>
      </c>
      <c r="AG212" s="3">
        <v>17</v>
      </c>
      <c r="AH212" s="3">
        <v>3</v>
      </c>
      <c r="AI212" s="3">
        <v>6</v>
      </c>
      <c r="AJ212" s="3">
        <v>3</v>
      </c>
      <c r="AK212" s="3">
        <v>4</v>
      </c>
      <c r="AL212" s="3">
        <v>4</v>
      </c>
      <c r="AM212" s="3">
        <v>10</v>
      </c>
      <c r="AN212" s="3">
        <v>1</v>
      </c>
      <c r="AO212" s="3">
        <v>2</v>
      </c>
      <c r="AP212" s="3">
        <v>0</v>
      </c>
      <c r="AQ212" s="3">
        <v>0</v>
      </c>
      <c r="AR212" s="2" t="s">
        <v>63</v>
      </c>
      <c r="AS212" s="2" t="s">
        <v>76</v>
      </c>
      <c r="AT212" s="5" t="str">
        <f>HYPERLINK("http://catalog.hathitrust.org/Record/002589618","HathiTrust Record")</f>
        <v>HathiTrust Record</v>
      </c>
      <c r="AU212" s="5" t="str">
        <f>HYPERLINK("https://creighton-primo.hosted.exlibrisgroup.com/primo-explore/search?tab=default_tab&amp;search_scope=EVERYTHING&amp;vid=01CRU&amp;lang=en_US&amp;offset=0&amp;query=any,contains,991000670309702656","Catalog Record")</f>
        <v>Catalog Record</v>
      </c>
      <c r="AV212" s="5" t="str">
        <f>HYPERLINK("http://www.worldcat.org/oclc/23080929","WorldCat Record")</f>
        <v>WorldCat Record</v>
      </c>
      <c r="AW212" s="2" t="s">
        <v>2554</v>
      </c>
      <c r="AX212" s="2" t="s">
        <v>2555</v>
      </c>
      <c r="AY212" s="2" t="s">
        <v>2556</v>
      </c>
      <c r="AZ212" s="2" t="s">
        <v>2556</v>
      </c>
      <c r="BA212" s="2" t="s">
        <v>2557</v>
      </c>
      <c r="BB212" s="2" t="s">
        <v>81</v>
      </c>
      <c r="BD212" s="2" t="s">
        <v>2558</v>
      </c>
      <c r="BE212" s="2" t="s">
        <v>2559</v>
      </c>
      <c r="BF212" s="2" t="s">
        <v>2560</v>
      </c>
    </row>
    <row r="213" spans="1:58" ht="42" customHeight="1">
      <c r="A213" s="1"/>
      <c r="B213" s="1" t="s">
        <v>58</v>
      </c>
      <c r="C213" s="1" t="s">
        <v>59</v>
      </c>
      <c r="D213" s="1" t="s">
        <v>2561</v>
      </c>
      <c r="E213" s="1" t="s">
        <v>2562</v>
      </c>
      <c r="F213" s="1" t="s">
        <v>2563</v>
      </c>
      <c r="H213" s="2" t="s">
        <v>63</v>
      </c>
      <c r="I213" s="2" t="s">
        <v>64</v>
      </c>
      <c r="J213" s="2" t="s">
        <v>63</v>
      </c>
      <c r="K213" s="2" t="s">
        <v>63</v>
      </c>
      <c r="L213" s="2" t="s">
        <v>65</v>
      </c>
      <c r="N213" s="1" t="s">
        <v>2564</v>
      </c>
      <c r="O213" s="2" t="s">
        <v>894</v>
      </c>
      <c r="P213" s="1" t="s">
        <v>1718</v>
      </c>
      <c r="Q213" s="2" t="s">
        <v>70</v>
      </c>
      <c r="R213" s="2" t="s">
        <v>509</v>
      </c>
      <c r="T213" s="2" t="s">
        <v>73</v>
      </c>
      <c r="U213" s="3">
        <v>6</v>
      </c>
      <c r="V213" s="3">
        <v>6</v>
      </c>
      <c r="W213" s="4" t="s">
        <v>2565</v>
      </c>
      <c r="X213" s="4" t="s">
        <v>2565</v>
      </c>
      <c r="Y213" s="4" t="s">
        <v>155</v>
      </c>
      <c r="Z213" s="4" t="s">
        <v>155</v>
      </c>
      <c r="AA213" s="3">
        <v>227</v>
      </c>
      <c r="AB213" s="3">
        <v>150</v>
      </c>
      <c r="AC213" s="3">
        <v>152</v>
      </c>
      <c r="AD213" s="3">
        <v>2</v>
      </c>
      <c r="AE213" s="3">
        <v>2</v>
      </c>
      <c r="AF213" s="3">
        <v>3</v>
      </c>
      <c r="AG213" s="3">
        <v>4</v>
      </c>
      <c r="AH213" s="3">
        <v>0</v>
      </c>
      <c r="AI213" s="3">
        <v>0</v>
      </c>
      <c r="AJ213" s="3">
        <v>0</v>
      </c>
      <c r="AK213" s="3">
        <v>1</v>
      </c>
      <c r="AL213" s="3">
        <v>2</v>
      </c>
      <c r="AM213" s="3">
        <v>3</v>
      </c>
      <c r="AN213" s="3">
        <v>1</v>
      </c>
      <c r="AO213" s="3">
        <v>1</v>
      </c>
      <c r="AP213" s="3">
        <v>0</v>
      </c>
      <c r="AQ213" s="3">
        <v>0</v>
      </c>
      <c r="AR213" s="2" t="s">
        <v>63</v>
      </c>
      <c r="AS213" s="2" t="s">
        <v>76</v>
      </c>
      <c r="AT213" s="5" t="str">
        <f>HYPERLINK("http://catalog.hathitrust.org/Record/000027918","HathiTrust Record")</f>
        <v>HathiTrust Record</v>
      </c>
      <c r="AU213" s="5" t="str">
        <f>HYPERLINK("https://creighton-primo.hosted.exlibrisgroup.com/primo-explore/search?tab=default_tab&amp;search_scope=EVERYTHING&amp;vid=01CRU&amp;lang=en_US&amp;offset=0&amp;query=any,contains,991001106389702656","Catalog Record")</f>
        <v>Catalog Record</v>
      </c>
      <c r="AV213" s="5" t="str">
        <f>HYPERLINK("http://www.worldcat.org/oclc/6145427","WorldCat Record")</f>
        <v>WorldCat Record</v>
      </c>
      <c r="AW213" s="2" t="s">
        <v>2566</v>
      </c>
      <c r="AX213" s="2" t="s">
        <v>2567</v>
      </c>
      <c r="AY213" s="2" t="s">
        <v>2568</v>
      </c>
      <c r="AZ213" s="2" t="s">
        <v>2568</v>
      </c>
      <c r="BA213" s="2" t="s">
        <v>2569</v>
      </c>
      <c r="BB213" s="2" t="s">
        <v>81</v>
      </c>
      <c r="BD213" s="2" t="s">
        <v>2570</v>
      </c>
      <c r="BE213" s="2" t="s">
        <v>2571</v>
      </c>
      <c r="BF213" s="2" t="s">
        <v>2572</v>
      </c>
    </row>
    <row r="214" spans="1:58" ht="42" customHeight="1">
      <c r="A214" s="1"/>
      <c r="B214" s="1" t="s">
        <v>58</v>
      </c>
      <c r="C214" s="1" t="s">
        <v>59</v>
      </c>
      <c r="D214" s="1" t="s">
        <v>2573</v>
      </c>
      <c r="E214" s="1" t="s">
        <v>2574</v>
      </c>
      <c r="F214" s="1" t="s">
        <v>2575</v>
      </c>
      <c r="H214" s="2" t="s">
        <v>63</v>
      </c>
      <c r="I214" s="2" t="s">
        <v>64</v>
      </c>
      <c r="J214" s="2" t="s">
        <v>63</v>
      </c>
      <c r="K214" s="2" t="s">
        <v>63</v>
      </c>
      <c r="L214" s="2" t="s">
        <v>65</v>
      </c>
      <c r="M214" s="1" t="s">
        <v>2576</v>
      </c>
      <c r="N214" s="1" t="s">
        <v>2577</v>
      </c>
      <c r="O214" s="2" t="s">
        <v>591</v>
      </c>
      <c r="P214" s="1" t="s">
        <v>260</v>
      </c>
      <c r="Q214" s="2" t="s">
        <v>70</v>
      </c>
      <c r="R214" s="2" t="s">
        <v>92</v>
      </c>
      <c r="T214" s="2" t="s">
        <v>73</v>
      </c>
      <c r="U214" s="3">
        <v>3</v>
      </c>
      <c r="V214" s="3">
        <v>3</v>
      </c>
      <c r="W214" s="4" t="s">
        <v>2578</v>
      </c>
      <c r="X214" s="4" t="s">
        <v>2578</v>
      </c>
      <c r="Y214" s="4" t="s">
        <v>1258</v>
      </c>
      <c r="Z214" s="4" t="s">
        <v>1258</v>
      </c>
      <c r="AA214" s="3">
        <v>152</v>
      </c>
      <c r="AB214" s="3">
        <v>126</v>
      </c>
      <c r="AC214" s="3">
        <v>146</v>
      </c>
      <c r="AD214" s="3">
        <v>2</v>
      </c>
      <c r="AE214" s="3">
        <v>2</v>
      </c>
      <c r="AF214" s="3">
        <v>3</v>
      </c>
      <c r="AG214" s="3">
        <v>4</v>
      </c>
      <c r="AH214" s="3">
        <v>0</v>
      </c>
      <c r="AI214" s="3">
        <v>1</v>
      </c>
      <c r="AJ214" s="3">
        <v>1</v>
      </c>
      <c r="AK214" s="3">
        <v>1</v>
      </c>
      <c r="AL214" s="3">
        <v>2</v>
      </c>
      <c r="AM214" s="3">
        <v>2</v>
      </c>
      <c r="AN214" s="3">
        <v>1</v>
      </c>
      <c r="AO214" s="3">
        <v>1</v>
      </c>
      <c r="AP214" s="3">
        <v>0</v>
      </c>
      <c r="AQ214" s="3">
        <v>0</v>
      </c>
      <c r="AR214" s="2" t="s">
        <v>63</v>
      </c>
      <c r="AS214" s="2" t="s">
        <v>76</v>
      </c>
      <c r="AT214" s="5" t="str">
        <f>HYPERLINK("http://catalog.hathitrust.org/Record/001577064","HathiTrust Record")</f>
        <v>HathiTrust Record</v>
      </c>
      <c r="AU214" s="5" t="str">
        <f>HYPERLINK("https://creighton-primo.hosted.exlibrisgroup.com/primo-explore/search?tab=default_tab&amp;search_scope=EVERYTHING&amp;vid=01CRU&amp;lang=en_US&amp;offset=0&amp;query=any,contains,991001106229702656","Catalog Record")</f>
        <v>Catalog Record</v>
      </c>
      <c r="AV214" s="5" t="str">
        <f>HYPERLINK("http://www.worldcat.org/oclc/612078","WorldCat Record")</f>
        <v>WorldCat Record</v>
      </c>
      <c r="AW214" s="2" t="s">
        <v>2579</v>
      </c>
      <c r="AX214" s="2" t="s">
        <v>2580</v>
      </c>
      <c r="AY214" s="2" t="s">
        <v>2581</v>
      </c>
      <c r="AZ214" s="2" t="s">
        <v>2581</v>
      </c>
      <c r="BA214" s="2" t="s">
        <v>2582</v>
      </c>
      <c r="BB214" s="2" t="s">
        <v>81</v>
      </c>
      <c r="BE214" s="2" t="s">
        <v>2583</v>
      </c>
      <c r="BF214" s="2" t="s">
        <v>2584</v>
      </c>
    </row>
    <row r="215" spans="1:58" ht="42" customHeight="1">
      <c r="A215" s="1"/>
      <c r="B215" s="1" t="s">
        <v>58</v>
      </c>
      <c r="C215" s="1" t="s">
        <v>59</v>
      </c>
      <c r="D215" s="1" t="s">
        <v>2585</v>
      </c>
      <c r="E215" s="1" t="s">
        <v>2586</v>
      </c>
      <c r="F215" s="1" t="s">
        <v>2587</v>
      </c>
      <c r="H215" s="2" t="s">
        <v>63</v>
      </c>
      <c r="I215" s="2" t="s">
        <v>64</v>
      </c>
      <c r="J215" s="2" t="s">
        <v>63</v>
      </c>
      <c r="K215" s="2" t="s">
        <v>63</v>
      </c>
      <c r="L215" s="2" t="s">
        <v>65</v>
      </c>
      <c r="N215" s="1" t="s">
        <v>2588</v>
      </c>
      <c r="O215" s="2" t="s">
        <v>136</v>
      </c>
      <c r="P215" s="1" t="s">
        <v>231</v>
      </c>
      <c r="Q215" s="2" t="s">
        <v>70</v>
      </c>
      <c r="R215" s="2" t="s">
        <v>509</v>
      </c>
      <c r="T215" s="2" t="s">
        <v>73</v>
      </c>
      <c r="U215" s="3">
        <v>3</v>
      </c>
      <c r="V215" s="3">
        <v>3</v>
      </c>
      <c r="W215" s="4" t="s">
        <v>2381</v>
      </c>
      <c r="X215" s="4" t="s">
        <v>2381</v>
      </c>
      <c r="Y215" s="4" t="s">
        <v>2589</v>
      </c>
      <c r="Z215" s="4" t="s">
        <v>2589</v>
      </c>
      <c r="AA215" s="3">
        <v>253</v>
      </c>
      <c r="AB215" s="3">
        <v>168</v>
      </c>
      <c r="AC215" s="3">
        <v>305</v>
      </c>
      <c r="AD215" s="3">
        <v>4</v>
      </c>
      <c r="AE215" s="3">
        <v>5</v>
      </c>
      <c r="AF215" s="3">
        <v>9</v>
      </c>
      <c r="AG215" s="3">
        <v>15</v>
      </c>
      <c r="AH215" s="3">
        <v>2</v>
      </c>
      <c r="AI215" s="3">
        <v>5</v>
      </c>
      <c r="AJ215" s="3">
        <v>1</v>
      </c>
      <c r="AK215" s="3">
        <v>3</v>
      </c>
      <c r="AL215" s="3">
        <v>6</v>
      </c>
      <c r="AM215" s="3">
        <v>9</v>
      </c>
      <c r="AN215" s="3">
        <v>3</v>
      </c>
      <c r="AO215" s="3">
        <v>4</v>
      </c>
      <c r="AP215" s="3">
        <v>0</v>
      </c>
      <c r="AQ215" s="3">
        <v>0</v>
      </c>
      <c r="AR215" s="2" t="s">
        <v>63</v>
      </c>
      <c r="AS215" s="2" t="s">
        <v>63</v>
      </c>
      <c r="AU215" s="5" t="str">
        <f>HYPERLINK("https://creighton-primo.hosted.exlibrisgroup.com/primo-explore/search?tab=default_tab&amp;search_scope=EVERYTHING&amp;vid=01CRU&amp;lang=en_US&amp;offset=0&amp;query=any,contains,991001106059702656","Catalog Record")</f>
        <v>Catalog Record</v>
      </c>
      <c r="AV215" s="5" t="str">
        <f>HYPERLINK("http://www.worldcat.org/oclc/7978607","WorldCat Record")</f>
        <v>WorldCat Record</v>
      </c>
      <c r="AW215" s="2" t="s">
        <v>2590</v>
      </c>
      <c r="AX215" s="2" t="s">
        <v>2591</v>
      </c>
      <c r="AY215" s="2" t="s">
        <v>2592</v>
      </c>
      <c r="AZ215" s="2" t="s">
        <v>2592</v>
      </c>
      <c r="BA215" s="2" t="s">
        <v>2593</v>
      </c>
      <c r="BB215" s="2" t="s">
        <v>81</v>
      </c>
      <c r="BD215" s="2" t="s">
        <v>2594</v>
      </c>
      <c r="BE215" s="2" t="s">
        <v>2595</v>
      </c>
      <c r="BF215" s="2" t="s">
        <v>2596</v>
      </c>
    </row>
    <row r="216" spans="1:58" ht="42" customHeight="1">
      <c r="A216" s="1"/>
      <c r="B216" s="1" t="s">
        <v>58</v>
      </c>
      <c r="C216" s="1" t="s">
        <v>59</v>
      </c>
      <c r="D216" s="1" t="s">
        <v>2597</v>
      </c>
      <c r="E216" s="1" t="s">
        <v>2598</v>
      </c>
      <c r="F216" s="1" t="s">
        <v>2599</v>
      </c>
      <c r="H216" s="2" t="s">
        <v>63</v>
      </c>
      <c r="I216" s="2" t="s">
        <v>64</v>
      </c>
      <c r="J216" s="2" t="s">
        <v>63</v>
      </c>
      <c r="K216" s="2" t="s">
        <v>63</v>
      </c>
      <c r="L216" s="2" t="s">
        <v>65</v>
      </c>
      <c r="N216" s="1" t="s">
        <v>2600</v>
      </c>
      <c r="O216" s="2" t="s">
        <v>230</v>
      </c>
      <c r="Q216" s="2" t="s">
        <v>70</v>
      </c>
      <c r="R216" s="2" t="s">
        <v>153</v>
      </c>
      <c r="T216" s="2" t="s">
        <v>73</v>
      </c>
      <c r="U216" s="3">
        <v>12</v>
      </c>
      <c r="V216" s="3">
        <v>12</v>
      </c>
      <c r="W216" s="4" t="s">
        <v>2601</v>
      </c>
      <c r="X216" s="4" t="s">
        <v>2601</v>
      </c>
      <c r="Y216" s="4" t="s">
        <v>2589</v>
      </c>
      <c r="Z216" s="4" t="s">
        <v>2589</v>
      </c>
      <c r="AA216" s="3">
        <v>118</v>
      </c>
      <c r="AB216" s="3">
        <v>88</v>
      </c>
      <c r="AC216" s="3">
        <v>90</v>
      </c>
      <c r="AD216" s="3">
        <v>1</v>
      </c>
      <c r="AE216" s="3">
        <v>1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2" t="s">
        <v>63</v>
      </c>
      <c r="AS216" s="2" t="s">
        <v>76</v>
      </c>
      <c r="AT216" s="5" t="str">
        <f>HYPERLINK("http://catalog.hathitrust.org/Record/000241531","HathiTrust Record")</f>
        <v>HathiTrust Record</v>
      </c>
      <c r="AU216" s="5" t="str">
        <f>HYPERLINK("https://creighton-primo.hosted.exlibrisgroup.com/primo-explore/search?tab=default_tab&amp;search_scope=EVERYTHING&amp;vid=01CRU&amp;lang=en_US&amp;offset=0&amp;query=any,contains,991001106029702656","Catalog Record")</f>
        <v>Catalog Record</v>
      </c>
      <c r="AV216" s="5" t="str">
        <f>HYPERLINK("http://www.worldcat.org/oclc/9256006","WorldCat Record")</f>
        <v>WorldCat Record</v>
      </c>
      <c r="AW216" s="2" t="s">
        <v>2602</v>
      </c>
      <c r="AX216" s="2" t="s">
        <v>2603</v>
      </c>
      <c r="AY216" s="2" t="s">
        <v>2604</v>
      </c>
      <c r="AZ216" s="2" t="s">
        <v>2604</v>
      </c>
      <c r="BA216" s="2" t="s">
        <v>2605</v>
      </c>
      <c r="BB216" s="2" t="s">
        <v>81</v>
      </c>
      <c r="BD216" s="2" t="s">
        <v>2606</v>
      </c>
      <c r="BE216" s="2" t="s">
        <v>2607</v>
      </c>
      <c r="BF216" s="2" t="s">
        <v>2608</v>
      </c>
    </row>
    <row r="217" spans="1:58" ht="42" customHeight="1">
      <c r="A217" s="1"/>
      <c r="B217" s="1" t="s">
        <v>58</v>
      </c>
      <c r="C217" s="1" t="s">
        <v>59</v>
      </c>
      <c r="D217" s="1" t="s">
        <v>2609</v>
      </c>
      <c r="E217" s="1" t="s">
        <v>2610</v>
      </c>
      <c r="F217" s="1" t="s">
        <v>2611</v>
      </c>
      <c r="H217" s="2" t="s">
        <v>63</v>
      </c>
      <c r="I217" s="2" t="s">
        <v>64</v>
      </c>
      <c r="J217" s="2" t="s">
        <v>63</v>
      </c>
      <c r="K217" s="2" t="s">
        <v>76</v>
      </c>
      <c r="L217" s="2" t="s">
        <v>65</v>
      </c>
      <c r="N217" s="1" t="s">
        <v>2612</v>
      </c>
      <c r="O217" s="2" t="s">
        <v>359</v>
      </c>
      <c r="P217" s="1" t="s">
        <v>69</v>
      </c>
      <c r="Q217" s="2" t="s">
        <v>70</v>
      </c>
      <c r="R217" s="2" t="s">
        <v>509</v>
      </c>
      <c r="T217" s="2" t="s">
        <v>73</v>
      </c>
      <c r="U217" s="3">
        <v>31</v>
      </c>
      <c r="V217" s="3">
        <v>31</v>
      </c>
      <c r="W217" s="4" t="s">
        <v>2613</v>
      </c>
      <c r="X217" s="4" t="s">
        <v>2613</v>
      </c>
      <c r="Y217" s="4" t="s">
        <v>2614</v>
      </c>
      <c r="Z217" s="4" t="s">
        <v>2614</v>
      </c>
      <c r="AA217" s="3">
        <v>371</v>
      </c>
      <c r="AB217" s="3">
        <v>227</v>
      </c>
      <c r="AC217" s="3">
        <v>801</v>
      </c>
      <c r="AD217" s="3">
        <v>3</v>
      </c>
      <c r="AE217" s="3">
        <v>5</v>
      </c>
      <c r="AF217" s="3">
        <v>6</v>
      </c>
      <c r="AG217" s="3">
        <v>33</v>
      </c>
      <c r="AH217" s="3">
        <v>0</v>
      </c>
      <c r="AI217" s="3">
        <v>13</v>
      </c>
      <c r="AJ217" s="3">
        <v>3</v>
      </c>
      <c r="AK217" s="3">
        <v>8</v>
      </c>
      <c r="AL217" s="3">
        <v>3</v>
      </c>
      <c r="AM217" s="3">
        <v>17</v>
      </c>
      <c r="AN217" s="3">
        <v>2</v>
      </c>
      <c r="AO217" s="3">
        <v>3</v>
      </c>
      <c r="AP217" s="3">
        <v>0</v>
      </c>
      <c r="AQ217" s="3">
        <v>0</v>
      </c>
      <c r="AR217" s="2" t="s">
        <v>63</v>
      </c>
      <c r="AS217" s="2" t="s">
        <v>76</v>
      </c>
      <c r="AT217" s="5" t="str">
        <f>HYPERLINK("http://catalog.hathitrust.org/Record/004021231","HathiTrust Record")</f>
        <v>HathiTrust Record</v>
      </c>
      <c r="AU217" s="5" t="str">
        <f>HYPERLINK("https://creighton-primo.hosted.exlibrisgroup.com/primo-explore/search?tab=default_tab&amp;search_scope=EVERYTHING&amp;vid=01CRU&amp;lang=en_US&amp;offset=0&amp;query=any,contains,991001411499702656","Catalog Record")</f>
        <v>Catalog Record</v>
      </c>
      <c r="AV217" s="5" t="str">
        <f>HYPERLINK("http://www.worldcat.org/oclc/39508168","WorldCat Record")</f>
        <v>WorldCat Record</v>
      </c>
      <c r="AW217" s="2" t="s">
        <v>2615</v>
      </c>
      <c r="AX217" s="2" t="s">
        <v>2616</v>
      </c>
      <c r="AY217" s="2" t="s">
        <v>2617</v>
      </c>
      <c r="AZ217" s="2" t="s">
        <v>2617</v>
      </c>
      <c r="BA217" s="2" t="s">
        <v>2618</v>
      </c>
      <c r="BB217" s="2" t="s">
        <v>81</v>
      </c>
      <c r="BD217" s="2" t="s">
        <v>2619</v>
      </c>
      <c r="BE217" s="2" t="s">
        <v>2620</v>
      </c>
      <c r="BF217" s="2" t="s">
        <v>2621</v>
      </c>
    </row>
    <row r="218" spans="1:58" ht="42" customHeight="1">
      <c r="A218" s="1"/>
      <c r="B218" s="1" t="s">
        <v>58</v>
      </c>
      <c r="C218" s="1" t="s">
        <v>59</v>
      </c>
      <c r="D218" s="1" t="s">
        <v>2622</v>
      </c>
      <c r="E218" s="1" t="s">
        <v>2623</v>
      </c>
      <c r="F218" s="1" t="s">
        <v>2624</v>
      </c>
      <c r="H218" s="2" t="s">
        <v>63</v>
      </c>
      <c r="I218" s="2" t="s">
        <v>64</v>
      </c>
      <c r="J218" s="2" t="s">
        <v>63</v>
      </c>
      <c r="K218" s="2" t="s">
        <v>76</v>
      </c>
      <c r="L218" s="2" t="s">
        <v>65</v>
      </c>
      <c r="N218" s="1" t="s">
        <v>2625</v>
      </c>
      <c r="O218" s="2" t="s">
        <v>1973</v>
      </c>
      <c r="P218" s="1" t="s">
        <v>976</v>
      </c>
      <c r="Q218" s="2" t="s">
        <v>70</v>
      </c>
      <c r="R218" s="2" t="s">
        <v>422</v>
      </c>
      <c r="T218" s="2" t="s">
        <v>73</v>
      </c>
      <c r="U218" s="3">
        <v>14</v>
      </c>
      <c r="V218" s="3">
        <v>14</v>
      </c>
      <c r="W218" s="4" t="s">
        <v>2626</v>
      </c>
      <c r="X218" s="4" t="s">
        <v>2626</v>
      </c>
      <c r="Y218" s="4" t="s">
        <v>2627</v>
      </c>
      <c r="Z218" s="4" t="s">
        <v>2627</v>
      </c>
      <c r="AA218" s="3">
        <v>553</v>
      </c>
      <c r="AB218" s="3">
        <v>341</v>
      </c>
      <c r="AC218" s="3">
        <v>801</v>
      </c>
      <c r="AD218" s="3">
        <v>1</v>
      </c>
      <c r="AE218" s="3">
        <v>5</v>
      </c>
      <c r="AF218" s="3">
        <v>12</v>
      </c>
      <c r="AG218" s="3">
        <v>33</v>
      </c>
      <c r="AH218" s="3">
        <v>4</v>
      </c>
      <c r="AI218" s="3">
        <v>13</v>
      </c>
      <c r="AJ218" s="3">
        <v>3</v>
      </c>
      <c r="AK218" s="3">
        <v>8</v>
      </c>
      <c r="AL218" s="3">
        <v>6</v>
      </c>
      <c r="AM218" s="3">
        <v>17</v>
      </c>
      <c r="AN218" s="3">
        <v>0</v>
      </c>
      <c r="AO218" s="3">
        <v>3</v>
      </c>
      <c r="AP218" s="3">
        <v>0</v>
      </c>
      <c r="AQ218" s="3">
        <v>0</v>
      </c>
      <c r="AR218" s="2" t="s">
        <v>63</v>
      </c>
      <c r="AS218" s="2" t="s">
        <v>63</v>
      </c>
      <c r="AU218" s="5" t="str">
        <f>HYPERLINK("https://creighton-primo.hosted.exlibrisgroup.com/primo-explore/search?tab=default_tab&amp;search_scope=EVERYTHING&amp;vid=01CRU&amp;lang=en_US&amp;offset=0&amp;query=any,contains,991000390649702656","Catalog Record")</f>
        <v>Catalog Record</v>
      </c>
      <c r="AV218" s="5" t="str">
        <f>HYPERLINK("http://www.worldcat.org/oclc/60173180","WorldCat Record")</f>
        <v>WorldCat Record</v>
      </c>
      <c r="AW218" s="2" t="s">
        <v>2615</v>
      </c>
      <c r="AX218" s="2" t="s">
        <v>2628</v>
      </c>
      <c r="AY218" s="2" t="s">
        <v>2629</v>
      </c>
      <c r="AZ218" s="2" t="s">
        <v>2629</v>
      </c>
      <c r="BA218" s="2" t="s">
        <v>2630</v>
      </c>
      <c r="BB218" s="2" t="s">
        <v>81</v>
      </c>
      <c r="BD218" s="2" t="s">
        <v>2631</v>
      </c>
      <c r="BE218" s="2" t="s">
        <v>2632</v>
      </c>
      <c r="BF218" s="2" t="s">
        <v>2633</v>
      </c>
    </row>
    <row r="219" spans="1:58" ht="42" customHeight="1">
      <c r="A219" s="1"/>
      <c r="B219" s="1" t="s">
        <v>58</v>
      </c>
      <c r="C219" s="1" t="s">
        <v>59</v>
      </c>
      <c r="D219" s="1" t="s">
        <v>2634</v>
      </c>
      <c r="E219" s="1" t="s">
        <v>2635</v>
      </c>
      <c r="F219" s="1" t="s">
        <v>2636</v>
      </c>
      <c r="H219" s="2" t="s">
        <v>63</v>
      </c>
      <c r="I219" s="2" t="s">
        <v>64</v>
      </c>
      <c r="J219" s="2" t="s">
        <v>63</v>
      </c>
      <c r="K219" s="2" t="s">
        <v>63</v>
      </c>
      <c r="L219" s="2" t="s">
        <v>65</v>
      </c>
      <c r="N219" s="1" t="s">
        <v>2637</v>
      </c>
      <c r="O219" s="2" t="s">
        <v>215</v>
      </c>
      <c r="Q219" s="2" t="s">
        <v>70</v>
      </c>
      <c r="R219" s="2" t="s">
        <v>1855</v>
      </c>
      <c r="S219" s="1" t="s">
        <v>2638</v>
      </c>
      <c r="T219" s="2" t="s">
        <v>73</v>
      </c>
      <c r="U219" s="3">
        <v>11</v>
      </c>
      <c r="V219" s="3">
        <v>11</v>
      </c>
      <c r="W219" s="4" t="s">
        <v>2639</v>
      </c>
      <c r="X219" s="4" t="s">
        <v>2639</v>
      </c>
      <c r="Y219" s="4" t="s">
        <v>1529</v>
      </c>
      <c r="Z219" s="4" t="s">
        <v>1529</v>
      </c>
      <c r="AA219" s="3">
        <v>29</v>
      </c>
      <c r="AB219" s="3">
        <v>21</v>
      </c>
      <c r="AC219" s="3">
        <v>296</v>
      </c>
      <c r="AD219" s="3">
        <v>1</v>
      </c>
      <c r="AE219" s="3">
        <v>1</v>
      </c>
      <c r="AF219" s="3">
        <v>0</v>
      </c>
      <c r="AG219" s="3">
        <v>9</v>
      </c>
      <c r="AH219" s="3">
        <v>0</v>
      </c>
      <c r="AI219" s="3">
        <v>3</v>
      </c>
      <c r="AJ219" s="3">
        <v>0</v>
      </c>
      <c r="AK219" s="3">
        <v>4</v>
      </c>
      <c r="AL219" s="3">
        <v>0</v>
      </c>
      <c r="AM219" s="3">
        <v>5</v>
      </c>
      <c r="AN219" s="3">
        <v>0</v>
      </c>
      <c r="AO219" s="3">
        <v>0</v>
      </c>
      <c r="AP219" s="3">
        <v>0</v>
      </c>
      <c r="AQ219" s="3">
        <v>0</v>
      </c>
      <c r="AR219" s="2" t="s">
        <v>63</v>
      </c>
      <c r="AS219" s="2" t="s">
        <v>63</v>
      </c>
      <c r="AU219" s="5" t="str">
        <f>HYPERLINK("https://creighton-primo.hosted.exlibrisgroup.com/primo-explore/search?tab=default_tab&amp;search_scope=EVERYTHING&amp;vid=01CRU&amp;lang=en_US&amp;offset=0&amp;query=any,contains,991001103169702656","Catalog Record")</f>
        <v>Catalog Record</v>
      </c>
      <c r="AV219" s="5" t="str">
        <f>HYPERLINK("http://www.worldcat.org/oclc/26860168","WorldCat Record")</f>
        <v>WorldCat Record</v>
      </c>
      <c r="AW219" s="2" t="s">
        <v>2640</v>
      </c>
      <c r="AX219" s="2" t="s">
        <v>2641</v>
      </c>
      <c r="AY219" s="2" t="s">
        <v>2642</v>
      </c>
      <c r="AZ219" s="2" t="s">
        <v>2642</v>
      </c>
      <c r="BA219" s="2" t="s">
        <v>2643</v>
      </c>
      <c r="BB219" s="2" t="s">
        <v>81</v>
      </c>
      <c r="BD219" s="2" t="s">
        <v>2644</v>
      </c>
      <c r="BE219" s="2" t="s">
        <v>2645</v>
      </c>
      <c r="BF219" s="2" t="s">
        <v>2646</v>
      </c>
    </row>
    <row r="220" spans="1:58" ht="42" customHeight="1">
      <c r="A220" s="1"/>
      <c r="B220" s="1" t="s">
        <v>58</v>
      </c>
      <c r="C220" s="1" t="s">
        <v>59</v>
      </c>
      <c r="D220" s="1" t="s">
        <v>2647</v>
      </c>
      <c r="E220" s="1" t="s">
        <v>2648</v>
      </c>
      <c r="F220" s="1" t="s">
        <v>2649</v>
      </c>
      <c r="H220" s="2" t="s">
        <v>63</v>
      </c>
      <c r="I220" s="2" t="s">
        <v>64</v>
      </c>
      <c r="J220" s="2" t="s">
        <v>63</v>
      </c>
      <c r="K220" s="2" t="s">
        <v>63</v>
      </c>
      <c r="L220" s="2" t="s">
        <v>65</v>
      </c>
      <c r="N220" s="1" t="s">
        <v>2650</v>
      </c>
      <c r="O220" s="2" t="s">
        <v>106</v>
      </c>
      <c r="P220" s="1" t="s">
        <v>2651</v>
      </c>
      <c r="Q220" s="2" t="s">
        <v>70</v>
      </c>
      <c r="R220" s="2" t="s">
        <v>107</v>
      </c>
      <c r="S220" s="1" t="s">
        <v>72</v>
      </c>
      <c r="T220" s="2" t="s">
        <v>73</v>
      </c>
      <c r="U220" s="3">
        <v>9</v>
      </c>
      <c r="V220" s="3">
        <v>9</v>
      </c>
      <c r="W220" s="4" t="s">
        <v>2652</v>
      </c>
      <c r="X220" s="4" t="s">
        <v>2652</v>
      </c>
      <c r="Y220" s="4" t="s">
        <v>301</v>
      </c>
      <c r="Z220" s="4" t="s">
        <v>301</v>
      </c>
      <c r="AA220" s="3">
        <v>357</v>
      </c>
      <c r="AB220" s="3">
        <v>239</v>
      </c>
      <c r="AC220" s="3">
        <v>497</v>
      </c>
      <c r="AD220" s="3">
        <v>2</v>
      </c>
      <c r="AE220" s="3">
        <v>5</v>
      </c>
      <c r="AF220" s="3">
        <v>4</v>
      </c>
      <c r="AG220" s="3">
        <v>20</v>
      </c>
      <c r="AH220" s="3">
        <v>1</v>
      </c>
      <c r="AI220" s="3">
        <v>6</v>
      </c>
      <c r="AJ220" s="3">
        <v>1</v>
      </c>
      <c r="AK220" s="3">
        <v>3</v>
      </c>
      <c r="AL220" s="3">
        <v>4</v>
      </c>
      <c r="AM220" s="3">
        <v>12</v>
      </c>
      <c r="AN220" s="3">
        <v>0</v>
      </c>
      <c r="AO220" s="3">
        <v>3</v>
      </c>
      <c r="AP220" s="3">
        <v>0</v>
      </c>
      <c r="AQ220" s="3">
        <v>0</v>
      </c>
      <c r="AR220" s="2" t="s">
        <v>63</v>
      </c>
      <c r="AS220" s="2" t="s">
        <v>76</v>
      </c>
      <c r="AT220" s="5" t="str">
        <f>HYPERLINK("http://catalog.hathitrust.org/Record/000249150","HathiTrust Record")</f>
        <v>HathiTrust Record</v>
      </c>
      <c r="AU220" s="5" t="str">
        <f>HYPERLINK("https://creighton-primo.hosted.exlibrisgroup.com/primo-explore/search?tab=default_tab&amp;search_scope=EVERYTHING&amp;vid=01CRU&amp;lang=en_US&amp;offset=0&amp;query=any,contains,991000999059702656","Catalog Record")</f>
        <v>Catalog Record</v>
      </c>
      <c r="AV220" s="5" t="str">
        <f>HYPERLINK("http://www.worldcat.org/oclc/10711197","WorldCat Record")</f>
        <v>WorldCat Record</v>
      </c>
      <c r="AW220" s="2" t="s">
        <v>2653</v>
      </c>
      <c r="AX220" s="2" t="s">
        <v>2654</v>
      </c>
      <c r="AY220" s="2" t="s">
        <v>2655</v>
      </c>
      <c r="AZ220" s="2" t="s">
        <v>2655</v>
      </c>
      <c r="BA220" s="2" t="s">
        <v>2656</v>
      </c>
      <c r="BB220" s="2" t="s">
        <v>81</v>
      </c>
      <c r="BD220" s="2" t="s">
        <v>2657</v>
      </c>
      <c r="BE220" s="2" t="s">
        <v>2658</v>
      </c>
      <c r="BF220" s="2" t="s">
        <v>2659</v>
      </c>
    </row>
    <row r="221" spans="1:58" ht="42" customHeight="1">
      <c r="A221" s="1"/>
      <c r="B221" s="1" t="s">
        <v>58</v>
      </c>
      <c r="C221" s="1" t="s">
        <v>59</v>
      </c>
      <c r="D221" s="1" t="s">
        <v>2660</v>
      </c>
      <c r="E221" s="1" t="s">
        <v>2661</v>
      </c>
      <c r="F221" s="1" t="s">
        <v>2662</v>
      </c>
      <c r="H221" s="2" t="s">
        <v>63</v>
      </c>
      <c r="I221" s="2" t="s">
        <v>64</v>
      </c>
      <c r="J221" s="2" t="s">
        <v>63</v>
      </c>
      <c r="K221" s="2" t="s">
        <v>76</v>
      </c>
      <c r="L221" s="2" t="s">
        <v>65</v>
      </c>
      <c r="N221" s="1" t="s">
        <v>2663</v>
      </c>
      <c r="O221" s="2" t="s">
        <v>314</v>
      </c>
      <c r="P221" s="1" t="s">
        <v>795</v>
      </c>
      <c r="Q221" s="2" t="s">
        <v>70</v>
      </c>
      <c r="R221" s="2" t="s">
        <v>509</v>
      </c>
      <c r="T221" s="2" t="s">
        <v>73</v>
      </c>
      <c r="U221" s="3">
        <v>53</v>
      </c>
      <c r="V221" s="3">
        <v>53</v>
      </c>
      <c r="W221" s="4" t="s">
        <v>2664</v>
      </c>
      <c r="X221" s="4" t="s">
        <v>2664</v>
      </c>
      <c r="Y221" s="4" t="s">
        <v>2665</v>
      </c>
      <c r="Z221" s="4" t="s">
        <v>2665</v>
      </c>
      <c r="AA221" s="3">
        <v>508</v>
      </c>
      <c r="AB221" s="3">
        <v>342</v>
      </c>
      <c r="AC221" s="3">
        <v>1186</v>
      </c>
      <c r="AD221" s="3">
        <v>2</v>
      </c>
      <c r="AE221" s="3">
        <v>6</v>
      </c>
      <c r="AF221" s="3">
        <v>12</v>
      </c>
      <c r="AG221" s="3">
        <v>34</v>
      </c>
      <c r="AH221" s="3">
        <v>7</v>
      </c>
      <c r="AI221" s="3">
        <v>16</v>
      </c>
      <c r="AJ221" s="3">
        <v>3</v>
      </c>
      <c r="AK221" s="3">
        <v>8</v>
      </c>
      <c r="AL221" s="3">
        <v>3</v>
      </c>
      <c r="AM221" s="3">
        <v>12</v>
      </c>
      <c r="AN221" s="3">
        <v>0</v>
      </c>
      <c r="AO221" s="3">
        <v>4</v>
      </c>
      <c r="AP221" s="3">
        <v>0</v>
      </c>
      <c r="AQ221" s="3">
        <v>0</v>
      </c>
      <c r="AR221" s="2" t="s">
        <v>63</v>
      </c>
      <c r="AS221" s="2" t="s">
        <v>76</v>
      </c>
      <c r="AT221" s="5" t="str">
        <f>HYPERLINK("http://catalog.hathitrust.org/Record/003246433","HathiTrust Record")</f>
        <v>HathiTrust Record</v>
      </c>
      <c r="AU221" s="5" t="str">
        <f>HYPERLINK("https://creighton-primo.hosted.exlibrisgroup.com/primo-explore/search?tab=default_tab&amp;search_scope=EVERYTHING&amp;vid=01CRU&amp;lang=en_US&amp;offset=0&amp;query=any,contains,991001306439702656","Catalog Record")</f>
        <v>Catalog Record</v>
      </c>
      <c r="AV221" s="5" t="str">
        <f>HYPERLINK("http://www.worldcat.org/oclc/37966568","WorldCat Record")</f>
        <v>WorldCat Record</v>
      </c>
      <c r="AW221" s="2" t="s">
        <v>2666</v>
      </c>
      <c r="AX221" s="2" t="s">
        <v>2667</v>
      </c>
      <c r="AY221" s="2" t="s">
        <v>2668</v>
      </c>
      <c r="AZ221" s="2" t="s">
        <v>2668</v>
      </c>
      <c r="BA221" s="2" t="s">
        <v>2669</v>
      </c>
      <c r="BB221" s="2" t="s">
        <v>81</v>
      </c>
      <c r="BD221" s="2" t="s">
        <v>2670</v>
      </c>
      <c r="BE221" s="2" t="s">
        <v>2671</v>
      </c>
      <c r="BF221" s="2" t="s">
        <v>2672</v>
      </c>
    </row>
    <row r="222" spans="1:58" ht="42" customHeight="1">
      <c r="A222" s="1"/>
      <c r="B222" s="1" t="s">
        <v>58</v>
      </c>
      <c r="C222" s="1" t="s">
        <v>59</v>
      </c>
      <c r="D222" s="1" t="s">
        <v>2673</v>
      </c>
      <c r="E222" s="1" t="s">
        <v>2674</v>
      </c>
      <c r="F222" s="1" t="s">
        <v>2662</v>
      </c>
      <c r="H222" s="2" t="s">
        <v>63</v>
      </c>
      <c r="I222" s="2" t="s">
        <v>64</v>
      </c>
      <c r="J222" s="2" t="s">
        <v>63</v>
      </c>
      <c r="K222" s="2" t="s">
        <v>76</v>
      </c>
      <c r="L222" s="2" t="s">
        <v>65</v>
      </c>
      <c r="N222" s="1" t="s">
        <v>2675</v>
      </c>
      <c r="O222" s="2" t="s">
        <v>1688</v>
      </c>
      <c r="P222" s="1" t="s">
        <v>976</v>
      </c>
      <c r="Q222" s="2" t="s">
        <v>70</v>
      </c>
      <c r="R222" s="2" t="s">
        <v>744</v>
      </c>
      <c r="T222" s="2" t="s">
        <v>73</v>
      </c>
      <c r="U222" s="3">
        <v>9</v>
      </c>
      <c r="V222" s="3">
        <v>9</v>
      </c>
      <c r="W222" s="4" t="s">
        <v>2315</v>
      </c>
      <c r="X222" s="4" t="s">
        <v>2315</v>
      </c>
      <c r="Y222" s="4" t="s">
        <v>2676</v>
      </c>
      <c r="Z222" s="4" t="s">
        <v>2676</v>
      </c>
      <c r="AA222" s="3">
        <v>419</v>
      </c>
      <c r="AB222" s="3">
        <v>255</v>
      </c>
      <c r="AC222" s="3">
        <v>1186</v>
      </c>
      <c r="AD222" s="3">
        <v>1</v>
      </c>
      <c r="AE222" s="3">
        <v>6</v>
      </c>
      <c r="AF222" s="3">
        <v>5</v>
      </c>
      <c r="AG222" s="3">
        <v>34</v>
      </c>
      <c r="AH222" s="3">
        <v>2</v>
      </c>
      <c r="AI222" s="3">
        <v>16</v>
      </c>
      <c r="AJ222" s="3">
        <v>1</v>
      </c>
      <c r="AK222" s="3">
        <v>8</v>
      </c>
      <c r="AL222" s="3">
        <v>2</v>
      </c>
      <c r="AM222" s="3">
        <v>12</v>
      </c>
      <c r="AN222" s="3">
        <v>0</v>
      </c>
      <c r="AO222" s="3">
        <v>4</v>
      </c>
      <c r="AP222" s="3">
        <v>0</v>
      </c>
      <c r="AQ222" s="3">
        <v>0</v>
      </c>
      <c r="AR222" s="2" t="s">
        <v>63</v>
      </c>
      <c r="AS222" s="2" t="s">
        <v>76</v>
      </c>
      <c r="AT222" s="5" t="str">
        <f>HYPERLINK("http://catalog.hathitrust.org/Record/004200640","HathiTrust Record")</f>
        <v>HathiTrust Record</v>
      </c>
      <c r="AU222" s="5" t="str">
        <f>HYPERLINK("https://creighton-primo.hosted.exlibrisgroup.com/primo-explore/search?tab=default_tab&amp;search_scope=EVERYTHING&amp;vid=01CRU&amp;lang=en_US&amp;offset=0&amp;query=any,contains,991000455649702656","Catalog Record")</f>
        <v>Catalog Record</v>
      </c>
      <c r="AV222" s="5" t="str">
        <f>HYPERLINK("http://www.worldcat.org/oclc/45952240","WorldCat Record")</f>
        <v>WorldCat Record</v>
      </c>
      <c r="AW222" s="2" t="s">
        <v>2666</v>
      </c>
      <c r="AX222" s="2" t="s">
        <v>2677</v>
      </c>
      <c r="AY222" s="2" t="s">
        <v>2678</v>
      </c>
      <c r="AZ222" s="2" t="s">
        <v>2678</v>
      </c>
      <c r="BA222" s="2" t="s">
        <v>2679</v>
      </c>
      <c r="BB222" s="2" t="s">
        <v>81</v>
      </c>
      <c r="BD222" s="2" t="s">
        <v>2680</v>
      </c>
      <c r="BE222" s="2" t="s">
        <v>2681</v>
      </c>
      <c r="BF222" s="2" t="s">
        <v>2682</v>
      </c>
    </row>
    <row r="223" spans="1:58" ht="42" customHeight="1">
      <c r="A223" s="1"/>
      <c r="B223" s="1" t="s">
        <v>58</v>
      </c>
      <c r="C223" s="1" t="s">
        <v>59</v>
      </c>
      <c r="D223" s="1" t="s">
        <v>2683</v>
      </c>
      <c r="E223" s="1" t="s">
        <v>2684</v>
      </c>
      <c r="F223" s="1" t="s">
        <v>2685</v>
      </c>
      <c r="G223" s="2" t="s">
        <v>193</v>
      </c>
      <c r="H223" s="2" t="s">
        <v>63</v>
      </c>
      <c r="I223" s="2" t="s">
        <v>64</v>
      </c>
      <c r="J223" s="2" t="s">
        <v>63</v>
      </c>
      <c r="K223" s="2" t="s">
        <v>63</v>
      </c>
      <c r="L223" s="2" t="s">
        <v>65</v>
      </c>
      <c r="M223" s="1" t="s">
        <v>2686</v>
      </c>
      <c r="N223" s="1" t="s">
        <v>2687</v>
      </c>
      <c r="O223" s="2" t="s">
        <v>186</v>
      </c>
      <c r="Q223" s="2" t="s">
        <v>70</v>
      </c>
      <c r="R223" s="2" t="s">
        <v>509</v>
      </c>
      <c r="T223" s="2" t="s">
        <v>73</v>
      </c>
      <c r="U223" s="3">
        <v>10</v>
      </c>
      <c r="V223" s="3">
        <v>10</v>
      </c>
      <c r="W223" s="4" t="s">
        <v>1123</v>
      </c>
      <c r="X223" s="4" t="s">
        <v>1123</v>
      </c>
      <c r="Y223" s="4" t="s">
        <v>2688</v>
      </c>
      <c r="Z223" s="4" t="s">
        <v>2688</v>
      </c>
      <c r="AA223" s="3">
        <v>29</v>
      </c>
      <c r="AB223" s="3">
        <v>19</v>
      </c>
      <c r="AC223" s="3">
        <v>62</v>
      </c>
      <c r="AD223" s="3">
        <v>1</v>
      </c>
      <c r="AE223" s="3">
        <v>1</v>
      </c>
      <c r="AF223" s="3">
        <v>0</v>
      </c>
      <c r="AG223" s="3">
        <v>3</v>
      </c>
      <c r="AH223" s="3">
        <v>0</v>
      </c>
      <c r="AI223" s="3">
        <v>2</v>
      </c>
      <c r="AJ223" s="3">
        <v>0</v>
      </c>
      <c r="AK223" s="3">
        <v>2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2" t="s">
        <v>63</v>
      </c>
      <c r="AS223" s="2" t="s">
        <v>76</v>
      </c>
      <c r="AT223" s="5" t="str">
        <f>HYPERLINK("http://catalog.hathitrust.org/Record/001823374","HathiTrust Record")</f>
        <v>HathiTrust Record</v>
      </c>
      <c r="AU223" s="5" t="str">
        <f>HYPERLINK("https://creighton-primo.hosted.exlibrisgroup.com/primo-explore/search?tab=default_tab&amp;search_scope=EVERYTHING&amp;vid=01CRU&amp;lang=en_US&amp;offset=0&amp;query=any,contains,991001385329702656","Catalog Record")</f>
        <v>Catalog Record</v>
      </c>
      <c r="AV223" s="5" t="str">
        <f>HYPERLINK("http://www.worldcat.org/oclc/19389531","WorldCat Record")</f>
        <v>WorldCat Record</v>
      </c>
      <c r="AW223" s="2" t="s">
        <v>2689</v>
      </c>
      <c r="AX223" s="2" t="s">
        <v>2690</v>
      </c>
      <c r="AY223" s="2" t="s">
        <v>2691</v>
      </c>
      <c r="AZ223" s="2" t="s">
        <v>2691</v>
      </c>
      <c r="BA223" s="2" t="s">
        <v>2692</v>
      </c>
      <c r="BB223" s="2" t="s">
        <v>81</v>
      </c>
      <c r="BD223" s="2" t="s">
        <v>2693</v>
      </c>
      <c r="BE223" s="2" t="s">
        <v>2694</v>
      </c>
      <c r="BF223" s="2" t="s">
        <v>2695</v>
      </c>
    </row>
    <row r="224" spans="1:58" ht="42" customHeight="1">
      <c r="A224" s="1"/>
      <c r="B224" s="1" t="s">
        <v>58</v>
      </c>
      <c r="C224" s="1" t="s">
        <v>59</v>
      </c>
      <c r="D224" s="1" t="s">
        <v>2696</v>
      </c>
      <c r="E224" s="1" t="s">
        <v>2697</v>
      </c>
      <c r="F224" s="1" t="s">
        <v>2698</v>
      </c>
      <c r="H224" s="2" t="s">
        <v>63</v>
      </c>
      <c r="I224" s="2" t="s">
        <v>64</v>
      </c>
      <c r="J224" s="2" t="s">
        <v>63</v>
      </c>
      <c r="K224" s="2" t="s">
        <v>63</v>
      </c>
      <c r="L224" s="2" t="s">
        <v>65</v>
      </c>
      <c r="M224" s="1" t="s">
        <v>2699</v>
      </c>
      <c r="N224" s="1" t="s">
        <v>2700</v>
      </c>
      <c r="O224" s="2" t="s">
        <v>449</v>
      </c>
      <c r="Q224" s="2" t="s">
        <v>70</v>
      </c>
      <c r="R224" s="2" t="s">
        <v>1310</v>
      </c>
      <c r="T224" s="2" t="s">
        <v>73</v>
      </c>
      <c r="U224" s="3">
        <v>3</v>
      </c>
      <c r="V224" s="3">
        <v>3</v>
      </c>
      <c r="W224" s="4" t="s">
        <v>2701</v>
      </c>
      <c r="X224" s="4" t="s">
        <v>2701</v>
      </c>
      <c r="Y224" s="4" t="s">
        <v>824</v>
      </c>
      <c r="Z224" s="4" t="s">
        <v>824</v>
      </c>
      <c r="AA224" s="3">
        <v>26</v>
      </c>
      <c r="AB224" s="3">
        <v>26</v>
      </c>
      <c r="AC224" s="3">
        <v>91</v>
      </c>
      <c r="AD224" s="3">
        <v>1</v>
      </c>
      <c r="AE224" s="3">
        <v>1</v>
      </c>
      <c r="AF224" s="3">
        <v>1</v>
      </c>
      <c r="AG224" s="3">
        <v>3</v>
      </c>
      <c r="AH224" s="3">
        <v>0</v>
      </c>
      <c r="AI224" s="3">
        <v>1</v>
      </c>
      <c r="AJ224" s="3">
        <v>0</v>
      </c>
      <c r="AK224" s="3">
        <v>1</v>
      </c>
      <c r="AL224" s="3">
        <v>1</v>
      </c>
      <c r="AM224" s="3">
        <v>1</v>
      </c>
      <c r="AN224" s="3">
        <v>0</v>
      </c>
      <c r="AO224" s="3">
        <v>0</v>
      </c>
      <c r="AP224" s="3">
        <v>0</v>
      </c>
      <c r="AQ224" s="3">
        <v>0</v>
      </c>
      <c r="AR224" s="2" t="s">
        <v>63</v>
      </c>
      <c r="AS224" s="2" t="s">
        <v>63</v>
      </c>
      <c r="AU224" s="5" t="str">
        <f>HYPERLINK("https://creighton-primo.hosted.exlibrisgroup.com/primo-explore/search?tab=default_tab&amp;search_scope=EVERYTHING&amp;vid=01CRU&amp;lang=en_US&amp;offset=0&amp;query=any,contains,991001528729702656","Catalog Record")</f>
        <v>Catalog Record</v>
      </c>
      <c r="AV224" s="5" t="str">
        <f>HYPERLINK("http://www.worldcat.org/oclc/16354851","WorldCat Record")</f>
        <v>WorldCat Record</v>
      </c>
      <c r="AW224" s="2" t="s">
        <v>2702</v>
      </c>
      <c r="AX224" s="2" t="s">
        <v>2703</v>
      </c>
      <c r="AY224" s="2" t="s">
        <v>2704</v>
      </c>
      <c r="AZ224" s="2" t="s">
        <v>2704</v>
      </c>
      <c r="BA224" s="2" t="s">
        <v>2705</v>
      </c>
      <c r="BB224" s="2" t="s">
        <v>81</v>
      </c>
      <c r="BE224" s="2" t="s">
        <v>2706</v>
      </c>
      <c r="BF224" s="2" t="s">
        <v>2707</v>
      </c>
    </row>
    <row r="225" spans="1:58" ht="42" customHeight="1">
      <c r="A225" s="1"/>
      <c r="B225" s="1" t="s">
        <v>58</v>
      </c>
      <c r="C225" s="1" t="s">
        <v>59</v>
      </c>
      <c r="D225" s="1" t="s">
        <v>2708</v>
      </c>
      <c r="E225" s="1" t="s">
        <v>2709</v>
      </c>
      <c r="F225" s="1" t="s">
        <v>2710</v>
      </c>
      <c r="H225" s="2" t="s">
        <v>63</v>
      </c>
      <c r="I225" s="2" t="s">
        <v>64</v>
      </c>
      <c r="J225" s="2" t="s">
        <v>63</v>
      </c>
      <c r="K225" s="2" t="s">
        <v>63</v>
      </c>
      <c r="L225" s="2" t="s">
        <v>65</v>
      </c>
      <c r="M225" s="1" t="s">
        <v>2711</v>
      </c>
      <c r="N225" s="1" t="s">
        <v>2712</v>
      </c>
      <c r="O225" s="2" t="s">
        <v>908</v>
      </c>
      <c r="Q225" s="2" t="s">
        <v>70</v>
      </c>
      <c r="R225" s="2" t="s">
        <v>698</v>
      </c>
      <c r="T225" s="2" t="s">
        <v>73</v>
      </c>
      <c r="U225" s="3">
        <v>9</v>
      </c>
      <c r="V225" s="3">
        <v>9</v>
      </c>
      <c r="W225" s="4" t="s">
        <v>2713</v>
      </c>
      <c r="X225" s="4" t="s">
        <v>2713</v>
      </c>
      <c r="Y225" s="4" t="s">
        <v>2714</v>
      </c>
      <c r="Z225" s="4" t="s">
        <v>2714</v>
      </c>
      <c r="AA225" s="3">
        <v>21</v>
      </c>
      <c r="AB225" s="3">
        <v>18</v>
      </c>
      <c r="AC225" s="3">
        <v>47</v>
      </c>
      <c r="AD225" s="3">
        <v>1</v>
      </c>
      <c r="AE225" s="3">
        <v>1</v>
      </c>
      <c r="AF225" s="3">
        <v>0</v>
      </c>
      <c r="AG225" s="3">
        <v>1</v>
      </c>
      <c r="AH225" s="3">
        <v>0</v>
      </c>
      <c r="AI225" s="3">
        <v>1</v>
      </c>
      <c r="AJ225" s="3">
        <v>0</v>
      </c>
      <c r="AK225" s="3">
        <v>0</v>
      </c>
      <c r="AL225" s="3">
        <v>0</v>
      </c>
      <c r="AM225" s="3">
        <v>1</v>
      </c>
      <c r="AN225" s="3">
        <v>0</v>
      </c>
      <c r="AO225" s="3">
        <v>0</v>
      </c>
      <c r="AP225" s="3">
        <v>0</v>
      </c>
      <c r="AQ225" s="3">
        <v>0</v>
      </c>
      <c r="AR225" s="2" t="s">
        <v>63</v>
      </c>
      <c r="AS225" s="2" t="s">
        <v>76</v>
      </c>
      <c r="AT225" s="5" t="str">
        <f>HYPERLINK("http://catalog.hathitrust.org/Record/008857834","HathiTrust Record")</f>
        <v>HathiTrust Record</v>
      </c>
      <c r="AU225" s="5" t="str">
        <f>HYPERLINK("https://creighton-primo.hosted.exlibrisgroup.com/primo-explore/search?tab=default_tab&amp;search_scope=EVERYTHING&amp;vid=01CRU&amp;lang=en_US&amp;offset=0&amp;query=any,contains,991000683759702656","Catalog Record")</f>
        <v>Catalog Record</v>
      </c>
      <c r="AV225" s="5" t="str">
        <f>HYPERLINK("http://www.worldcat.org/oclc/28366127","WorldCat Record")</f>
        <v>WorldCat Record</v>
      </c>
      <c r="AW225" s="2" t="s">
        <v>2715</v>
      </c>
      <c r="AX225" s="2" t="s">
        <v>2716</v>
      </c>
      <c r="AY225" s="2" t="s">
        <v>2717</v>
      </c>
      <c r="AZ225" s="2" t="s">
        <v>2717</v>
      </c>
      <c r="BA225" s="2" t="s">
        <v>2718</v>
      </c>
      <c r="BB225" s="2" t="s">
        <v>81</v>
      </c>
      <c r="BD225" s="2" t="s">
        <v>2719</v>
      </c>
      <c r="BE225" s="2" t="s">
        <v>2720</v>
      </c>
      <c r="BF225" s="2" t="s">
        <v>2721</v>
      </c>
    </row>
    <row r="226" spans="1:58" ht="42" customHeight="1">
      <c r="A226" s="1"/>
      <c r="B226" s="1" t="s">
        <v>58</v>
      </c>
      <c r="C226" s="1" t="s">
        <v>59</v>
      </c>
      <c r="D226" s="1" t="s">
        <v>2722</v>
      </c>
      <c r="E226" s="1" t="s">
        <v>2723</v>
      </c>
      <c r="F226" s="1" t="s">
        <v>2724</v>
      </c>
      <c r="H226" s="2" t="s">
        <v>63</v>
      </c>
      <c r="I226" s="2" t="s">
        <v>64</v>
      </c>
      <c r="J226" s="2" t="s">
        <v>63</v>
      </c>
      <c r="K226" s="2" t="s">
        <v>76</v>
      </c>
      <c r="L226" s="2" t="s">
        <v>65</v>
      </c>
      <c r="M226" s="1" t="s">
        <v>2725</v>
      </c>
      <c r="N226" s="1" t="s">
        <v>2726</v>
      </c>
      <c r="O226" s="2" t="s">
        <v>68</v>
      </c>
      <c r="Q226" s="2" t="s">
        <v>70</v>
      </c>
      <c r="R226" s="2" t="s">
        <v>509</v>
      </c>
      <c r="T226" s="2" t="s">
        <v>73</v>
      </c>
      <c r="U226" s="3">
        <v>86</v>
      </c>
      <c r="V226" s="3">
        <v>86</v>
      </c>
      <c r="W226" s="4" t="s">
        <v>2727</v>
      </c>
      <c r="X226" s="4" t="s">
        <v>2727</v>
      </c>
      <c r="Y226" s="4" t="s">
        <v>2728</v>
      </c>
      <c r="Z226" s="4" t="s">
        <v>2728</v>
      </c>
      <c r="AA226" s="3">
        <v>394</v>
      </c>
      <c r="AB226" s="3">
        <v>296</v>
      </c>
      <c r="AC226" s="3">
        <v>801</v>
      </c>
      <c r="AD226" s="3">
        <v>1</v>
      </c>
      <c r="AE226" s="3">
        <v>5</v>
      </c>
      <c r="AF226" s="3">
        <v>13</v>
      </c>
      <c r="AG226" s="3">
        <v>33</v>
      </c>
      <c r="AH226" s="3">
        <v>5</v>
      </c>
      <c r="AI226" s="3">
        <v>13</v>
      </c>
      <c r="AJ226" s="3">
        <v>3</v>
      </c>
      <c r="AK226" s="3">
        <v>8</v>
      </c>
      <c r="AL226" s="3">
        <v>9</v>
      </c>
      <c r="AM226" s="3">
        <v>17</v>
      </c>
      <c r="AN226" s="3">
        <v>0</v>
      </c>
      <c r="AO226" s="3">
        <v>3</v>
      </c>
      <c r="AP226" s="3">
        <v>0</v>
      </c>
      <c r="AQ226" s="3">
        <v>0</v>
      </c>
      <c r="AR226" s="2" t="s">
        <v>63</v>
      </c>
      <c r="AS226" s="2" t="s">
        <v>63</v>
      </c>
      <c r="AU226" s="5" t="str">
        <f>HYPERLINK("https://creighton-primo.hosted.exlibrisgroup.com/primo-explore/search?tab=default_tab&amp;search_scope=EVERYTHING&amp;vid=01CRU&amp;lang=en_US&amp;offset=0&amp;query=any,contains,991001403169702656","Catalog Record")</f>
        <v>Catalog Record</v>
      </c>
      <c r="AV226" s="5" t="str">
        <f>HYPERLINK("http://www.worldcat.org/oclc/30319111","WorldCat Record")</f>
        <v>WorldCat Record</v>
      </c>
      <c r="AW226" s="2" t="s">
        <v>2615</v>
      </c>
      <c r="AX226" s="2" t="s">
        <v>2729</v>
      </c>
      <c r="AY226" s="2" t="s">
        <v>2730</v>
      </c>
      <c r="AZ226" s="2" t="s">
        <v>2730</v>
      </c>
      <c r="BA226" s="2" t="s">
        <v>2731</v>
      </c>
      <c r="BB226" s="2" t="s">
        <v>81</v>
      </c>
      <c r="BD226" s="2" t="s">
        <v>2732</v>
      </c>
      <c r="BE226" s="2" t="s">
        <v>2733</v>
      </c>
      <c r="BF226" s="2" t="s">
        <v>2734</v>
      </c>
    </row>
    <row r="227" spans="1:58" ht="42" customHeight="1">
      <c r="A227" s="1"/>
      <c r="B227" s="1" t="s">
        <v>58</v>
      </c>
      <c r="C227" s="1" t="s">
        <v>59</v>
      </c>
      <c r="D227" s="1" t="s">
        <v>2735</v>
      </c>
      <c r="E227" s="1" t="s">
        <v>2736</v>
      </c>
      <c r="F227" s="1" t="s">
        <v>2611</v>
      </c>
      <c r="H227" s="2" t="s">
        <v>63</v>
      </c>
      <c r="I227" s="2" t="s">
        <v>64</v>
      </c>
      <c r="J227" s="2" t="s">
        <v>63</v>
      </c>
      <c r="K227" s="2" t="s">
        <v>76</v>
      </c>
      <c r="L227" s="2" t="s">
        <v>65</v>
      </c>
      <c r="N227" s="1" t="s">
        <v>2737</v>
      </c>
      <c r="O227" s="2" t="s">
        <v>1688</v>
      </c>
      <c r="P227" s="1" t="s">
        <v>795</v>
      </c>
      <c r="Q227" s="2" t="s">
        <v>70</v>
      </c>
      <c r="R227" s="2" t="s">
        <v>422</v>
      </c>
      <c r="T227" s="2" t="s">
        <v>73</v>
      </c>
      <c r="U227" s="3">
        <v>10</v>
      </c>
      <c r="V227" s="3">
        <v>10</v>
      </c>
      <c r="W227" s="4" t="s">
        <v>2738</v>
      </c>
      <c r="X227" s="4" t="s">
        <v>2738</v>
      </c>
      <c r="Y227" s="4" t="s">
        <v>2739</v>
      </c>
      <c r="Z227" s="4" t="s">
        <v>2739</v>
      </c>
      <c r="AA227" s="3">
        <v>152</v>
      </c>
      <c r="AB227" s="3">
        <v>62</v>
      </c>
      <c r="AC227" s="3">
        <v>801</v>
      </c>
      <c r="AD227" s="3">
        <v>1</v>
      </c>
      <c r="AE227" s="3">
        <v>5</v>
      </c>
      <c r="AF227" s="3">
        <v>1</v>
      </c>
      <c r="AG227" s="3">
        <v>33</v>
      </c>
      <c r="AH227" s="3">
        <v>1</v>
      </c>
      <c r="AI227" s="3">
        <v>13</v>
      </c>
      <c r="AJ227" s="3">
        <v>0</v>
      </c>
      <c r="AK227" s="3">
        <v>8</v>
      </c>
      <c r="AL227" s="3">
        <v>0</v>
      </c>
      <c r="AM227" s="3">
        <v>17</v>
      </c>
      <c r="AN227" s="3">
        <v>0</v>
      </c>
      <c r="AO227" s="3">
        <v>3</v>
      </c>
      <c r="AP227" s="3">
        <v>0</v>
      </c>
      <c r="AQ227" s="3">
        <v>0</v>
      </c>
      <c r="AR227" s="2" t="s">
        <v>63</v>
      </c>
      <c r="AS227" s="2" t="s">
        <v>63</v>
      </c>
      <c r="AU227" s="5" t="str">
        <f>HYPERLINK("https://creighton-primo.hosted.exlibrisgroup.com/primo-explore/search?tab=default_tab&amp;search_scope=EVERYTHING&amp;vid=01CRU&amp;lang=en_US&amp;offset=0&amp;query=any,contains,991000303219702656","Catalog Record")</f>
        <v>Catalog Record</v>
      </c>
      <c r="AV227" s="5" t="str">
        <f>HYPERLINK("http://www.worldcat.org/oclc/48684898","WorldCat Record")</f>
        <v>WorldCat Record</v>
      </c>
      <c r="AW227" s="2" t="s">
        <v>2615</v>
      </c>
      <c r="AX227" s="2" t="s">
        <v>2740</v>
      </c>
      <c r="AY227" s="2" t="s">
        <v>2741</v>
      </c>
      <c r="AZ227" s="2" t="s">
        <v>2741</v>
      </c>
      <c r="BA227" s="2" t="s">
        <v>2742</v>
      </c>
      <c r="BB227" s="2" t="s">
        <v>81</v>
      </c>
      <c r="BD227" s="2" t="s">
        <v>2743</v>
      </c>
      <c r="BE227" s="2" t="s">
        <v>2744</v>
      </c>
      <c r="BF227" s="2" t="s">
        <v>2745</v>
      </c>
    </row>
    <row r="228" spans="1:58" ht="42" customHeight="1">
      <c r="A228" s="1"/>
      <c r="B228" s="1" t="s">
        <v>58</v>
      </c>
      <c r="C228" s="1" t="s">
        <v>59</v>
      </c>
      <c r="D228" s="1" t="s">
        <v>2746</v>
      </c>
      <c r="E228" s="1" t="s">
        <v>2747</v>
      </c>
      <c r="F228" s="1" t="s">
        <v>2748</v>
      </c>
      <c r="H228" s="2" t="s">
        <v>63</v>
      </c>
      <c r="I228" s="2" t="s">
        <v>64</v>
      </c>
      <c r="J228" s="2" t="s">
        <v>63</v>
      </c>
      <c r="K228" s="2" t="s">
        <v>63</v>
      </c>
      <c r="L228" s="2" t="s">
        <v>65</v>
      </c>
      <c r="M228" s="1" t="s">
        <v>2749</v>
      </c>
      <c r="N228" s="1" t="s">
        <v>2750</v>
      </c>
      <c r="O228" s="2" t="s">
        <v>435</v>
      </c>
      <c r="P228" s="1" t="s">
        <v>245</v>
      </c>
      <c r="Q228" s="2" t="s">
        <v>70</v>
      </c>
      <c r="R228" s="2" t="s">
        <v>107</v>
      </c>
      <c r="T228" s="2" t="s">
        <v>73</v>
      </c>
      <c r="U228" s="3">
        <v>3</v>
      </c>
      <c r="V228" s="3">
        <v>3</v>
      </c>
      <c r="W228" s="4" t="s">
        <v>2751</v>
      </c>
      <c r="X228" s="4" t="s">
        <v>2751</v>
      </c>
      <c r="Y228" s="4" t="s">
        <v>2752</v>
      </c>
      <c r="Z228" s="4" t="s">
        <v>2752</v>
      </c>
      <c r="AA228" s="3">
        <v>166</v>
      </c>
      <c r="AB228" s="3">
        <v>101</v>
      </c>
      <c r="AC228" s="3">
        <v>264</v>
      </c>
      <c r="AD228" s="3">
        <v>2</v>
      </c>
      <c r="AE228" s="3">
        <v>2</v>
      </c>
      <c r="AF228" s="3">
        <v>5</v>
      </c>
      <c r="AG228" s="3">
        <v>11</v>
      </c>
      <c r="AH228" s="3">
        <v>1</v>
      </c>
      <c r="AI228" s="3">
        <v>3</v>
      </c>
      <c r="AJ228" s="3">
        <v>2</v>
      </c>
      <c r="AK228" s="3">
        <v>3</v>
      </c>
      <c r="AL228" s="3">
        <v>3</v>
      </c>
      <c r="AM228" s="3">
        <v>7</v>
      </c>
      <c r="AN228" s="3">
        <v>1</v>
      </c>
      <c r="AO228" s="3">
        <v>1</v>
      </c>
      <c r="AP228" s="3">
        <v>0</v>
      </c>
      <c r="AQ228" s="3">
        <v>0</v>
      </c>
      <c r="AR228" s="2" t="s">
        <v>63</v>
      </c>
      <c r="AS228" s="2" t="s">
        <v>76</v>
      </c>
      <c r="AT228" s="5" t="str">
        <f>HYPERLINK("http://catalog.hathitrust.org/Record/003792714","HathiTrust Record")</f>
        <v>HathiTrust Record</v>
      </c>
      <c r="AU228" s="5" t="str">
        <f>HYPERLINK("https://creighton-primo.hosted.exlibrisgroup.com/primo-explore/search?tab=default_tab&amp;search_scope=EVERYTHING&amp;vid=01CRU&amp;lang=en_US&amp;offset=0&amp;query=any,contains,991001363679702656","Catalog Record")</f>
        <v>Catalog Record</v>
      </c>
      <c r="AV228" s="5" t="str">
        <f>HYPERLINK("http://www.worldcat.org/oclc/20168023","WorldCat Record")</f>
        <v>WorldCat Record</v>
      </c>
      <c r="AW228" s="2" t="s">
        <v>2753</v>
      </c>
      <c r="AX228" s="2" t="s">
        <v>2754</v>
      </c>
      <c r="AY228" s="2" t="s">
        <v>2755</v>
      </c>
      <c r="AZ228" s="2" t="s">
        <v>2755</v>
      </c>
      <c r="BA228" s="2" t="s">
        <v>2756</v>
      </c>
      <c r="BB228" s="2" t="s">
        <v>81</v>
      </c>
      <c r="BD228" s="2" t="s">
        <v>2757</v>
      </c>
      <c r="BE228" s="2" t="s">
        <v>2758</v>
      </c>
      <c r="BF228" s="2" t="s">
        <v>2759</v>
      </c>
    </row>
    <row r="229" spans="1:58" ht="42" customHeight="1">
      <c r="A229" s="1"/>
      <c r="B229" s="1" t="s">
        <v>58</v>
      </c>
      <c r="C229" s="1" t="s">
        <v>59</v>
      </c>
      <c r="D229" s="1" t="s">
        <v>2760</v>
      </c>
      <c r="E229" s="1" t="s">
        <v>2761</v>
      </c>
      <c r="F229" s="1" t="s">
        <v>2762</v>
      </c>
      <c r="H229" s="2" t="s">
        <v>63</v>
      </c>
      <c r="I229" s="2" t="s">
        <v>64</v>
      </c>
      <c r="J229" s="2" t="s">
        <v>63</v>
      </c>
      <c r="K229" s="2" t="s">
        <v>63</v>
      </c>
      <c r="L229" s="2" t="s">
        <v>65</v>
      </c>
      <c r="M229" s="1" t="s">
        <v>2763</v>
      </c>
      <c r="N229" s="1" t="s">
        <v>2764</v>
      </c>
      <c r="O229" s="2" t="s">
        <v>230</v>
      </c>
      <c r="Q229" s="2" t="s">
        <v>70</v>
      </c>
      <c r="R229" s="2" t="s">
        <v>509</v>
      </c>
      <c r="S229" s="1" t="s">
        <v>2765</v>
      </c>
      <c r="T229" s="2" t="s">
        <v>73</v>
      </c>
      <c r="U229" s="3">
        <v>26</v>
      </c>
      <c r="V229" s="3">
        <v>26</v>
      </c>
      <c r="W229" s="4" t="s">
        <v>2766</v>
      </c>
      <c r="X229" s="4" t="s">
        <v>2766</v>
      </c>
      <c r="Y229" s="4" t="s">
        <v>2767</v>
      </c>
      <c r="Z229" s="4" t="s">
        <v>2767</v>
      </c>
      <c r="AA229" s="3">
        <v>123</v>
      </c>
      <c r="AB229" s="3">
        <v>72</v>
      </c>
      <c r="AC229" s="3">
        <v>83</v>
      </c>
      <c r="AD229" s="3">
        <v>1</v>
      </c>
      <c r="AE229" s="3">
        <v>1</v>
      </c>
      <c r="AF229" s="3">
        <v>4</v>
      </c>
      <c r="AG229" s="3">
        <v>5</v>
      </c>
      <c r="AH229" s="3">
        <v>2</v>
      </c>
      <c r="AI229" s="3">
        <v>3</v>
      </c>
      <c r="AJ229" s="3">
        <v>1</v>
      </c>
      <c r="AK229" s="3">
        <v>1</v>
      </c>
      <c r="AL229" s="3">
        <v>4</v>
      </c>
      <c r="AM229" s="3">
        <v>4</v>
      </c>
      <c r="AN229" s="3">
        <v>0</v>
      </c>
      <c r="AO229" s="3">
        <v>0</v>
      </c>
      <c r="AP229" s="3">
        <v>0</v>
      </c>
      <c r="AQ229" s="3">
        <v>0</v>
      </c>
      <c r="AR229" s="2" t="s">
        <v>63</v>
      </c>
      <c r="AS229" s="2" t="s">
        <v>76</v>
      </c>
      <c r="AT229" s="5" t="str">
        <f>HYPERLINK("http://catalog.hathitrust.org/Record/000779614","HathiTrust Record")</f>
        <v>HathiTrust Record</v>
      </c>
      <c r="AU229" s="5" t="str">
        <f>HYPERLINK("https://creighton-primo.hosted.exlibrisgroup.com/primo-explore/search?tab=default_tab&amp;search_scope=EVERYTHING&amp;vid=01CRU&amp;lang=en_US&amp;offset=0&amp;query=any,contains,991000998859702656","Catalog Record")</f>
        <v>Catalog Record</v>
      </c>
      <c r="AV229" s="5" t="str">
        <f>HYPERLINK("http://www.worldcat.org/oclc/8670255","WorldCat Record")</f>
        <v>WorldCat Record</v>
      </c>
      <c r="AW229" s="2" t="s">
        <v>2768</v>
      </c>
      <c r="AX229" s="2" t="s">
        <v>2769</v>
      </c>
      <c r="AY229" s="2" t="s">
        <v>2770</v>
      </c>
      <c r="AZ229" s="2" t="s">
        <v>2770</v>
      </c>
      <c r="BA229" s="2" t="s">
        <v>2771</v>
      </c>
      <c r="BB229" s="2" t="s">
        <v>81</v>
      </c>
      <c r="BD229" s="2" t="s">
        <v>2772</v>
      </c>
      <c r="BE229" s="2" t="s">
        <v>2773</v>
      </c>
      <c r="BF229" s="2" t="s">
        <v>2774</v>
      </c>
    </row>
    <row r="230" spans="1:58" ht="42" customHeight="1">
      <c r="A230" s="1"/>
      <c r="B230" s="1" t="s">
        <v>58</v>
      </c>
      <c r="C230" s="1" t="s">
        <v>59</v>
      </c>
      <c r="D230" s="1" t="s">
        <v>2775</v>
      </c>
      <c r="E230" s="1" t="s">
        <v>2776</v>
      </c>
      <c r="F230" s="1" t="s">
        <v>2777</v>
      </c>
      <c r="H230" s="2" t="s">
        <v>63</v>
      </c>
      <c r="I230" s="2" t="s">
        <v>64</v>
      </c>
      <c r="J230" s="2" t="s">
        <v>63</v>
      </c>
      <c r="K230" s="2" t="s">
        <v>76</v>
      </c>
      <c r="L230" s="2" t="s">
        <v>65</v>
      </c>
      <c r="M230" s="1" t="s">
        <v>2778</v>
      </c>
      <c r="N230" s="1" t="s">
        <v>2779</v>
      </c>
      <c r="O230" s="2" t="s">
        <v>878</v>
      </c>
      <c r="P230" s="1" t="s">
        <v>245</v>
      </c>
      <c r="Q230" s="2" t="s">
        <v>70</v>
      </c>
      <c r="R230" s="2" t="s">
        <v>422</v>
      </c>
      <c r="T230" s="2" t="s">
        <v>73</v>
      </c>
      <c r="U230" s="3">
        <v>42</v>
      </c>
      <c r="V230" s="3">
        <v>42</v>
      </c>
      <c r="W230" s="4" t="s">
        <v>2408</v>
      </c>
      <c r="X230" s="4" t="s">
        <v>2408</v>
      </c>
      <c r="Y230" s="4" t="s">
        <v>2780</v>
      </c>
      <c r="Z230" s="4" t="s">
        <v>2780</v>
      </c>
      <c r="AA230" s="3">
        <v>322</v>
      </c>
      <c r="AB230" s="3">
        <v>182</v>
      </c>
      <c r="AC230" s="3">
        <v>445</v>
      </c>
      <c r="AD230" s="3">
        <v>2</v>
      </c>
      <c r="AE230" s="3">
        <v>6</v>
      </c>
      <c r="AF230" s="3">
        <v>7</v>
      </c>
      <c r="AG230" s="3">
        <v>15</v>
      </c>
      <c r="AH230" s="3">
        <v>4</v>
      </c>
      <c r="AI230" s="3">
        <v>6</v>
      </c>
      <c r="AJ230" s="3">
        <v>2</v>
      </c>
      <c r="AK230" s="3">
        <v>5</v>
      </c>
      <c r="AL230" s="3">
        <v>0</v>
      </c>
      <c r="AM230" s="3">
        <v>3</v>
      </c>
      <c r="AN230" s="3">
        <v>1</v>
      </c>
      <c r="AO230" s="3">
        <v>4</v>
      </c>
      <c r="AP230" s="3">
        <v>0</v>
      </c>
      <c r="AQ230" s="3">
        <v>0</v>
      </c>
      <c r="AR230" s="2" t="s">
        <v>63</v>
      </c>
      <c r="AS230" s="2" t="s">
        <v>63</v>
      </c>
      <c r="AU230" s="5" t="str">
        <f>HYPERLINK("https://creighton-primo.hosted.exlibrisgroup.com/primo-explore/search?tab=default_tab&amp;search_scope=EVERYTHING&amp;vid=01CRU&amp;lang=en_US&amp;offset=0&amp;query=any,contains,991000784769702656","Catalog Record")</f>
        <v>Catalog Record</v>
      </c>
      <c r="AV230" s="5" t="str">
        <f>HYPERLINK("http://www.worldcat.org/oclc/36127172","WorldCat Record")</f>
        <v>WorldCat Record</v>
      </c>
      <c r="AW230" s="2" t="s">
        <v>2781</v>
      </c>
      <c r="AX230" s="2" t="s">
        <v>2782</v>
      </c>
      <c r="AY230" s="2" t="s">
        <v>2783</v>
      </c>
      <c r="AZ230" s="2" t="s">
        <v>2783</v>
      </c>
      <c r="BA230" s="2" t="s">
        <v>2784</v>
      </c>
      <c r="BB230" s="2" t="s">
        <v>81</v>
      </c>
      <c r="BD230" s="2" t="s">
        <v>2785</v>
      </c>
      <c r="BE230" s="2" t="s">
        <v>2786</v>
      </c>
      <c r="BF230" s="2" t="s">
        <v>2787</v>
      </c>
    </row>
    <row r="231" spans="1:58" ht="42" customHeight="1">
      <c r="A231" s="1"/>
      <c r="B231" s="1" t="s">
        <v>58</v>
      </c>
      <c r="C231" s="1" t="s">
        <v>59</v>
      </c>
      <c r="D231" s="1" t="s">
        <v>2788</v>
      </c>
      <c r="E231" s="1" t="s">
        <v>2789</v>
      </c>
      <c r="F231" s="1" t="s">
        <v>2790</v>
      </c>
      <c r="H231" s="2" t="s">
        <v>63</v>
      </c>
      <c r="I231" s="2" t="s">
        <v>64</v>
      </c>
      <c r="J231" s="2" t="s">
        <v>63</v>
      </c>
      <c r="K231" s="2" t="s">
        <v>76</v>
      </c>
      <c r="L231" s="2" t="s">
        <v>65</v>
      </c>
      <c r="N231" s="1" t="s">
        <v>2791</v>
      </c>
      <c r="O231" s="2" t="s">
        <v>878</v>
      </c>
      <c r="P231" s="1" t="s">
        <v>392</v>
      </c>
      <c r="Q231" s="2" t="s">
        <v>70</v>
      </c>
      <c r="R231" s="2" t="s">
        <v>316</v>
      </c>
      <c r="T231" s="2" t="s">
        <v>73</v>
      </c>
      <c r="U231" s="3">
        <v>15</v>
      </c>
      <c r="V231" s="3">
        <v>15</v>
      </c>
      <c r="W231" s="4" t="s">
        <v>768</v>
      </c>
      <c r="X231" s="4" t="s">
        <v>768</v>
      </c>
      <c r="Y231" s="4" t="s">
        <v>2792</v>
      </c>
      <c r="Z231" s="4" t="s">
        <v>2792</v>
      </c>
      <c r="AA231" s="3">
        <v>235</v>
      </c>
      <c r="AB231" s="3">
        <v>159</v>
      </c>
      <c r="AC231" s="3">
        <v>306</v>
      </c>
      <c r="AD231" s="3">
        <v>1</v>
      </c>
      <c r="AE231" s="3">
        <v>2</v>
      </c>
      <c r="AF231" s="3">
        <v>2</v>
      </c>
      <c r="AG231" s="3">
        <v>7</v>
      </c>
      <c r="AH231" s="3">
        <v>0</v>
      </c>
      <c r="AI231" s="3">
        <v>1</v>
      </c>
      <c r="AJ231" s="3">
        <v>2</v>
      </c>
      <c r="AK231" s="3">
        <v>4</v>
      </c>
      <c r="AL231" s="3">
        <v>2</v>
      </c>
      <c r="AM231" s="3">
        <v>3</v>
      </c>
      <c r="AN231" s="3">
        <v>0</v>
      </c>
      <c r="AO231" s="3">
        <v>1</v>
      </c>
      <c r="AP231" s="3">
        <v>0</v>
      </c>
      <c r="AQ231" s="3">
        <v>0</v>
      </c>
      <c r="AR231" s="2" t="s">
        <v>63</v>
      </c>
      <c r="AS231" s="2" t="s">
        <v>76</v>
      </c>
      <c r="AT231" s="5" t="str">
        <f>HYPERLINK("http://catalog.hathitrust.org/Record/003154540","HathiTrust Record")</f>
        <v>HathiTrust Record</v>
      </c>
      <c r="AU231" s="5" t="str">
        <f>HYPERLINK("https://creighton-primo.hosted.exlibrisgroup.com/primo-explore/search?tab=default_tab&amp;search_scope=EVERYTHING&amp;vid=01CRU&amp;lang=en_US&amp;offset=0&amp;query=any,contains,991001254379702656","Catalog Record")</f>
        <v>Catalog Record</v>
      </c>
      <c r="AV231" s="5" t="str">
        <f>HYPERLINK("http://www.worldcat.org/oclc/36789107","WorldCat Record")</f>
        <v>WorldCat Record</v>
      </c>
      <c r="AW231" s="2" t="s">
        <v>2793</v>
      </c>
      <c r="AX231" s="2" t="s">
        <v>2794</v>
      </c>
      <c r="AY231" s="2" t="s">
        <v>2795</v>
      </c>
      <c r="AZ231" s="2" t="s">
        <v>2795</v>
      </c>
      <c r="BA231" s="2" t="s">
        <v>2796</v>
      </c>
      <c r="BB231" s="2" t="s">
        <v>81</v>
      </c>
      <c r="BD231" s="2" t="s">
        <v>2797</v>
      </c>
      <c r="BE231" s="2" t="s">
        <v>2798</v>
      </c>
      <c r="BF231" s="2" t="s">
        <v>2799</v>
      </c>
    </row>
    <row r="232" spans="1:58" ht="42" customHeight="1">
      <c r="A232" s="1"/>
      <c r="B232" s="1" t="s">
        <v>58</v>
      </c>
      <c r="C232" s="1" t="s">
        <v>59</v>
      </c>
      <c r="D232" s="1" t="s">
        <v>2800</v>
      </c>
      <c r="E232" s="1" t="s">
        <v>2801</v>
      </c>
      <c r="F232" s="1" t="s">
        <v>2802</v>
      </c>
      <c r="H232" s="2" t="s">
        <v>63</v>
      </c>
      <c r="I232" s="2" t="s">
        <v>64</v>
      </c>
      <c r="J232" s="2" t="s">
        <v>63</v>
      </c>
      <c r="K232" s="2" t="s">
        <v>63</v>
      </c>
      <c r="L232" s="2" t="s">
        <v>64</v>
      </c>
      <c r="M232" s="1" t="s">
        <v>2803</v>
      </c>
      <c r="N232" s="1" t="s">
        <v>2804</v>
      </c>
      <c r="O232" s="2" t="s">
        <v>563</v>
      </c>
      <c r="Q232" s="2" t="s">
        <v>70</v>
      </c>
      <c r="R232" s="2" t="s">
        <v>509</v>
      </c>
      <c r="T232" s="2" t="s">
        <v>73</v>
      </c>
      <c r="U232" s="3">
        <v>1</v>
      </c>
      <c r="V232" s="3">
        <v>1</v>
      </c>
      <c r="W232" s="4" t="s">
        <v>2805</v>
      </c>
      <c r="X232" s="4" t="s">
        <v>2805</v>
      </c>
      <c r="Y232" s="4" t="s">
        <v>2806</v>
      </c>
      <c r="Z232" s="4" t="s">
        <v>2806</v>
      </c>
      <c r="AA232" s="3">
        <v>259</v>
      </c>
      <c r="AB232" s="3">
        <v>191</v>
      </c>
      <c r="AC232" s="3">
        <v>926</v>
      </c>
      <c r="AD232" s="3">
        <v>2</v>
      </c>
      <c r="AE232" s="3">
        <v>14</v>
      </c>
      <c r="AF232" s="3">
        <v>8</v>
      </c>
      <c r="AG232" s="3">
        <v>35</v>
      </c>
      <c r="AH232" s="3">
        <v>2</v>
      </c>
      <c r="AI232" s="3">
        <v>11</v>
      </c>
      <c r="AJ232" s="3">
        <v>2</v>
      </c>
      <c r="AK232" s="3">
        <v>8</v>
      </c>
      <c r="AL232" s="3">
        <v>4</v>
      </c>
      <c r="AM232" s="3">
        <v>9</v>
      </c>
      <c r="AN232" s="3">
        <v>1</v>
      </c>
      <c r="AO232" s="3">
        <v>12</v>
      </c>
      <c r="AP232" s="3">
        <v>0</v>
      </c>
      <c r="AQ232" s="3">
        <v>1</v>
      </c>
      <c r="AR232" s="2" t="s">
        <v>63</v>
      </c>
      <c r="AS232" s="2" t="s">
        <v>76</v>
      </c>
      <c r="AT232" s="5" t="str">
        <f>HYPERLINK("http://catalog.hathitrust.org/Record/004166543","HathiTrust Record")</f>
        <v>HathiTrust Record</v>
      </c>
      <c r="AU232" s="5" t="str">
        <f>HYPERLINK("https://creighton-primo.hosted.exlibrisgroup.com/primo-explore/search?tab=default_tab&amp;search_scope=EVERYTHING&amp;vid=01CRU&amp;lang=en_US&amp;offset=0&amp;query=any,contains,991000341949702656","Catalog Record")</f>
        <v>Catalog Record</v>
      </c>
      <c r="AV232" s="5" t="str">
        <f>HYPERLINK("http://www.worldcat.org/oclc/44603902","WorldCat Record")</f>
        <v>WorldCat Record</v>
      </c>
      <c r="AW232" s="2" t="s">
        <v>2807</v>
      </c>
      <c r="AX232" s="2" t="s">
        <v>2808</v>
      </c>
      <c r="AY232" s="2" t="s">
        <v>2809</v>
      </c>
      <c r="AZ232" s="2" t="s">
        <v>2809</v>
      </c>
      <c r="BA232" s="2" t="s">
        <v>2810</v>
      </c>
      <c r="BB232" s="2" t="s">
        <v>81</v>
      </c>
      <c r="BD232" s="2" t="s">
        <v>2811</v>
      </c>
      <c r="BE232" s="2" t="s">
        <v>2812</v>
      </c>
      <c r="BF232" s="2" t="s">
        <v>2813</v>
      </c>
    </row>
    <row r="233" spans="1:58" ht="42" customHeight="1">
      <c r="A233" s="1"/>
      <c r="B233" s="1" t="s">
        <v>58</v>
      </c>
      <c r="C233" s="1" t="s">
        <v>59</v>
      </c>
      <c r="D233" s="1" t="s">
        <v>2814</v>
      </c>
      <c r="E233" s="1" t="s">
        <v>2815</v>
      </c>
      <c r="F233" s="1" t="s">
        <v>2816</v>
      </c>
      <c r="H233" s="2" t="s">
        <v>63</v>
      </c>
      <c r="I233" s="2" t="s">
        <v>64</v>
      </c>
      <c r="J233" s="2" t="s">
        <v>63</v>
      </c>
      <c r="K233" s="2" t="s">
        <v>63</v>
      </c>
      <c r="L233" s="2" t="s">
        <v>65</v>
      </c>
      <c r="N233" s="1" t="s">
        <v>2817</v>
      </c>
      <c r="O233" s="2" t="s">
        <v>230</v>
      </c>
      <c r="Q233" s="2" t="s">
        <v>70</v>
      </c>
      <c r="R233" s="2" t="s">
        <v>107</v>
      </c>
      <c r="S233" s="1" t="s">
        <v>2818</v>
      </c>
      <c r="T233" s="2" t="s">
        <v>73</v>
      </c>
      <c r="U233" s="3">
        <v>7</v>
      </c>
      <c r="V233" s="3">
        <v>7</v>
      </c>
      <c r="W233" s="4" t="s">
        <v>2819</v>
      </c>
      <c r="X233" s="4" t="s">
        <v>2819</v>
      </c>
      <c r="Y233" s="4" t="s">
        <v>2110</v>
      </c>
      <c r="Z233" s="4" t="s">
        <v>2110</v>
      </c>
      <c r="AA233" s="3">
        <v>93</v>
      </c>
      <c r="AB233" s="3">
        <v>73</v>
      </c>
      <c r="AC233" s="3">
        <v>75</v>
      </c>
      <c r="AD233" s="3">
        <v>1</v>
      </c>
      <c r="AE233" s="3">
        <v>1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2" t="s">
        <v>63</v>
      </c>
      <c r="AS233" s="2" t="s">
        <v>76</v>
      </c>
      <c r="AT233" s="5" t="str">
        <f>HYPERLINK("http://catalog.hathitrust.org/Record/000124528","HathiTrust Record")</f>
        <v>HathiTrust Record</v>
      </c>
      <c r="AU233" s="5" t="str">
        <f>HYPERLINK("https://creighton-primo.hosted.exlibrisgroup.com/primo-explore/search?tab=default_tab&amp;search_scope=EVERYTHING&amp;vid=01CRU&amp;lang=en_US&amp;offset=0&amp;query=any,contains,991000998639702656","Catalog Record")</f>
        <v>Catalog Record</v>
      </c>
      <c r="AV233" s="5" t="str">
        <f>HYPERLINK("http://www.worldcat.org/oclc/8847220","WorldCat Record")</f>
        <v>WorldCat Record</v>
      </c>
      <c r="AW233" s="2" t="s">
        <v>2820</v>
      </c>
      <c r="AX233" s="2" t="s">
        <v>2821</v>
      </c>
      <c r="AY233" s="2" t="s">
        <v>2822</v>
      </c>
      <c r="AZ233" s="2" t="s">
        <v>2822</v>
      </c>
      <c r="BA233" s="2" t="s">
        <v>2823</v>
      </c>
      <c r="BB233" s="2" t="s">
        <v>81</v>
      </c>
      <c r="BD233" s="2" t="s">
        <v>2824</v>
      </c>
      <c r="BE233" s="2" t="s">
        <v>2825</v>
      </c>
      <c r="BF233" s="2" t="s">
        <v>2826</v>
      </c>
    </row>
    <row r="234" spans="1:58" ht="42" customHeight="1">
      <c r="A234" s="1"/>
      <c r="B234" s="1" t="s">
        <v>58</v>
      </c>
      <c r="C234" s="1" t="s">
        <v>59</v>
      </c>
      <c r="D234" s="1" t="s">
        <v>2827</v>
      </c>
      <c r="E234" s="1" t="s">
        <v>2828</v>
      </c>
      <c r="F234" s="1" t="s">
        <v>2829</v>
      </c>
      <c r="H234" s="2" t="s">
        <v>63</v>
      </c>
      <c r="I234" s="2" t="s">
        <v>64</v>
      </c>
      <c r="J234" s="2" t="s">
        <v>63</v>
      </c>
      <c r="K234" s="2" t="s">
        <v>63</v>
      </c>
      <c r="L234" s="2" t="s">
        <v>65</v>
      </c>
      <c r="N234" s="1" t="s">
        <v>2830</v>
      </c>
      <c r="O234" s="2" t="s">
        <v>713</v>
      </c>
      <c r="Q234" s="2" t="s">
        <v>70</v>
      </c>
      <c r="R234" s="2" t="s">
        <v>744</v>
      </c>
      <c r="T234" s="2" t="s">
        <v>73</v>
      </c>
      <c r="U234" s="3">
        <v>2</v>
      </c>
      <c r="V234" s="3">
        <v>2</v>
      </c>
      <c r="W234" s="4" t="s">
        <v>2831</v>
      </c>
      <c r="X234" s="4" t="s">
        <v>2831</v>
      </c>
      <c r="Y234" s="4" t="s">
        <v>2110</v>
      </c>
      <c r="Z234" s="4" t="s">
        <v>2110</v>
      </c>
      <c r="AA234" s="3">
        <v>16</v>
      </c>
      <c r="AB234" s="3">
        <v>3</v>
      </c>
      <c r="AC234" s="3">
        <v>3</v>
      </c>
      <c r="AD234" s="3">
        <v>1</v>
      </c>
      <c r="AE234" s="3">
        <v>1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2" t="s">
        <v>63</v>
      </c>
      <c r="AS234" s="2" t="s">
        <v>63</v>
      </c>
      <c r="AU234" s="5" t="str">
        <f>HYPERLINK("https://creighton-primo.hosted.exlibrisgroup.com/primo-explore/search?tab=default_tab&amp;search_scope=EVERYTHING&amp;vid=01CRU&amp;lang=en_US&amp;offset=0&amp;query=any,contains,991001265989702656","Catalog Record")</f>
        <v>Catalog Record</v>
      </c>
      <c r="AV234" s="5" t="str">
        <f>HYPERLINK("http://www.worldcat.org/oclc/15198570","WorldCat Record")</f>
        <v>WorldCat Record</v>
      </c>
      <c r="AW234" s="2" t="s">
        <v>2832</v>
      </c>
      <c r="AX234" s="2" t="s">
        <v>2833</v>
      </c>
      <c r="AY234" s="2" t="s">
        <v>2834</v>
      </c>
      <c r="AZ234" s="2" t="s">
        <v>2834</v>
      </c>
      <c r="BA234" s="2" t="s">
        <v>2835</v>
      </c>
      <c r="BB234" s="2" t="s">
        <v>81</v>
      </c>
      <c r="BD234" s="2" t="s">
        <v>2836</v>
      </c>
      <c r="BE234" s="2" t="s">
        <v>2837</v>
      </c>
      <c r="BF234" s="2" t="s">
        <v>2838</v>
      </c>
    </row>
    <row r="235" spans="1:58" ht="42" customHeight="1">
      <c r="A235" s="1"/>
      <c r="B235" s="1" t="s">
        <v>58</v>
      </c>
      <c r="C235" s="1" t="s">
        <v>59</v>
      </c>
      <c r="D235" s="1" t="s">
        <v>2839</v>
      </c>
      <c r="E235" s="1" t="s">
        <v>2840</v>
      </c>
      <c r="F235" s="1" t="s">
        <v>2841</v>
      </c>
      <c r="H235" s="2" t="s">
        <v>63</v>
      </c>
      <c r="I235" s="2" t="s">
        <v>64</v>
      </c>
      <c r="J235" s="2" t="s">
        <v>63</v>
      </c>
      <c r="K235" s="2" t="s">
        <v>76</v>
      </c>
      <c r="L235" s="2" t="s">
        <v>65</v>
      </c>
      <c r="M235" s="1" t="s">
        <v>2842</v>
      </c>
      <c r="N235" s="1" t="s">
        <v>2843</v>
      </c>
      <c r="O235" s="2" t="s">
        <v>1688</v>
      </c>
      <c r="P235" s="1" t="s">
        <v>538</v>
      </c>
      <c r="Q235" s="2" t="s">
        <v>70</v>
      </c>
      <c r="R235" s="2" t="s">
        <v>509</v>
      </c>
      <c r="T235" s="2" t="s">
        <v>73</v>
      </c>
      <c r="U235" s="3">
        <v>19</v>
      </c>
      <c r="V235" s="3">
        <v>19</v>
      </c>
      <c r="W235" s="4" t="s">
        <v>2459</v>
      </c>
      <c r="X235" s="4" t="s">
        <v>2459</v>
      </c>
      <c r="Y235" s="4" t="s">
        <v>2844</v>
      </c>
      <c r="Z235" s="4" t="s">
        <v>2844</v>
      </c>
      <c r="AA235" s="3">
        <v>423</v>
      </c>
      <c r="AB235" s="3">
        <v>271</v>
      </c>
      <c r="AC235" s="3">
        <v>956</v>
      </c>
      <c r="AD235" s="3">
        <v>3</v>
      </c>
      <c r="AE235" s="3">
        <v>8</v>
      </c>
      <c r="AF235" s="3">
        <v>8</v>
      </c>
      <c r="AG235" s="3">
        <v>33</v>
      </c>
      <c r="AH235" s="3">
        <v>1</v>
      </c>
      <c r="AI235" s="3">
        <v>10</v>
      </c>
      <c r="AJ235" s="3">
        <v>3</v>
      </c>
      <c r="AK235" s="3">
        <v>8</v>
      </c>
      <c r="AL235" s="3">
        <v>6</v>
      </c>
      <c r="AM235" s="3">
        <v>14</v>
      </c>
      <c r="AN235" s="3">
        <v>0</v>
      </c>
      <c r="AO235" s="3">
        <v>5</v>
      </c>
      <c r="AP235" s="3">
        <v>0</v>
      </c>
      <c r="AQ235" s="3">
        <v>1</v>
      </c>
      <c r="AR235" s="2" t="s">
        <v>63</v>
      </c>
      <c r="AS235" s="2" t="s">
        <v>63</v>
      </c>
      <c r="AU235" s="5" t="str">
        <f>HYPERLINK("https://creighton-primo.hosted.exlibrisgroup.com/primo-explore/search?tab=default_tab&amp;search_scope=EVERYTHING&amp;vid=01CRU&amp;lang=en_US&amp;offset=0&amp;query=any,contains,991000298819702656","Catalog Record")</f>
        <v>Catalog Record</v>
      </c>
      <c r="AV235" s="5" t="str">
        <f>HYPERLINK("http://www.worldcat.org/oclc/46402574","WorldCat Record")</f>
        <v>WorldCat Record</v>
      </c>
      <c r="AW235" s="2" t="s">
        <v>2845</v>
      </c>
      <c r="AX235" s="2" t="s">
        <v>2846</v>
      </c>
      <c r="AY235" s="2" t="s">
        <v>2847</v>
      </c>
      <c r="AZ235" s="2" t="s">
        <v>2847</v>
      </c>
      <c r="BA235" s="2" t="s">
        <v>2848</v>
      </c>
      <c r="BB235" s="2" t="s">
        <v>81</v>
      </c>
      <c r="BD235" s="2" t="s">
        <v>2849</v>
      </c>
      <c r="BE235" s="2" t="s">
        <v>2850</v>
      </c>
      <c r="BF235" s="2" t="s">
        <v>2851</v>
      </c>
    </row>
    <row r="236" spans="1:58" ht="42" customHeight="1">
      <c r="A236" s="1"/>
      <c r="B236" s="1" t="s">
        <v>58</v>
      </c>
      <c r="C236" s="1" t="s">
        <v>59</v>
      </c>
      <c r="D236" s="1" t="s">
        <v>2852</v>
      </c>
      <c r="E236" s="1" t="s">
        <v>2853</v>
      </c>
      <c r="F236" s="1" t="s">
        <v>2854</v>
      </c>
      <c r="H236" s="2" t="s">
        <v>63</v>
      </c>
      <c r="I236" s="2" t="s">
        <v>64</v>
      </c>
      <c r="J236" s="2" t="s">
        <v>63</v>
      </c>
      <c r="K236" s="2" t="s">
        <v>63</v>
      </c>
      <c r="L236" s="2" t="s">
        <v>65</v>
      </c>
      <c r="M236" s="1" t="s">
        <v>2855</v>
      </c>
      <c r="N236" s="1" t="s">
        <v>2856</v>
      </c>
      <c r="O236" s="2" t="s">
        <v>1034</v>
      </c>
      <c r="Q236" s="2" t="s">
        <v>70</v>
      </c>
      <c r="R236" s="2" t="s">
        <v>509</v>
      </c>
      <c r="T236" s="2" t="s">
        <v>73</v>
      </c>
      <c r="U236" s="3">
        <v>4</v>
      </c>
      <c r="V236" s="3">
        <v>4</v>
      </c>
      <c r="W236" s="4" t="s">
        <v>2857</v>
      </c>
      <c r="X236" s="4" t="s">
        <v>2857</v>
      </c>
      <c r="Y236" s="4" t="s">
        <v>2858</v>
      </c>
      <c r="Z236" s="4" t="s">
        <v>2858</v>
      </c>
      <c r="AA236" s="3">
        <v>116</v>
      </c>
      <c r="AB236" s="3">
        <v>71</v>
      </c>
      <c r="AC236" s="3">
        <v>419</v>
      </c>
      <c r="AD236" s="3">
        <v>1</v>
      </c>
      <c r="AE236" s="3">
        <v>4</v>
      </c>
      <c r="AF236" s="3">
        <v>2</v>
      </c>
      <c r="AG236" s="3">
        <v>16</v>
      </c>
      <c r="AH236" s="3">
        <v>1</v>
      </c>
      <c r="AI236" s="3">
        <v>7</v>
      </c>
      <c r="AJ236" s="3">
        <v>0</v>
      </c>
      <c r="AK236" s="3">
        <v>3</v>
      </c>
      <c r="AL236" s="3">
        <v>1</v>
      </c>
      <c r="AM236" s="3">
        <v>5</v>
      </c>
      <c r="AN236" s="3">
        <v>0</v>
      </c>
      <c r="AO236" s="3">
        <v>3</v>
      </c>
      <c r="AP236" s="3">
        <v>0</v>
      </c>
      <c r="AQ236" s="3">
        <v>0</v>
      </c>
      <c r="AR236" s="2" t="s">
        <v>63</v>
      </c>
      <c r="AS236" s="2" t="s">
        <v>76</v>
      </c>
      <c r="AT236" s="5" t="str">
        <f>HYPERLINK("http://catalog.hathitrust.org/Record/003090401","HathiTrust Record")</f>
        <v>HathiTrust Record</v>
      </c>
      <c r="AU236" s="5" t="str">
        <f>HYPERLINK("https://creighton-primo.hosted.exlibrisgroup.com/primo-explore/search?tab=default_tab&amp;search_scope=EVERYTHING&amp;vid=01CRU&amp;lang=en_US&amp;offset=0&amp;query=any,contains,991001270569702656","Catalog Record")</f>
        <v>Catalog Record</v>
      </c>
      <c r="AV236" s="5" t="str">
        <f>HYPERLINK("http://www.worldcat.org/oclc/34471146","WorldCat Record")</f>
        <v>WorldCat Record</v>
      </c>
      <c r="AW236" s="2" t="s">
        <v>2859</v>
      </c>
      <c r="AX236" s="2" t="s">
        <v>2860</v>
      </c>
      <c r="AY236" s="2" t="s">
        <v>2861</v>
      </c>
      <c r="AZ236" s="2" t="s">
        <v>2861</v>
      </c>
      <c r="BA236" s="2" t="s">
        <v>2862</v>
      </c>
      <c r="BB236" s="2" t="s">
        <v>81</v>
      </c>
      <c r="BD236" s="2" t="s">
        <v>2863</v>
      </c>
      <c r="BE236" s="2" t="s">
        <v>2864</v>
      </c>
      <c r="BF236" s="2" t="s">
        <v>2865</v>
      </c>
    </row>
    <row r="237" spans="1:58" ht="42" customHeight="1">
      <c r="A237" s="1"/>
      <c r="B237" s="1" t="s">
        <v>58</v>
      </c>
      <c r="C237" s="1" t="s">
        <v>59</v>
      </c>
      <c r="D237" s="1" t="s">
        <v>2866</v>
      </c>
      <c r="E237" s="1" t="s">
        <v>2867</v>
      </c>
      <c r="F237" s="1" t="s">
        <v>2868</v>
      </c>
      <c r="H237" s="2" t="s">
        <v>63</v>
      </c>
      <c r="I237" s="2" t="s">
        <v>64</v>
      </c>
      <c r="J237" s="2" t="s">
        <v>63</v>
      </c>
      <c r="K237" s="2" t="s">
        <v>63</v>
      </c>
      <c r="L237" s="2" t="s">
        <v>65</v>
      </c>
      <c r="M237" s="1" t="s">
        <v>2869</v>
      </c>
      <c r="N237" s="1" t="s">
        <v>2870</v>
      </c>
      <c r="O237" s="2" t="s">
        <v>359</v>
      </c>
      <c r="Q237" s="2" t="s">
        <v>70</v>
      </c>
      <c r="R237" s="2" t="s">
        <v>2871</v>
      </c>
      <c r="T237" s="2" t="s">
        <v>73</v>
      </c>
      <c r="U237" s="3">
        <v>2</v>
      </c>
      <c r="V237" s="3">
        <v>2</v>
      </c>
      <c r="W237" s="4" t="s">
        <v>2872</v>
      </c>
      <c r="X237" s="4" t="s">
        <v>2872</v>
      </c>
      <c r="Y237" s="4" t="s">
        <v>2873</v>
      </c>
      <c r="Z237" s="4" t="s">
        <v>2873</v>
      </c>
      <c r="AA237" s="3">
        <v>68</v>
      </c>
      <c r="AB237" s="3">
        <v>41</v>
      </c>
      <c r="AC237" s="3">
        <v>89</v>
      </c>
      <c r="AD237" s="3">
        <v>1</v>
      </c>
      <c r="AE237" s="3">
        <v>1</v>
      </c>
      <c r="AF237" s="3">
        <v>2</v>
      </c>
      <c r="AG237" s="3">
        <v>2</v>
      </c>
      <c r="AH237" s="3">
        <v>1</v>
      </c>
      <c r="AI237" s="3">
        <v>1</v>
      </c>
      <c r="AJ237" s="3">
        <v>2</v>
      </c>
      <c r="AK237" s="3">
        <v>2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2" t="s">
        <v>63</v>
      </c>
      <c r="AS237" s="2" t="s">
        <v>63</v>
      </c>
      <c r="AU237" s="5" t="str">
        <f>HYPERLINK("https://creighton-primo.hosted.exlibrisgroup.com/primo-explore/search?tab=default_tab&amp;search_scope=EVERYTHING&amp;vid=01CRU&amp;lang=en_US&amp;offset=0&amp;query=any,contains,991001405939702656","Catalog Record")</f>
        <v>Catalog Record</v>
      </c>
      <c r="AV237" s="5" t="str">
        <f>HYPERLINK("http://www.worldcat.org/oclc/40990991","WorldCat Record")</f>
        <v>WorldCat Record</v>
      </c>
      <c r="AW237" s="2" t="s">
        <v>2874</v>
      </c>
      <c r="AX237" s="2" t="s">
        <v>2875</v>
      </c>
      <c r="AY237" s="2" t="s">
        <v>2876</v>
      </c>
      <c r="AZ237" s="2" t="s">
        <v>2876</v>
      </c>
      <c r="BA237" s="2" t="s">
        <v>2877</v>
      </c>
      <c r="BB237" s="2" t="s">
        <v>81</v>
      </c>
      <c r="BD237" s="2" t="s">
        <v>2878</v>
      </c>
      <c r="BE237" s="2" t="s">
        <v>2879</v>
      </c>
      <c r="BF237" s="2" t="s">
        <v>2880</v>
      </c>
    </row>
    <row r="238" spans="1:58" ht="42" customHeight="1">
      <c r="A238" s="1"/>
      <c r="B238" s="1" t="s">
        <v>58</v>
      </c>
      <c r="C238" s="1" t="s">
        <v>59</v>
      </c>
      <c r="D238" s="1" t="s">
        <v>2881</v>
      </c>
      <c r="E238" s="1" t="s">
        <v>2882</v>
      </c>
      <c r="F238" s="1" t="s">
        <v>2883</v>
      </c>
      <c r="H238" s="2" t="s">
        <v>63</v>
      </c>
      <c r="I238" s="2" t="s">
        <v>64</v>
      </c>
      <c r="J238" s="2" t="s">
        <v>63</v>
      </c>
      <c r="K238" s="2" t="s">
        <v>63</v>
      </c>
      <c r="L238" s="2" t="s">
        <v>65</v>
      </c>
      <c r="M238" s="1" t="s">
        <v>2884</v>
      </c>
      <c r="N238" s="1" t="s">
        <v>2885</v>
      </c>
      <c r="O238" s="2" t="s">
        <v>1935</v>
      </c>
      <c r="P238" s="1" t="s">
        <v>2886</v>
      </c>
      <c r="Q238" s="2" t="s">
        <v>70</v>
      </c>
      <c r="R238" s="2" t="s">
        <v>509</v>
      </c>
      <c r="T238" s="2" t="s">
        <v>73</v>
      </c>
      <c r="U238" s="3">
        <v>6</v>
      </c>
      <c r="V238" s="3">
        <v>6</v>
      </c>
      <c r="W238" s="4" t="s">
        <v>2601</v>
      </c>
      <c r="X238" s="4" t="s">
        <v>2601</v>
      </c>
      <c r="Y238" s="4" t="s">
        <v>109</v>
      </c>
      <c r="Z238" s="4" t="s">
        <v>109</v>
      </c>
      <c r="AA238" s="3">
        <v>169</v>
      </c>
      <c r="AB238" s="3">
        <v>87</v>
      </c>
      <c r="AC238" s="3">
        <v>131</v>
      </c>
      <c r="AD238" s="3">
        <v>1</v>
      </c>
      <c r="AE238" s="3">
        <v>1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2" t="s">
        <v>63</v>
      </c>
      <c r="AS238" s="2" t="s">
        <v>76</v>
      </c>
      <c r="AT238" s="5" t="str">
        <f>HYPERLINK("http://catalog.hathitrust.org/Record/000251140","HathiTrust Record")</f>
        <v>HathiTrust Record</v>
      </c>
      <c r="AU238" s="5" t="str">
        <f>HYPERLINK("https://creighton-primo.hosted.exlibrisgroup.com/primo-explore/search?tab=default_tab&amp;search_scope=EVERYTHING&amp;vid=01CRU&amp;lang=en_US&amp;offset=0&amp;query=any,contains,991000998229702656","Catalog Record")</f>
        <v>Catalog Record</v>
      </c>
      <c r="AV238" s="5" t="str">
        <f>HYPERLINK("http://www.worldcat.org/oclc/3002061","WorldCat Record")</f>
        <v>WorldCat Record</v>
      </c>
      <c r="AW238" s="2" t="s">
        <v>2887</v>
      </c>
      <c r="AX238" s="2" t="s">
        <v>2888</v>
      </c>
      <c r="AY238" s="2" t="s">
        <v>2889</v>
      </c>
      <c r="AZ238" s="2" t="s">
        <v>2889</v>
      </c>
      <c r="BA238" s="2" t="s">
        <v>2890</v>
      </c>
      <c r="BB238" s="2" t="s">
        <v>81</v>
      </c>
      <c r="BD238" s="2" t="s">
        <v>2891</v>
      </c>
      <c r="BE238" s="2" t="s">
        <v>2892</v>
      </c>
      <c r="BF238" s="2" t="s">
        <v>2893</v>
      </c>
    </row>
    <row r="239" spans="1:58" ht="42" customHeight="1">
      <c r="A239" s="1"/>
      <c r="B239" s="1" t="s">
        <v>58</v>
      </c>
      <c r="C239" s="1" t="s">
        <v>59</v>
      </c>
      <c r="D239" s="1" t="s">
        <v>2894</v>
      </c>
      <c r="E239" s="1" t="s">
        <v>2895</v>
      </c>
      <c r="F239" s="1" t="s">
        <v>2896</v>
      </c>
      <c r="H239" s="2" t="s">
        <v>63</v>
      </c>
      <c r="I239" s="2" t="s">
        <v>64</v>
      </c>
      <c r="J239" s="2" t="s">
        <v>63</v>
      </c>
      <c r="K239" s="2" t="s">
        <v>76</v>
      </c>
      <c r="L239" s="2" t="s">
        <v>65</v>
      </c>
      <c r="N239" s="1" t="s">
        <v>2897</v>
      </c>
      <c r="O239" s="2" t="s">
        <v>728</v>
      </c>
      <c r="Q239" s="2" t="s">
        <v>70</v>
      </c>
      <c r="R239" s="2" t="s">
        <v>246</v>
      </c>
      <c r="T239" s="2" t="s">
        <v>73</v>
      </c>
      <c r="U239" s="3">
        <v>7</v>
      </c>
      <c r="V239" s="3">
        <v>7</v>
      </c>
      <c r="W239" s="4" t="s">
        <v>2381</v>
      </c>
      <c r="X239" s="4" t="s">
        <v>2381</v>
      </c>
      <c r="Y239" s="4" t="s">
        <v>155</v>
      </c>
      <c r="Z239" s="4" t="s">
        <v>155</v>
      </c>
      <c r="AA239" s="3">
        <v>154</v>
      </c>
      <c r="AB239" s="3">
        <v>112</v>
      </c>
      <c r="AC239" s="3">
        <v>472</v>
      </c>
      <c r="AD239" s="3">
        <v>1</v>
      </c>
      <c r="AE239" s="3">
        <v>4</v>
      </c>
      <c r="AF239" s="3">
        <v>2</v>
      </c>
      <c r="AG239" s="3">
        <v>15</v>
      </c>
      <c r="AH239" s="3">
        <v>1</v>
      </c>
      <c r="AI239" s="3">
        <v>6</v>
      </c>
      <c r="AJ239" s="3">
        <v>0</v>
      </c>
      <c r="AK239" s="3">
        <v>4</v>
      </c>
      <c r="AL239" s="3">
        <v>1</v>
      </c>
      <c r="AM239" s="3">
        <v>7</v>
      </c>
      <c r="AN239" s="3">
        <v>0</v>
      </c>
      <c r="AO239" s="3">
        <v>2</v>
      </c>
      <c r="AP239" s="3">
        <v>0</v>
      </c>
      <c r="AQ239" s="3">
        <v>0</v>
      </c>
      <c r="AR239" s="2" t="s">
        <v>63</v>
      </c>
      <c r="AS239" s="2" t="s">
        <v>76</v>
      </c>
      <c r="AT239" s="5" t="str">
        <f>HYPERLINK("http://catalog.hathitrust.org/Record/004421334","HathiTrust Record")</f>
        <v>HathiTrust Record</v>
      </c>
      <c r="AU239" s="5" t="str">
        <f>HYPERLINK("https://creighton-primo.hosted.exlibrisgroup.com/primo-explore/search?tab=default_tab&amp;search_scope=EVERYTHING&amp;vid=01CRU&amp;lang=en_US&amp;offset=0&amp;query=any,contains,991000999139702656","Catalog Record")</f>
        <v>Catalog Record</v>
      </c>
      <c r="AV239" s="5" t="str">
        <f>HYPERLINK("http://www.worldcat.org/oclc/5102088","WorldCat Record")</f>
        <v>WorldCat Record</v>
      </c>
      <c r="AW239" s="2" t="s">
        <v>2382</v>
      </c>
      <c r="AX239" s="2" t="s">
        <v>2898</v>
      </c>
      <c r="AY239" s="2" t="s">
        <v>2899</v>
      </c>
      <c r="AZ239" s="2" t="s">
        <v>2899</v>
      </c>
      <c r="BA239" s="2" t="s">
        <v>2900</v>
      </c>
      <c r="BB239" s="2" t="s">
        <v>81</v>
      </c>
      <c r="BD239" s="2" t="s">
        <v>2901</v>
      </c>
      <c r="BE239" s="2" t="s">
        <v>2902</v>
      </c>
      <c r="BF239" s="2" t="s">
        <v>2903</v>
      </c>
    </row>
    <row r="240" spans="1:58" ht="42" customHeight="1">
      <c r="A240" s="1"/>
      <c r="B240" s="1" t="s">
        <v>58</v>
      </c>
      <c r="C240" s="1" t="s">
        <v>59</v>
      </c>
      <c r="D240" s="1" t="s">
        <v>2904</v>
      </c>
      <c r="E240" s="1" t="s">
        <v>2905</v>
      </c>
      <c r="F240" s="1" t="s">
        <v>2906</v>
      </c>
      <c r="H240" s="2" t="s">
        <v>63</v>
      </c>
      <c r="I240" s="2" t="s">
        <v>64</v>
      </c>
      <c r="J240" s="2" t="s">
        <v>63</v>
      </c>
      <c r="K240" s="2" t="s">
        <v>63</v>
      </c>
      <c r="L240" s="2" t="s">
        <v>65</v>
      </c>
      <c r="N240" s="1" t="s">
        <v>2907</v>
      </c>
      <c r="O240" s="2" t="s">
        <v>908</v>
      </c>
      <c r="Q240" s="2" t="s">
        <v>70</v>
      </c>
      <c r="R240" s="2" t="s">
        <v>509</v>
      </c>
      <c r="T240" s="2" t="s">
        <v>73</v>
      </c>
      <c r="U240" s="3">
        <v>4</v>
      </c>
      <c r="V240" s="3">
        <v>4</v>
      </c>
      <c r="W240" s="4" t="s">
        <v>2908</v>
      </c>
      <c r="X240" s="4" t="s">
        <v>2908</v>
      </c>
      <c r="Y240" s="4" t="s">
        <v>2909</v>
      </c>
      <c r="Z240" s="4" t="s">
        <v>2909</v>
      </c>
      <c r="AA240" s="3">
        <v>61</v>
      </c>
      <c r="AB240" s="3">
        <v>26</v>
      </c>
      <c r="AC240" s="3">
        <v>26</v>
      </c>
      <c r="AD240" s="3">
        <v>1</v>
      </c>
      <c r="AE240" s="3">
        <v>1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2" t="s">
        <v>63</v>
      </c>
      <c r="AS240" s="2" t="s">
        <v>63</v>
      </c>
      <c r="AU240" s="5" t="str">
        <f>HYPERLINK("https://creighton-primo.hosted.exlibrisgroup.com/primo-explore/search?tab=default_tab&amp;search_scope=EVERYTHING&amp;vid=01CRU&amp;lang=en_US&amp;offset=0&amp;query=any,contains,991000680699702656","Catalog Record")</f>
        <v>Catalog Record</v>
      </c>
      <c r="AV240" s="5" t="str">
        <f>HYPERLINK("http://www.worldcat.org/oclc/31208636","WorldCat Record")</f>
        <v>WorldCat Record</v>
      </c>
      <c r="AW240" s="2" t="s">
        <v>2910</v>
      </c>
      <c r="AX240" s="2" t="s">
        <v>2911</v>
      </c>
      <c r="AY240" s="2" t="s">
        <v>2912</v>
      </c>
      <c r="AZ240" s="2" t="s">
        <v>2912</v>
      </c>
      <c r="BA240" s="2" t="s">
        <v>2913</v>
      </c>
      <c r="BB240" s="2" t="s">
        <v>81</v>
      </c>
      <c r="BD240" s="2" t="s">
        <v>2914</v>
      </c>
      <c r="BE240" s="2" t="s">
        <v>2915</v>
      </c>
      <c r="BF240" s="2" t="s">
        <v>2916</v>
      </c>
    </row>
    <row r="241" spans="1:58" ht="42" customHeight="1">
      <c r="A241" s="1"/>
      <c r="B241" s="1" t="s">
        <v>58</v>
      </c>
      <c r="C241" s="1" t="s">
        <v>59</v>
      </c>
      <c r="D241" s="1" t="s">
        <v>2917</v>
      </c>
      <c r="E241" s="1" t="s">
        <v>2918</v>
      </c>
      <c r="F241" s="1" t="s">
        <v>2919</v>
      </c>
      <c r="H241" s="2" t="s">
        <v>63</v>
      </c>
      <c r="I241" s="2" t="s">
        <v>64</v>
      </c>
      <c r="J241" s="2" t="s">
        <v>63</v>
      </c>
      <c r="K241" s="2" t="s">
        <v>63</v>
      </c>
      <c r="L241" s="2" t="s">
        <v>65</v>
      </c>
      <c r="N241" s="1" t="s">
        <v>2920</v>
      </c>
      <c r="O241" s="2" t="s">
        <v>106</v>
      </c>
      <c r="Q241" s="2" t="s">
        <v>70</v>
      </c>
      <c r="R241" s="2" t="s">
        <v>92</v>
      </c>
      <c r="S241" s="1" t="s">
        <v>2921</v>
      </c>
      <c r="T241" s="2" t="s">
        <v>73</v>
      </c>
      <c r="U241" s="3">
        <v>8</v>
      </c>
      <c r="V241" s="3">
        <v>8</v>
      </c>
      <c r="W241" s="4" t="s">
        <v>2922</v>
      </c>
      <c r="X241" s="4" t="s">
        <v>2922</v>
      </c>
      <c r="Y241" s="4" t="s">
        <v>109</v>
      </c>
      <c r="Z241" s="4" t="s">
        <v>109</v>
      </c>
      <c r="AA241" s="3">
        <v>115</v>
      </c>
      <c r="AB241" s="3">
        <v>92</v>
      </c>
      <c r="AC241" s="3">
        <v>94</v>
      </c>
      <c r="AD241" s="3">
        <v>1</v>
      </c>
      <c r="AE241" s="3">
        <v>1</v>
      </c>
      <c r="AF241" s="3">
        <v>1</v>
      </c>
      <c r="AG241" s="3">
        <v>1</v>
      </c>
      <c r="AH241" s="3">
        <v>1</v>
      </c>
      <c r="AI241" s="3">
        <v>1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2" t="s">
        <v>63</v>
      </c>
      <c r="AS241" s="2" t="s">
        <v>76</v>
      </c>
      <c r="AT241" s="5" t="str">
        <f>HYPERLINK("http://catalog.hathitrust.org/Record/000576200","HathiTrust Record")</f>
        <v>HathiTrust Record</v>
      </c>
      <c r="AU241" s="5" t="str">
        <f>HYPERLINK("https://creighton-primo.hosted.exlibrisgroup.com/primo-explore/search?tab=default_tab&amp;search_scope=EVERYTHING&amp;vid=01CRU&amp;lang=en_US&amp;offset=0&amp;query=any,contains,991000998419702656","Catalog Record")</f>
        <v>Catalog Record</v>
      </c>
      <c r="AV241" s="5" t="str">
        <f>HYPERLINK("http://www.worldcat.org/oclc/11190365","WorldCat Record")</f>
        <v>WorldCat Record</v>
      </c>
      <c r="AW241" s="2" t="s">
        <v>2923</v>
      </c>
      <c r="AX241" s="2" t="s">
        <v>2924</v>
      </c>
      <c r="AY241" s="2" t="s">
        <v>2925</v>
      </c>
      <c r="AZ241" s="2" t="s">
        <v>2925</v>
      </c>
      <c r="BA241" s="2" t="s">
        <v>2926</v>
      </c>
      <c r="BB241" s="2" t="s">
        <v>81</v>
      </c>
      <c r="BD241" s="2" t="s">
        <v>2927</v>
      </c>
      <c r="BE241" s="2" t="s">
        <v>2928</v>
      </c>
      <c r="BF241" s="2" t="s">
        <v>2929</v>
      </c>
    </row>
    <row r="242" spans="1:58" ht="42" customHeight="1">
      <c r="A242" s="1"/>
      <c r="B242" s="1" t="s">
        <v>58</v>
      </c>
      <c r="C242" s="1" t="s">
        <v>59</v>
      </c>
      <c r="D242" s="1" t="s">
        <v>2930</v>
      </c>
      <c r="E242" s="1" t="s">
        <v>2931</v>
      </c>
      <c r="F242" s="1" t="s">
        <v>2932</v>
      </c>
      <c r="H242" s="2" t="s">
        <v>63</v>
      </c>
      <c r="I242" s="2" t="s">
        <v>64</v>
      </c>
      <c r="J242" s="2" t="s">
        <v>63</v>
      </c>
      <c r="K242" s="2" t="s">
        <v>63</v>
      </c>
      <c r="L242" s="2" t="s">
        <v>65</v>
      </c>
      <c r="N242" s="1" t="s">
        <v>2933</v>
      </c>
      <c r="O242" s="2" t="s">
        <v>1935</v>
      </c>
      <c r="Q242" s="2" t="s">
        <v>70</v>
      </c>
      <c r="R242" s="2" t="s">
        <v>509</v>
      </c>
      <c r="T242" s="2" t="s">
        <v>73</v>
      </c>
      <c r="U242" s="3">
        <v>4</v>
      </c>
      <c r="V242" s="3">
        <v>4</v>
      </c>
      <c r="W242" s="4" t="s">
        <v>2934</v>
      </c>
      <c r="X242" s="4" t="s">
        <v>2934</v>
      </c>
      <c r="Y242" s="4" t="s">
        <v>109</v>
      </c>
      <c r="Z242" s="4" t="s">
        <v>109</v>
      </c>
      <c r="AA242" s="3">
        <v>266</v>
      </c>
      <c r="AB242" s="3">
        <v>177</v>
      </c>
      <c r="AC242" s="3">
        <v>184</v>
      </c>
      <c r="AD242" s="3">
        <v>1</v>
      </c>
      <c r="AE242" s="3">
        <v>1</v>
      </c>
      <c r="AF242" s="3">
        <v>4</v>
      </c>
      <c r="AG242" s="3">
        <v>4</v>
      </c>
      <c r="AH242" s="3">
        <v>2</v>
      </c>
      <c r="AI242" s="3">
        <v>2</v>
      </c>
      <c r="AJ242" s="3">
        <v>1</v>
      </c>
      <c r="AK242" s="3">
        <v>1</v>
      </c>
      <c r="AL242" s="3">
        <v>3</v>
      </c>
      <c r="AM242" s="3">
        <v>3</v>
      </c>
      <c r="AN242" s="3">
        <v>0</v>
      </c>
      <c r="AO242" s="3">
        <v>0</v>
      </c>
      <c r="AP242" s="3">
        <v>0</v>
      </c>
      <c r="AQ242" s="3">
        <v>0</v>
      </c>
      <c r="AR242" s="2" t="s">
        <v>63</v>
      </c>
      <c r="AS242" s="2" t="s">
        <v>76</v>
      </c>
      <c r="AT242" s="5" t="str">
        <f>HYPERLINK("http://catalog.hathitrust.org/Record/000210590","HathiTrust Record")</f>
        <v>HathiTrust Record</v>
      </c>
      <c r="AU242" s="5" t="str">
        <f>HYPERLINK("https://creighton-primo.hosted.exlibrisgroup.com/primo-explore/search?tab=default_tab&amp;search_scope=EVERYTHING&amp;vid=01CRU&amp;lang=en_US&amp;offset=0&amp;query=any,contains,991000998459702656","Catalog Record")</f>
        <v>Catalog Record</v>
      </c>
      <c r="AV242" s="5" t="str">
        <f>HYPERLINK("http://www.worldcat.org/oclc/2818500","WorldCat Record")</f>
        <v>WorldCat Record</v>
      </c>
      <c r="AW242" s="2" t="s">
        <v>2935</v>
      </c>
      <c r="AX242" s="2" t="s">
        <v>2936</v>
      </c>
      <c r="AY242" s="2" t="s">
        <v>2937</v>
      </c>
      <c r="AZ242" s="2" t="s">
        <v>2937</v>
      </c>
      <c r="BA242" s="2" t="s">
        <v>2938</v>
      </c>
      <c r="BB242" s="2" t="s">
        <v>81</v>
      </c>
      <c r="BD242" s="2" t="s">
        <v>2939</v>
      </c>
      <c r="BE242" s="2" t="s">
        <v>2940</v>
      </c>
      <c r="BF242" s="2" t="s">
        <v>2941</v>
      </c>
    </row>
    <row r="243" spans="1:58" ht="42" customHeight="1">
      <c r="A243" s="1"/>
      <c r="B243" s="1" t="s">
        <v>58</v>
      </c>
      <c r="C243" s="1" t="s">
        <v>59</v>
      </c>
      <c r="D243" s="1" t="s">
        <v>2942</v>
      </c>
      <c r="E243" s="1" t="s">
        <v>2943</v>
      </c>
      <c r="F243" s="1" t="s">
        <v>2944</v>
      </c>
      <c r="H243" s="2" t="s">
        <v>63</v>
      </c>
      <c r="I243" s="2" t="s">
        <v>64</v>
      </c>
      <c r="J243" s="2" t="s">
        <v>63</v>
      </c>
      <c r="K243" s="2" t="s">
        <v>63</v>
      </c>
      <c r="L243" s="2" t="s">
        <v>65</v>
      </c>
      <c r="N243" s="1" t="s">
        <v>2945</v>
      </c>
      <c r="O243" s="2" t="s">
        <v>186</v>
      </c>
      <c r="Q243" s="2" t="s">
        <v>70</v>
      </c>
      <c r="R243" s="2" t="s">
        <v>107</v>
      </c>
      <c r="T243" s="2" t="s">
        <v>73</v>
      </c>
      <c r="U243" s="3">
        <v>15</v>
      </c>
      <c r="V243" s="3">
        <v>15</v>
      </c>
      <c r="W243" s="4" t="s">
        <v>2946</v>
      </c>
      <c r="X243" s="4" t="s">
        <v>2946</v>
      </c>
      <c r="Y243" s="4" t="s">
        <v>2947</v>
      </c>
      <c r="Z243" s="4" t="s">
        <v>2947</v>
      </c>
      <c r="AA243" s="3">
        <v>205</v>
      </c>
      <c r="AB243" s="3">
        <v>152</v>
      </c>
      <c r="AC243" s="3">
        <v>152</v>
      </c>
      <c r="AD243" s="3">
        <v>1</v>
      </c>
      <c r="AE243" s="3">
        <v>1</v>
      </c>
      <c r="AF243" s="3">
        <v>4</v>
      </c>
      <c r="AG243" s="3">
        <v>4</v>
      </c>
      <c r="AH243" s="3">
        <v>0</v>
      </c>
      <c r="AI243" s="3">
        <v>0</v>
      </c>
      <c r="AJ243" s="3">
        <v>2</v>
      </c>
      <c r="AK243" s="3">
        <v>2</v>
      </c>
      <c r="AL243" s="3">
        <v>4</v>
      </c>
      <c r="AM243" s="3">
        <v>4</v>
      </c>
      <c r="AN243" s="3">
        <v>0</v>
      </c>
      <c r="AO243" s="3">
        <v>0</v>
      </c>
      <c r="AP243" s="3">
        <v>0</v>
      </c>
      <c r="AQ243" s="3">
        <v>0</v>
      </c>
      <c r="AR243" s="2" t="s">
        <v>63</v>
      </c>
      <c r="AS243" s="2" t="s">
        <v>63</v>
      </c>
      <c r="AU243" s="5" t="str">
        <f>HYPERLINK("https://creighton-primo.hosted.exlibrisgroup.com/primo-explore/search?tab=default_tab&amp;search_scope=EVERYTHING&amp;vid=01CRU&amp;lang=en_US&amp;offset=0&amp;query=any,contains,991001445369702656","Catalog Record")</f>
        <v>Catalog Record</v>
      </c>
      <c r="AV243" s="5" t="str">
        <f>HYPERLINK("http://www.worldcat.org/oclc/18521378","WorldCat Record")</f>
        <v>WorldCat Record</v>
      </c>
      <c r="AW243" s="2" t="s">
        <v>2948</v>
      </c>
      <c r="AX243" s="2" t="s">
        <v>2949</v>
      </c>
      <c r="AY243" s="2" t="s">
        <v>2950</v>
      </c>
      <c r="AZ243" s="2" t="s">
        <v>2950</v>
      </c>
      <c r="BA243" s="2" t="s">
        <v>2951</v>
      </c>
      <c r="BB243" s="2" t="s">
        <v>81</v>
      </c>
      <c r="BD243" s="2" t="s">
        <v>2952</v>
      </c>
      <c r="BE243" s="2" t="s">
        <v>2953</v>
      </c>
      <c r="BF243" s="2" t="s">
        <v>2954</v>
      </c>
    </row>
    <row r="244" spans="1:58" ht="42" customHeight="1">
      <c r="A244" s="1"/>
      <c r="B244" s="1" t="s">
        <v>58</v>
      </c>
      <c r="C244" s="1" t="s">
        <v>59</v>
      </c>
      <c r="D244" s="1" t="s">
        <v>2955</v>
      </c>
      <c r="E244" s="1" t="s">
        <v>2956</v>
      </c>
      <c r="F244" s="1" t="s">
        <v>2957</v>
      </c>
      <c r="H244" s="2" t="s">
        <v>63</v>
      </c>
      <c r="I244" s="2" t="s">
        <v>64</v>
      </c>
      <c r="J244" s="2" t="s">
        <v>63</v>
      </c>
      <c r="K244" s="2" t="s">
        <v>63</v>
      </c>
      <c r="L244" s="2" t="s">
        <v>65</v>
      </c>
      <c r="M244" s="1" t="s">
        <v>2958</v>
      </c>
      <c r="N244" s="1" t="s">
        <v>1309</v>
      </c>
      <c r="O244" s="2" t="s">
        <v>863</v>
      </c>
      <c r="Q244" s="2" t="s">
        <v>70</v>
      </c>
      <c r="R244" s="2" t="s">
        <v>107</v>
      </c>
      <c r="T244" s="2" t="s">
        <v>73</v>
      </c>
      <c r="U244" s="3">
        <v>29</v>
      </c>
      <c r="V244" s="3">
        <v>29</v>
      </c>
      <c r="W244" s="4" t="s">
        <v>2959</v>
      </c>
      <c r="X244" s="4" t="s">
        <v>2959</v>
      </c>
      <c r="Y244" s="4" t="s">
        <v>2947</v>
      </c>
      <c r="Z244" s="4" t="s">
        <v>2947</v>
      </c>
      <c r="AA244" s="3">
        <v>244</v>
      </c>
      <c r="AB244" s="3">
        <v>187</v>
      </c>
      <c r="AC244" s="3">
        <v>200</v>
      </c>
      <c r="AD244" s="3">
        <v>2</v>
      </c>
      <c r="AE244" s="3">
        <v>2</v>
      </c>
      <c r="AF244" s="3">
        <v>4</v>
      </c>
      <c r="AG244" s="3">
        <v>4</v>
      </c>
      <c r="AH244" s="3">
        <v>0</v>
      </c>
      <c r="AI244" s="3">
        <v>0</v>
      </c>
      <c r="AJ244" s="3">
        <v>2</v>
      </c>
      <c r="AK244" s="3">
        <v>2</v>
      </c>
      <c r="AL244" s="3">
        <v>4</v>
      </c>
      <c r="AM244" s="3">
        <v>4</v>
      </c>
      <c r="AN244" s="3">
        <v>0</v>
      </c>
      <c r="AO244" s="3">
        <v>0</v>
      </c>
      <c r="AP244" s="3">
        <v>0</v>
      </c>
      <c r="AQ244" s="3">
        <v>0</v>
      </c>
      <c r="AR244" s="2" t="s">
        <v>63</v>
      </c>
      <c r="AS244" s="2" t="s">
        <v>63</v>
      </c>
      <c r="AU244" s="5" t="str">
        <f>HYPERLINK("https://creighton-primo.hosted.exlibrisgroup.com/primo-explore/search?tab=default_tab&amp;search_scope=EVERYTHING&amp;vid=01CRU&amp;lang=en_US&amp;offset=0&amp;query=any,contains,991001445409702656","Catalog Record")</f>
        <v>Catalog Record</v>
      </c>
      <c r="AV244" s="5" t="str">
        <f>HYPERLINK("http://www.worldcat.org/oclc/16683217","WorldCat Record")</f>
        <v>WorldCat Record</v>
      </c>
      <c r="AW244" s="2" t="s">
        <v>2960</v>
      </c>
      <c r="AX244" s="2" t="s">
        <v>2961</v>
      </c>
      <c r="AY244" s="2" t="s">
        <v>2962</v>
      </c>
      <c r="AZ244" s="2" t="s">
        <v>2962</v>
      </c>
      <c r="BA244" s="2" t="s">
        <v>2963</v>
      </c>
      <c r="BB244" s="2" t="s">
        <v>81</v>
      </c>
      <c r="BD244" s="2" t="s">
        <v>2964</v>
      </c>
      <c r="BE244" s="2" t="s">
        <v>2965</v>
      </c>
      <c r="BF244" s="2" t="s">
        <v>2966</v>
      </c>
    </row>
    <row r="245" spans="1:58" ht="42" customHeight="1">
      <c r="A245" s="1"/>
      <c r="B245" s="1" t="s">
        <v>58</v>
      </c>
      <c r="C245" s="1" t="s">
        <v>59</v>
      </c>
      <c r="D245" s="1" t="s">
        <v>2967</v>
      </c>
      <c r="E245" s="1" t="s">
        <v>2968</v>
      </c>
      <c r="F245" s="1" t="s">
        <v>2969</v>
      </c>
      <c r="H245" s="2" t="s">
        <v>63</v>
      </c>
      <c r="I245" s="2" t="s">
        <v>64</v>
      </c>
      <c r="J245" s="2" t="s">
        <v>63</v>
      </c>
      <c r="K245" s="2" t="s">
        <v>63</v>
      </c>
      <c r="L245" s="2" t="s">
        <v>65</v>
      </c>
      <c r="M245" s="1" t="s">
        <v>2970</v>
      </c>
      <c r="N245" s="1" t="s">
        <v>2971</v>
      </c>
      <c r="O245" s="2" t="s">
        <v>121</v>
      </c>
      <c r="Q245" s="2" t="s">
        <v>70</v>
      </c>
      <c r="R245" s="2" t="s">
        <v>509</v>
      </c>
      <c r="S245" s="1" t="s">
        <v>2972</v>
      </c>
      <c r="T245" s="2" t="s">
        <v>73</v>
      </c>
      <c r="U245" s="3">
        <v>5</v>
      </c>
      <c r="V245" s="3">
        <v>5</v>
      </c>
      <c r="W245" s="4" t="s">
        <v>2973</v>
      </c>
      <c r="X245" s="4" t="s">
        <v>2973</v>
      </c>
      <c r="Y245" s="4" t="s">
        <v>109</v>
      </c>
      <c r="Z245" s="4" t="s">
        <v>109</v>
      </c>
      <c r="AA245" s="3">
        <v>357</v>
      </c>
      <c r="AB245" s="3">
        <v>250</v>
      </c>
      <c r="AC245" s="3">
        <v>253</v>
      </c>
      <c r="AD245" s="3">
        <v>1</v>
      </c>
      <c r="AE245" s="3">
        <v>1</v>
      </c>
      <c r="AF245" s="3">
        <v>8</v>
      </c>
      <c r="AG245" s="3">
        <v>8</v>
      </c>
      <c r="AH245" s="3">
        <v>2</v>
      </c>
      <c r="AI245" s="3">
        <v>2</v>
      </c>
      <c r="AJ245" s="3">
        <v>5</v>
      </c>
      <c r="AK245" s="3">
        <v>5</v>
      </c>
      <c r="AL245" s="3">
        <v>4</v>
      </c>
      <c r="AM245" s="3">
        <v>4</v>
      </c>
      <c r="AN245" s="3">
        <v>0</v>
      </c>
      <c r="AO245" s="3">
        <v>0</v>
      </c>
      <c r="AP245" s="3">
        <v>0</v>
      </c>
      <c r="AQ245" s="3">
        <v>0</v>
      </c>
      <c r="AR245" s="2" t="s">
        <v>63</v>
      </c>
      <c r="AS245" s="2" t="s">
        <v>76</v>
      </c>
      <c r="AT245" s="5" t="str">
        <f>HYPERLINK("http://catalog.hathitrust.org/Record/000709878","HathiTrust Record")</f>
        <v>HathiTrust Record</v>
      </c>
      <c r="AU245" s="5" t="str">
        <f>HYPERLINK("https://creighton-primo.hosted.exlibrisgroup.com/primo-explore/search?tab=default_tab&amp;search_scope=EVERYTHING&amp;vid=01CRU&amp;lang=en_US&amp;offset=0&amp;query=any,contains,991001329499702656","Catalog Record")</f>
        <v>Catalog Record</v>
      </c>
      <c r="AV245" s="5" t="str">
        <f>HYPERLINK("http://www.worldcat.org/oclc/6825693","WorldCat Record")</f>
        <v>WorldCat Record</v>
      </c>
      <c r="AW245" s="2" t="s">
        <v>2974</v>
      </c>
      <c r="AX245" s="2" t="s">
        <v>2975</v>
      </c>
      <c r="AY245" s="2" t="s">
        <v>2976</v>
      </c>
      <c r="AZ245" s="2" t="s">
        <v>2976</v>
      </c>
      <c r="BA245" s="2" t="s">
        <v>2977</v>
      </c>
      <c r="BB245" s="2" t="s">
        <v>81</v>
      </c>
      <c r="BD245" s="2" t="s">
        <v>2978</v>
      </c>
      <c r="BE245" s="2" t="s">
        <v>2979</v>
      </c>
      <c r="BF245" s="2" t="s">
        <v>2980</v>
      </c>
    </row>
    <row r="246" spans="1:58" ht="42" customHeight="1">
      <c r="A246" s="1"/>
      <c r="B246" s="1" t="s">
        <v>58</v>
      </c>
      <c r="C246" s="1" t="s">
        <v>59</v>
      </c>
      <c r="D246" s="1" t="s">
        <v>2981</v>
      </c>
      <c r="E246" s="1" t="s">
        <v>2982</v>
      </c>
      <c r="F246" s="1" t="s">
        <v>2983</v>
      </c>
      <c r="H246" s="2" t="s">
        <v>63</v>
      </c>
      <c r="I246" s="2" t="s">
        <v>64</v>
      </c>
      <c r="J246" s="2" t="s">
        <v>63</v>
      </c>
      <c r="K246" s="2" t="s">
        <v>63</v>
      </c>
      <c r="L246" s="2" t="s">
        <v>65</v>
      </c>
      <c r="N246" s="1" t="s">
        <v>2984</v>
      </c>
      <c r="O246" s="2" t="s">
        <v>1034</v>
      </c>
      <c r="P246" s="1" t="s">
        <v>231</v>
      </c>
      <c r="Q246" s="2" t="s">
        <v>70</v>
      </c>
      <c r="R246" s="2" t="s">
        <v>509</v>
      </c>
      <c r="S246" s="1" t="s">
        <v>2985</v>
      </c>
      <c r="T246" s="2" t="s">
        <v>73</v>
      </c>
      <c r="U246" s="3">
        <v>9</v>
      </c>
      <c r="V246" s="3">
        <v>9</v>
      </c>
      <c r="W246" s="4" t="s">
        <v>2986</v>
      </c>
      <c r="X246" s="4" t="s">
        <v>2986</v>
      </c>
      <c r="Y246" s="4" t="s">
        <v>2987</v>
      </c>
      <c r="Z246" s="4" t="s">
        <v>2987</v>
      </c>
      <c r="AA246" s="3">
        <v>266</v>
      </c>
      <c r="AB246" s="3">
        <v>159</v>
      </c>
      <c r="AC246" s="3">
        <v>260</v>
      </c>
      <c r="AD246" s="3">
        <v>1</v>
      </c>
      <c r="AE246" s="3">
        <v>1</v>
      </c>
      <c r="AF246" s="3">
        <v>5</v>
      </c>
      <c r="AG246" s="3">
        <v>10</v>
      </c>
      <c r="AH246" s="3">
        <v>0</v>
      </c>
      <c r="AI246" s="3">
        <v>2</v>
      </c>
      <c r="AJ246" s="3">
        <v>4</v>
      </c>
      <c r="AK246" s="3">
        <v>5</v>
      </c>
      <c r="AL246" s="3">
        <v>3</v>
      </c>
      <c r="AM246" s="3">
        <v>7</v>
      </c>
      <c r="AN246" s="3">
        <v>0</v>
      </c>
      <c r="AO246" s="3">
        <v>0</v>
      </c>
      <c r="AP246" s="3">
        <v>0</v>
      </c>
      <c r="AQ246" s="3">
        <v>0</v>
      </c>
      <c r="AR246" s="2" t="s">
        <v>63</v>
      </c>
      <c r="AS246" s="2" t="s">
        <v>76</v>
      </c>
      <c r="AT246" s="5" t="str">
        <f>HYPERLINK("http://catalog.hathitrust.org/Record/003054858","HathiTrust Record")</f>
        <v>HathiTrust Record</v>
      </c>
      <c r="AU246" s="5" t="str">
        <f>HYPERLINK("https://creighton-primo.hosted.exlibrisgroup.com/primo-explore/search?tab=default_tab&amp;search_scope=EVERYTHING&amp;vid=01CRU&amp;lang=en_US&amp;offset=0&amp;query=any,contains,991001558859702656","Catalog Record")</f>
        <v>Catalog Record</v>
      </c>
      <c r="AV246" s="5" t="str">
        <f>HYPERLINK("http://www.worldcat.org/oclc/32589202","WorldCat Record")</f>
        <v>WorldCat Record</v>
      </c>
      <c r="AW246" s="2" t="s">
        <v>2988</v>
      </c>
      <c r="AX246" s="2" t="s">
        <v>2989</v>
      </c>
      <c r="AY246" s="2" t="s">
        <v>2990</v>
      </c>
      <c r="AZ246" s="2" t="s">
        <v>2990</v>
      </c>
      <c r="BA246" s="2" t="s">
        <v>2991</v>
      </c>
      <c r="BB246" s="2" t="s">
        <v>81</v>
      </c>
      <c r="BD246" s="2" t="s">
        <v>2992</v>
      </c>
      <c r="BE246" s="2" t="s">
        <v>2993</v>
      </c>
      <c r="BF246" s="2" t="s">
        <v>2994</v>
      </c>
    </row>
    <row r="247" spans="1:58" ht="42" customHeight="1">
      <c r="A247" s="1"/>
      <c r="B247" s="1" t="s">
        <v>58</v>
      </c>
      <c r="C247" s="1" t="s">
        <v>59</v>
      </c>
      <c r="D247" s="1" t="s">
        <v>2995</v>
      </c>
      <c r="E247" s="1" t="s">
        <v>2996</v>
      </c>
      <c r="F247" s="1" t="s">
        <v>2997</v>
      </c>
      <c r="H247" s="2" t="s">
        <v>63</v>
      </c>
      <c r="I247" s="2" t="s">
        <v>64</v>
      </c>
      <c r="J247" s="2" t="s">
        <v>63</v>
      </c>
      <c r="K247" s="2" t="s">
        <v>63</v>
      </c>
      <c r="L247" s="2" t="s">
        <v>65</v>
      </c>
      <c r="M247" s="1" t="s">
        <v>2998</v>
      </c>
      <c r="N247" s="1" t="s">
        <v>2999</v>
      </c>
      <c r="O247" s="2" t="s">
        <v>632</v>
      </c>
      <c r="Q247" s="2" t="s">
        <v>70</v>
      </c>
      <c r="R247" s="2" t="s">
        <v>422</v>
      </c>
      <c r="T247" s="2" t="s">
        <v>73</v>
      </c>
      <c r="U247" s="3">
        <v>14</v>
      </c>
      <c r="V247" s="3">
        <v>14</v>
      </c>
      <c r="W247" s="4" t="s">
        <v>3000</v>
      </c>
      <c r="X247" s="4" t="s">
        <v>3000</v>
      </c>
      <c r="Y247" s="4" t="s">
        <v>3001</v>
      </c>
      <c r="Z247" s="4" t="s">
        <v>3001</v>
      </c>
      <c r="AA247" s="3">
        <v>134</v>
      </c>
      <c r="AB247" s="3">
        <v>88</v>
      </c>
      <c r="AC247" s="3">
        <v>88</v>
      </c>
      <c r="AD247" s="3">
        <v>1</v>
      </c>
      <c r="AE247" s="3">
        <v>1</v>
      </c>
      <c r="AF247" s="3">
        <v>1</v>
      </c>
      <c r="AG247" s="3">
        <v>1</v>
      </c>
      <c r="AH247" s="3">
        <v>0</v>
      </c>
      <c r="AI247" s="3">
        <v>0</v>
      </c>
      <c r="AJ247" s="3">
        <v>1</v>
      </c>
      <c r="AK247" s="3">
        <v>1</v>
      </c>
      <c r="AL247" s="3">
        <v>1</v>
      </c>
      <c r="AM247" s="3">
        <v>1</v>
      </c>
      <c r="AN247" s="3">
        <v>0</v>
      </c>
      <c r="AO247" s="3">
        <v>0</v>
      </c>
      <c r="AP247" s="3">
        <v>0</v>
      </c>
      <c r="AQ247" s="3">
        <v>0</v>
      </c>
      <c r="AR247" s="2" t="s">
        <v>63</v>
      </c>
      <c r="AS247" s="2" t="s">
        <v>63</v>
      </c>
      <c r="AU247" s="5" t="str">
        <f>HYPERLINK("https://creighton-primo.hosted.exlibrisgroup.com/primo-explore/search?tab=default_tab&amp;search_scope=EVERYTHING&amp;vid=01CRU&amp;lang=en_US&amp;offset=0&amp;query=any,contains,991001197079702656","Catalog Record")</f>
        <v>Catalog Record</v>
      </c>
      <c r="AV247" s="5" t="str">
        <f>HYPERLINK("http://www.worldcat.org/oclc/24795853","WorldCat Record")</f>
        <v>WorldCat Record</v>
      </c>
      <c r="AW247" s="2" t="s">
        <v>3002</v>
      </c>
      <c r="AX247" s="2" t="s">
        <v>3003</v>
      </c>
      <c r="AY247" s="2" t="s">
        <v>3004</v>
      </c>
      <c r="AZ247" s="2" t="s">
        <v>3004</v>
      </c>
      <c r="BA247" s="2" t="s">
        <v>3005</v>
      </c>
      <c r="BB247" s="2" t="s">
        <v>81</v>
      </c>
      <c r="BD247" s="2" t="s">
        <v>3006</v>
      </c>
      <c r="BE247" s="2" t="s">
        <v>3007</v>
      </c>
      <c r="BF247" s="2" t="s">
        <v>3008</v>
      </c>
    </row>
    <row r="248" spans="1:58" ht="42" customHeight="1">
      <c r="A248" s="1"/>
      <c r="B248" s="1" t="s">
        <v>58</v>
      </c>
      <c r="C248" s="1" t="s">
        <v>59</v>
      </c>
      <c r="D248" s="1" t="s">
        <v>3009</v>
      </c>
      <c r="E248" s="1" t="s">
        <v>3010</v>
      </c>
      <c r="F248" s="1" t="s">
        <v>3011</v>
      </c>
      <c r="H248" s="2" t="s">
        <v>63</v>
      </c>
      <c r="I248" s="2" t="s">
        <v>64</v>
      </c>
      <c r="J248" s="2" t="s">
        <v>63</v>
      </c>
      <c r="K248" s="2" t="s">
        <v>63</v>
      </c>
      <c r="L248" s="2" t="s">
        <v>65</v>
      </c>
      <c r="M248" s="1" t="s">
        <v>3012</v>
      </c>
      <c r="N248" s="1" t="s">
        <v>3013</v>
      </c>
      <c r="O248" s="2" t="s">
        <v>728</v>
      </c>
      <c r="P248" s="1" t="s">
        <v>231</v>
      </c>
      <c r="Q248" s="2" t="s">
        <v>70</v>
      </c>
      <c r="R248" s="2" t="s">
        <v>422</v>
      </c>
      <c r="S248" s="1" t="s">
        <v>2765</v>
      </c>
      <c r="T248" s="2" t="s">
        <v>73</v>
      </c>
      <c r="U248" s="3">
        <v>9</v>
      </c>
      <c r="V248" s="3">
        <v>9</v>
      </c>
      <c r="W248" s="4" t="s">
        <v>3014</v>
      </c>
      <c r="X248" s="4" t="s">
        <v>3014</v>
      </c>
      <c r="Y248" s="4" t="s">
        <v>109</v>
      </c>
      <c r="Z248" s="4" t="s">
        <v>109</v>
      </c>
      <c r="AA248" s="3">
        <v>323</v>
      </c>
      <c r="AB248" s="3">
        <v>227</v>
      </c>
      <c r="AC248" s="3">
        <v>477</v>
      </c>
      <c r="AD248" s="3">
        <v>2</v>
      </c>
      <c r="AE248" s="3">
        <v>2</v>
      </c>
      <c r="AF248" s="3">
        <v>3</v>
      </c>
      <c r="AG248" s="3">
        <v>11</v>
      </c>
      <c r="AH248" s="3">
        <v>0</v>
      </c>
      <c r="AI248" s="3">
        <v>2</v>
      </c>
      <c r="AJ248" s="3">
        <v>2</v>
      </c>
      <c r="AK248" s="3">
        <v>5</v>
      </c>
      <c r="AL248" s="3">
        <v>3</v>
      </c>
      <c r="AM248" s="3">
        <v>8</v>
      </c>
      <c r="AN248" s="3">
        <v>0</v>
      </c>
      <c r="AO248" s="3">
        <v>0</v>
      </c>
      <c r="AP248" s="3">
        <v>0</v>
      </c>
      <c r="AQ248" s="3">
        <v>0</v>
      </c>
      <c r="AR248" s="2" t="s">
        <v>63</v>
      </c>
      <c r="AS248" s="2" t="s">
        <v>76</v>
      </c>
      <c r="AT248" s="5" t="str">
        <f>HYPERLINK("http://catalog.hathitrust.org/Record/000215969","HathiTrust Record")</f>
        <v>HathiTrust Record</v>
      </c>
      <c r="AU248" s="5" t="str">
        <f>HYPERLINK("https://creighton-primo.hosted.exlibrisgroup.com/primo-explore/search?tab=default_tab&amp;search_scope=EVERYTHING&amp;vid=01CRU&amp;lang=en_US&amp;offset=0&amp;query=any,contains,991000491529702656","Catalog Record")</f>
        <v>Catalog Record</v>
      </c>
      <c r="AV248" s="5" t="str">
        <f>HYPERLINK("http://www.worldcat.org/oclc/4194096","WorldCat Record")</f>
        <v>WorldCat Record</v>
      </c>
      <c r="AW248" s="2" t="s">
        <v>3015</v>
      </c>
      <c r="AX248" s="2" t="s">
        <v>3016</v>
      </c>
      <c r="AY248" s="2" t="s">
        <v>3017</v>
      </c>
      <c r="AZ248" s="2" t="s">
        <v>3017</v>
      </c>
      <c r="BA248" s="2" t="s">
        <v>3018</v>
      </c>
      <c r="BB248" s="2" t="s">
        <v>81</v>
      </c>
      <c r="BD248" s="2" t="s">
        <v>3019</v>
      </c>
      <c r="BE248" s="2" t="s">
        <v>3020</v>
      </c>
      <c r="BF248" s="2" t="s">
        <v>3021</v>
      </c>
    </row>
    <row r="249" spans="1:58" ht="42" customHeight="1">
      <c r="A249" s="1"/>
      <c r="B249" s="1" t="s">
        <v>58</v>
      </c>
      <c r="C249" s="1" t="s">
        <v>59</v>
      </c>
      <c r="D249" s="1" t="s">
        <v>3022</v>
      </c>
      <c r="E249" s="1" t="s">
        <v>3023</v>
      </c>
      <c r="F249" s="1" t="s">
        <v>3024</v>
      </c>
      <c r="G249" s="2" t="s">
        <v>165</v>
      </c>
      <c r="H249" s="2" t="s">
        <v>76</v>
      </c>
      <c r="I249" s="2" t="s">
        <v>64</v>
      </c>
      <c r="J249" s="2" t="s">
        <v>63</v>
      </c>
      <c r="K249" s="2" t="s">
        <v>63</v>
      </c>
      <c r="L249" s="2" t="s">
        <v>65</v>
      </c>
      <c r="N249" s="1" t="s">
        <v>3025</v>
      </c>
      <c r="O249" s="2" t="s">
        <v>757</v>
      </c>
      <c r="Q249" s="2" t="s">
        <v>70</v>
      </c>
      <c r="R249" s="2" t="s">
        <v>509</v>
      </c>
      <c r="T249" s="2" t="s">
        <v>73</v>
      </c>
      <c r="U249" s="3">
        <v>13</v>
      </c>
      <c r="V249" s="3">
        <v>31</v>
      </c>
      <c r="W249" s="4" t="s">
        <v>3026</v>
      </c>
      <c r="X249" s="4" t="s">
        <v>3026</v>
      </c>
      <c r="Y249" s="4" t="s">
        <v>109</v>
      </c>
      <c r="Z249" s="4" t="s">
        <v>109</v>
      </c>
      <c r="AA249" s="3">
        <v>329</v>
      </c>
      <c r="AB249" s="3">
        <v>235</v>
      </c>
      <c r="AC249" s="3">
        <v>243</v>
      </c>
      <c r="AD249" s="3">
        <v>1</v>
      </c>
      <c r="AE249" s="3">
        <v>1</v>
      </c>
      <c r="AF249" s="3">
        <v>6</v>
      </c>
      <c r="AG249" s="3">
        <v>6</v>
      </c>
      <c r="AH249" s="3">
        <v>1</v>
      </c>
      <c r="AI249" s="3">
        <v>1</v>
      </c>
      <c r="AJ249" s="3">
        <v>2</v>
      </c>
      <c r="AK249" s="3">
        <v>2</v>
      </c>
      <c r="AL249" s="3">
        <v>5</v>
      </c>
      <c r="AM249" s="3">
        <v>5</v>
      </c>
      <c r="AN249" s="3">
        <v>0</v>
      </c>
      <c r="AO249" s="3">
        <v>0</v>
      </c>
      <c r="AP249" s="3">
        <v>0</v>
      </c>
      <c r="AQ249" s="3">
        <v>0</v>
      </c>
      <c r="AR249" s="2" t="s">
        <v>63</v>
      </c>
      <c r="AS249" s="2" t="s">
        <v>76</v>
      </c>
      <c r="AT249" s="5" t="str">
        <f>HYPERLINK("http://catalog.hathitrust.org/Record/000767842","HathiTrust Record")</f>
        <v>HathiTrust Record</v>
      </c>
      <c r="AU249" s="5" t="str">
        <f>HYPERLINK("https://creighton-primo.hosted.exlibrisgroup.com/primo-explore/search?tab=default_tab&amp;search_scope=EVERYTHING&amp;vid=01CRU&amp;lang=en_US&amp;offset=0&amp;query=any,contains,991000998509702656","Catalog Record")</f>
        <v>Catalog Record</v>
      </c>
      <c r="AV249" s="5" t="str">
        <f>HYPERLINK("http://www.worldcat.org/oclc/10017952","WorldCat Record")</f>
        <v>WorldCat Record</v>
      </c>
      <c r="AW249" s="2" t="s">
        <v>3027</v>
      </c>
      <c r="AX249" s="2" t="s">
        <v>3028</v>
      </c>
      <c r="AY249" s="2" t="s">
        <v>3029</v>
      </c>
      <c r="AZ249" s="2" t="s">
        <v>3029</v>
      </c>
      <c r="BA249" s="2" t="s">
        <v>3030</v>
      </c>
      <c r="BB249" s="2" t="s">
        <v>81</v>
      </c>
      <c r="BD249" s="2" t="s">
        <v>3031</v>
      </c>
      <c r="BE249" s="2" t="s">
        <v>3032</v>
      </c>
      <c r="BF249" s="2" t="s">
        <v>3033</v>
      </c>
    </row>
    <row r="250" spans="1:58" ht="42" customHeight="1">
      <c r="A250" s="1"/>
      <c r="B250" s="1" t="s">
        <v>58</v>
      </c>
      <c r="C250" s="1" t="s">
        <v>59</v>
      </c>
      <c r="D250" s="1" t="s">
        <v>3022</v>
      </c>
      <c r="E250" s="1" t="s">
        <v>3023</v>
      </c>
      <c r="F250" s="1" t="s">
        <v>3024</v>
      </c>
      <c r="G250" s="2" t="s">
        <v>178</v>
      </c>
      <c r="H250" s="2" t="s">
        <v>76</v>
      </c>
      <c r="I250" s="2" t="s">
        <v>64</v>
      </c>
      <c r="J250" s="2" t="s">
        <v>63</v>
      </c>
      <c r="K250" s="2" t="s">
        <v>63</v>
      </c>
      <c r="L250" s="2" t="s">
        <v>65</v>
      </c>
      <c r="N250" s="1" t="s">
        <v>3025</v>
      </c>
      <c r="O250" s="2" t="s">
        <v>757</v>
      </c>
      <c r="Q250" s="2" t="s">
        <v>70</v>
      </c>
      <c r="R250" s="2" t="s">
        <v>509</v>
      </c>
      <c r="T250" s="2" t="s">
        <v>73</v>
      </c>
      <c r="U250" s="3">
        <v>18</v>
      </c>
      <c r="V250" s="3">
        <v>31</v>
      </c>
      <c r="W250" s="4" t="s">
        <v>3026</v>
      </c>
      <c r="X250" s="4" t="s">
        <v>3026</v>
      </c>
      <c r="Y250" s="4" t="s">
        <v>109</v>
      </c>
      <c r="Z250" s="4" t="s">
        <v>109</v>
      </c>
      <c r="AA250" s="3">
        <v>329</v>
      </c>
      <c r="AB250" s="3">
        <v>235</v>
      </c>
      <c r="AC250" s="3">
        <v>243</v>
      </c>
      <c r="AD250" s="3">
        <v>1</v>
      </c>
      <c r="AE250" s="3">
        <v>1</v>
      </c>
      <c r="AF250" s="3">
        <v>6</v>
      </c>
      <c r="AG250" s="3">
        <v>6</v>
      </c>
      <c r="AH250" s="3">
        <v>1</v>
      </c>
      <c r="AI250" s="3">
        <v>1</v>
      </c>
      <c r="AJ250" s="3">
        <v>2</v>
      </c>
      <c r="AK250" s="3">
        <v>2</v>
      </c>
      <c r="AL250" s="3">
        <v>5</v>
      </c>
      <c r="AM250" s="3">
        <v>5</v>
      </c>
      <c r="AN250" s="3">
        <v>0</v>
      </c>
      <c r="AO250" s="3">
        <v>0</v>
      </c>
      <c r="AP250" s="3">
        <v>0</v>
      </c>
      <c r="AQ250" s="3">
        <v>0</v>
      </c>
      <c r="AR250" s="2" t="s">
        <v>63</v>
      </c>
      <c r="AS250" s="2" t="s">
        <v>76</v>
      </c>
      <c r="AT250" s="5" t="str">
        <f>HYPERLINK("http://catalog.hathitrust.org/Record/000767842","HathiTrust Record")</f>
        <v>HathiTrust Record</v>
      </c>
      <c r="AU250" s="5" t="str">
        <f>HYPERLINK("https://creighton-primo.hosted.exlibrisgroup.com/primo-explore/search?tab=default_tab&amp;search_scope=EVERYTHING&amp;vid=01CRU&amp;lang=en_US&amp;offset=0&amp;query=any,contains,991000998509702656","Catalog Record")</f>
        <v>Catalog Record</v>
      </c>
      <c r="AV250" s="5" t="str">
        <f>HYPERLINK("http://www.worldcat.org/oclc/10017952","WorldCat Record")</f>
        <v>WorldCat Record</v>
      </c>
      <c r="AW250" s="2" t="s">
        <v>3027</v>
      </c>
      <c r="AX250" s="2" t="s">
        <v>3028</v>
      </c>
      <c r="AY250" s="2" t="s">
        <v>3029</v>
      </c>
      <c r="AZ250" s="2" t="s">
        <v>3029</v>
      </c>
      <c r="BA250" s="2" t="s">
        <v>3030</v>
      </c>
      <c r="BB250" s="2" t="s">
        <v>81</v>
      </c>
      <c r="BD250" s="2" t="s">
        <v>3031</v>
      </c>
      <c r="BE250" s="2" t="s">
        <v>3034</v>
      </c>
      <c r="BF250" s="2" t="s">
        <v>3035</v>
      </c>
    </row>
    <row r="251" spans="1:58" ht="42" customHeight="1">
      <c r="A251" s="1"/>
      <c r="B251" s="1" t="s">
        <v>58</v>
      </c>
      <c r="C251" s="1" t="s">
        <v>59</v>
      </c>
      <c r="D251" s="1" t="s">
        <v>3036</v>
      </c>
      <c r="E251" s="1" t="s">
        <v>3037</v>
      </c>
      <c r="F251" s="1" t="s">
        <v>3038</v>
      </c>
      <c r="G251" s="2" t="s">
        <v>473</v>
      </c>
      <c r="H251" s="2" t="s">
        <v>63</v>
      </c>
      <c r="I251" s="2" t="s">
        <v>64</v>
      </c>
      <c r="J251" s="2" t="s">
        <v>63</v>
      </c>
      <c r="K251" s="2" t="s">
        <v>63</v>
      </c>
      <c r="L251" s="2" t="s">
        <v>65</v>
      </c>
      <c r="N251" s="1" t="s">
        <v>3039</v>
      </c>
      <c r="O251" s="2" t="s">
        <v>215</v>
      </c>
      <c r="Q251" s="2" t="s">
        <v>70</v>
      </c>
      <c r="R251" s="2" t="s">
        <v>509</v>
      </c>
      <c r="T251" s="2" t="s">
        <v>73</v>
      </c>
      <c r="U251" s="3">
        <v>12</v>
      </c>
      <c r="V251" s="3">
        <v>12</v>
      </c>
      <c r="W251" s="4" t="s">
        <v>3026</v>
      </c>
      <c r="X251" s="4" t="s">
        <v>3026</v>
      </c>
      <c r="Y251" s="4" t="s">
        <v>3040</v>
      </c>
      <c r="Z251" s="4" t="s">
        <v>3040</v>
      </c>
      <c r="AA251" s="3">
        <v>29</v>
      </c>
      <c r="AB251" s="3">
        <v>10</v>
      </c>
      <c r="AC251" s="3">
        <v>10</v>
      </c>
      <c r="AD251" s="3">
        <v>2</v>
      </c>
      <c r="AE251" s="3">
        <v>2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2" t="s">
        <v>63</v>
      </c>
      <c r="AS251" s="2" t="s">
        <v>63</v>
      </c>
      <c r="AU251" s="5" t="str">
        <f>HYPERLINK("https://creighton-primo.hosted.exlibrisgroup.com/primo-explore/search?tab=default_tab&amp;search_scope=EVERYTHING&amp;vid=01CRU&amp;lang=en_US&amp;offset=0&amp;query=any,contains,991001425189702656","Catalog Record")</f>
        <v>Catalog Record</v>
      </c>
      <c r="AV251" s="5" t="str">
        <f>HYPERLINK("http://www.worldcat.org/oclc/16774764","WorldCat Record")</f>
        <v>WorldCat Record</v>
      </c>
      <c r="AW251" s="2" t="s">
        <v>3041</v>
      </c>
      <c r="AX251" s="2" t="s">
        <v>3042</v>
      </c>
      <c r="AY251" s="2" t="s">
        <v>3043</v>
      </c>
      <c r="AZ251" s="2" t="s">
        <v>3043</v>
      </c>
      <c r="BA251" s="2" t="s">
        <v>3044</v>
      </c>
      <c r="BB251" s="2" t="s">
        <v>81</v>
      </c>
      <c r="BD251" s="2" t="s">
        <v>3045</v>
      </c>
      <c r="BE251" s="2" t="s">
        <v>3046</v>
      </c>
      <c r="BF251" s="2" t="s">
        <v>3047</v>
      </c>
    </row>
    <row r="252" spans="1:58" ht="42" customHeight="1">
      <c r="A252" s="1"/>
      <c r="B252" s="1" t="s">
        <v>58</v>
      </c>
      <c r="C252" s="1" t="s">
        <v>59</v>
      </c>
      <c r="D252" s="1" t="s">
        <v>3048</v>
      </c>
      <c r="E252" s="1" t="s">
        <v>3049</v>
      </c>
      <c r="F252" s="1" t="s">
        <v>3050</v>
      </c>
      <c r="H252" s="2" t="s">
        <v>63</v>
      </c>
      <c r="I252" s="2" t="s">
        <v>64</v>
      </c>
      <c r="J252" s="2" t="s">
        <v>63</v>
      </c>
      <c r="K252" s="2" t="s">
        <v>63</v>
      </c>
      <c r="L252" s="2" t="s">
        <v>65</v>
      </c>
      <c r="M252" s="1" t="s">
        <v>3051</v>
      </c>
      <c r="N252" s="1" t="s">
        <v>3052</v>
      </c>
      <c r="O252" s="2" t="s">
        <v>1659</v>
      </c>
      <c r="Q252" s="2" t="s">
        <v>70</v>
      </c>
      <c r="R252" s="2" t="s">
        <v>744</v>
      </c>
      <c r="T252" s="2" t="s">
        <v>73</v>
      </c>
      <c r="U252" s="3">
        <v>16</v>
      </c>
      <c r="V252" s="3">
        <v>16</v>
      </c>
      <c r="W252" s="4" t="s">
        <v>3053</v>
      </c>
      <c r="X252" s="4" t="s">
        <v>3053</v>
      </c>
      <c r="Y252" s="4" t="s">
        <v>1258</v>
      </c>
      <c r="Z252" s="4" t="s">
        <v>1258</v>
      </c>
      <c r="AA252" s="3">
        <v>240</v>
      </c>
      <c r="AB252" s="3">
        <v>144</v>
      </c>
      <c r="AC252" s="3">
        <v>146</v>
      </c>
      <c r="AD252" s="3">
        <v>2</v>
      </c>
      <c r="AE252" s="3">
        <v>2</v>
      </c>
      <c r="AF252" s="3">
        <v>2</v>
      </c>
      <c r="AG252" s="3">
        <v>2</v>
      </c>
      <c r="AH252" s="3">
        <v>0</v>
      </c>
      <c r="AI252" s="3">
        <v>0</v>
      </c>
      <c r="AJ252" s="3">
        <v>1</v>
      </c>
      <c r="AK252" s="3">
        <v>1</v>
      </c>
      <c r="AL252" s="3">
        <v>1</v>
      </c>
      <c r="AM252" s="3">
        <v>1</v>
      </c>
      <c r="AN252" s="3">
        <v>1</v>
      </c>
      <c r="AO252" s="3">
        <v>1</v>
      </c>
      <c r="AP252" s="3">
        <v>0</v>
      </c>
      <c r="AQ252" s="3">
        <v>0</v>
      </c>
      <c r="AR252" s="2" t="s">
        <v>63</v>
      </c>
      <c r="AS252" s="2" t="s">
        <v>76</v>
      </c>
      <c r="AT252" s="5" t="str">
        <f>HYPERLINK("http://catalog.hathitrust.org/Record/001556571","HathiTrust Record")</f>
        <v>HathiTrust Record</v>
      </c>
      <c r="AU252" s="5" t="str">
        <f>HYPERLINK("https://creighton-primo.hosted.exlibrisgroup.com/primo-explore/search?tab=default_tab&amp;search_scope=EVERYTHING&amp;vid=01CRU&amp;lang=en_US&amp;offset=0&amp;query=any,contains,991000998599702656","Catalog Record")</f>
        <v>Catalog Record</v>
      </c>
      <c r="AV252" s="5" t="str">
        <f>HYPERLINK("http://www.worldcat.org/oclc/219807","WorldCat Record")</f>
        <v>WorldCat Record</v>
      </c>
      <c r="AW252" s="2" t="s">
        <v>3054</v>
      </c>
      <c r="AX252" s="2" t="s">
        <v>3055</v>
      </c>
      <c r="AY252" s="2" t="s">
        <v>3056</v>
      </c>
      <c r="AZ252" s="2" t="s">
        <v>3056</v>
      </c>
      <c r="BA252" s="2" t="s">
        <v>3057</v>
      </c>
      <c r="BB252" s="2" t="s">
        <v>81</v>
      </c>
      <c r="BD252" s="2" t="s">
        <v>3058</v>
      </c>
      <c r="BE252" s="2" t="s">
        <v>3059</v>
      </c>
      <c r="BF252" s="2" t="s">
        <v>3060</v>
      </c>
    </row>
    <row r="253" spans="1:58" ht="42" customHeight="1">
      <c r="A253" s="1"/>
      <c r="B253" s="1" t="s">
        <v>58</v>
      </c>
      <c r="C253" s="1" t="s">
        <v>59</v>
      </c>
      <c r="D253" s="1" t="s">
        <v>3061</v>
      </c>
      <c r="E253" s="1" t="s">
        <v>3062</v>
      </c>
      <c r="F253" s="1" t="s">
        <v>3063</v>
      </c>
      <c r="G253" s="2" t="s">
        <v>178</v>
      </c>
      <c r="H253" s="2" t="s">
        <v>76</v>
      </c>
      <c r="I253" s="2" t="s">
        <v>64</v>
      </c>
      <c r="J253" s="2" t="s">
        <v>63</v>
      </c>
      <c r="K253" s="2" t="s">
        <v>63</v>
      </c>
      <c r="L253" s="2" t="s">
        <v>65</v>
      </c>
      <c r="N253" s="1" t="s">
        <v>3064</v>
      </c>
      <c r="O253" s="2" t="s">
        <v>632</v>
      </c>
      <c r="Q253" s="2" t="s">
        <v>70</v>
      </c>
      <c r="R253" s="2" t="s">
        <v>509</v>
      </c>
      <c r="T253" s="2" t="s">
        <v>73</v>
      </c>
      <c r="U253" s="3">
        <v>4</v>
      </c>
      <c r="V253" s="3">
        <v>13</v>
      </c>
      <c r="W253" s="4" t="s">
        <v>3065</v>
      </c>
      <c r="X253" s="4" t="s">
        <v>3065</v>
      </c>
      <c r="Y253" s="4" t="s">
        <v>75</v>
      </c>
      <c r="Z253" s="4" t="s">
        <v>75</v>
      </c>
      <c r="AA253" s="3">
        <v>347</v>
      </c>
      <c r="AB253" s="3">
        <v>236</v>
      </c>
      <c r="AC253" s="3">
        <v>241</v>
      </c>
      <c r="AD253" s="3">
        <v>1</v>
      </c>
      <c r="AE253" s="3">
        <v>1</v>
      </c>
      <c r="AF253" s="3">
        <v>4</v>
      </c>
      <c r="AG253" s="3">
        <v>4</v>
      </c>
      <c r="AH253" s="3">
        <v>1</v>
      </c>
      <c r="AI253" s="3">
        <v>1</v>
      </c>
      <c r="AJ253" s="3">
        <v>3</v>
      </c>
      <c r="AK253" s="3">
        <v>3</v>
      </c>
      <c r="AL253" s="3">
        <v>1</v>
      </c>
      <c r="AM253" s="3">
        <v>1</v>
      </c>
      <c r="AN253" s="3">
        <v>0</v>
      </c>
      <c r="AO253" s="3">
        <v>0</v>
      </c>
      <c r="AP253" s="3">
        <v>0</v>
      </c>
      <c r="AQ253" s="3">
        <v>0</v>
      </c>
      <c r="AR253" s="2" t="s">
        <v>63</v>
      </c>
      <c r="AS253" s="2" t="s">
        <v>76</v>
      </c>
      <c r="AT253" s="5" t="str">
        <f>HYPERLINK("http://catalog.hathitrust.org/Record/002561254","HathiTrust Record")</f>
        <v>HathiTrust Record</v>
      </c>
      <c r="AU253" s="5" t="str">
        <f>HYPERLINK("https://creighton-primo.hosted.exlibrisgroup.com/primo-explore/search?tab=default_tab&amp;search_scope=EVERYTHING&amp;vid=01CRU&amp;lang=en_US&amp;offset=0&amp;query=any,contains,991000686099702656","Catalog Record")</f>
        <v>Catalog Record</v>
      </c>
      <c r="AV253" s="5" t="str">
        <f>HYPERLINK("http://www.worldcat.org/oclc/26934366","WorldCat Record")</f>
        <v>WorldCat Record</v>
      </c>
      <c r="AW253" s="2" t="s">
        <v>3066</v>
      </c>
      <c r="AX253" s="2" t="s">
        <v>3067</v>
      </c>
      <c r="AY253" s="2" t="s">
        <v>3068</v>
      </c>
      <c r="AZ253" s="2" t="s">
        <v>3068</v>
      </c>
      <c r="BA253" s="2" t="s">
        <v>3069</v>
      </c>
      <c r="BB253" s="2" t="s">
        <v>81</v>
      </c>
      <c r="BD253" s="2" t="s">
        <v>3070</v>
      </c>
      <c r="BE253" s="2" t="s">
        <v>3071</v>
      </c>
      <c r="BF253" s="2" t="s">
        <v>3072</v>
      </c>
    </row>
    <row r="254" spans="1:58" ht="42" customHeight="1">
      <c r="A254" s="1"/>
      <c r="B254" s="1" t="s">
        <v>58</v>
      </c>
      <c r="C254" s="1" t="s">
        <v>59</v>
      </c>
      <c r="D254" s="1" t="s">
        <v>3061</v>
      </c>
      <c r="E254" s="1" t="s">
        <v>3062</v>
      </c>
      <c r="F254" s="1" t="s">
        <v>3063</v>
      </c>
      <c r="G254" s="2" t="s">
        <v>165</v>
      </c>
      <c r="H254" s="2" t="s">
        <v>76</v>
      </c>
      <c r="I254" s="2" t="s">
        <v>64</v>
      </c>
      <c r="J254" s="2" t="s">
        <v>63</v>
      </c>
      <c r="K254" s="2" t="s">
        <v>63</v>
      </c>
      <c r="L254" s="2" t="s">
        <v>65</v>
      </c>
      <c r="N254" s="1" t="s">
        <v>3064</v>
      </c>
      <c r="O254" s="2" t="s">
        <v>632</v>
      </c>
      <c r="Q254" s="2" t="s">
        <v>70</v>
      </c>
      <c r="R254" s="2" t="s">
        <v>509</v>
      </c>
      <c r="T254" s="2" t="s">
        <v>73</v>
      </c>
      <c r="U254" s="3">
        <v>6</v>
      </c>
      <c r="V254" s="3">
        <v>13</v>
      </c>
      <c r="W254" s="4" t="s">
        <v>3065</v>
      </c>
      <c r="X254" s="4" t="s">
        <v>3065</v>
      </c>
      <c r="Y254" s="4" t="s">
        <v>75</v>
      </c>
      <c r="Z254" s="4" t="s">
        <v>75</v>
      </c>
      <c r="AA254" s="3">
        <v>347</v>
      </c>
      <c r="AB254" s="3">
        <v>236</v>
      </c>
      <c r="AC254" s="3">
        <v>241</v>
      </c>
      <c r="AD254" s="3">
        <v>1</v>
      </c>
      <c r="AE254" s="3">
        <v>1</v>
      </c>
      <c r="AF254" s="3">
        <v>4</v>
      </c>
      <c r="AG254" s="3">
        <v>4</v>
      </c>
      <c r="AH254" s="3">
        <v>1</v>
      </c>
      <c r="AI254" s="3">
        <v>1</v>
      </c>
      <c r="AJ254" s="3">
        <v>3</v>
      </c>
      <c r="AK254" s="3">
        <v>3</v>
      </c>
      <c r="AL254" s="3">
        <v>1</v>
      </c>
      <c r="AM254" s="3">
        <v>1</v>
      </c>
      <c r="AN254" s="3">
        <v>0</v>
      </c>
      <c r="AO254" s="3">
        <v>0</v>
      </c>
      <c r="AP254" s="3">
        <v>0</v>
      </c>
      <c r="AQ254" s="3">
        <v>0</v>
      </c>
      <c r="AR254" s="2" t="s">
        <v>63</v>
      </c>
      <c r="AS254" s="2" t="s">
        <v>76</v>
      </c>
      <c r="AT254" s="5" t="str">
        <f>HYPERLINK("http://catalog.hathitrust.org/Record/002561254","HathiTrust Record")</f>
        <v>HathiTrust Record</v>
      </c>
      <c r="AU254" s="5" t="str">
        <f>HYPERLINK("https://creighton-primo.hosted.exlibrisgroup.com/primo-explore/search?tab=default_tab&amp;search_scope=EVERYTHING&amp;vid=01CRU&amp;lang=en_US&amp;offset=0&amp;query=any,contains,991000686099702656","Catalog Record")</f>
        <v>Catalog Record</v>
      </c>
      <c r="AV254" s="5" t="str">
        <f>HYPERLINK("http://www.worldcat.org/oclc/26934366","WorldCat Record")</f>
        <v>WorldCat Record</v>
      </c>
      <c r="AW254" s="2" t="s">
        <v>3066</v>
      </c>
      <c r="AX254" s="2" t="s">
        <v>3067</v>
      </c>
      <c r="AY254" s="2" t="s">
        <v>3068</v>
      </c>
      <c r="AZ254" s="2" t="s">
        <v>3068</v>
      </c>
      <c r="BA254" s="2" t="s">
        <v>3069</v>
      </c>
      <c r="BB254" s="2" t="s">
        <v>81</v>
      </c>
      <c r="BD254" s="2" t="s">
        <v>3070</v>
      </c>
      <c r="BE254" s="2" t="s">
        <v>3073</v>
      </c>
      <c r="BF254" s="2" t="s">
        <v>3074</v>
      </c>
    </row>
    <row r="255" spans="1:58" ht="42" customHeight="1">
      <c r="A255" s="1"/>
      <c r="B255" s="1" t="s">
        <v>58</v>
      </c>
      <c r="C255" s="1" t="s">
        <v>59</v>
      </c>
      <c r="D255" s="1" t="s">
        <v>3061</v>
      </c>
      <c r="E255" s="1" t="s">
        <v>3062</v>
      </c>
      <c r="F255" s="1" t="s">
        <v>3063</v>
      </c>
      <c r="G255" s="2" t="s">
        <v>184</v>
      </c>
      <c r="H255" s="2" t="s">
        <v>76</v>
      </c>
      <c r="I255" s="2" t="s">
        <v>64</v>
      </c>
      <c r="J255" s="2" t="s">
        <v>63</v>
      </c>
      <c r="K255" s="2" t="s">
        <v>63</v>
      </c>
      <c r="L255" s="2" t="s">
        <v>65</v>
      </c>
      <c r="N255" s="1" t="s">
        <v>3064</v>
      </c>
      <c r="O255" s="2" t="s">
        <v>632</v>
      </c>
      <c r="Q255" s="2" t="s">
        <v>70</v>
      </c>
      <c r="R255" s="2" t="s">
        <v>509</v>
      </c>
      <c r="T255" s="2" t="s">
        <v>73</v>
      </c>
      <c r="U255" s="3">
        <v>3</v>
      </c>
      <c r="V255" s="3">
        <v>13</v>
      </c>
      <c r="W255" s="4" t="s">
        <v>3065</v>
      </c>
      <c r="X255" s="4" t="s">
        <v>3065</v>
      </c>
      <c r="Y255" s="4" t="s">
        <v>75</v>
      </c>
      <c r="Z255" s="4" t="s">
        <v>75</v>
      </c>
      <c r="AA255" s="3">
        <v>347</v>
      </c>
      <c r="AB255" s="3">
        <v>236</v>
      </c>
      <c r="AC255" s="3">
        <v>241</v>
      </c>
      <c r="AD255" s="3">
        <v>1</v>
      </c>
      <c r="AE255" s="3">
        <v>1</v>
      </c>
      <c r="AF255" s="3">
        <v>4</v>
      </c>
      <c r="AG255" s="3">
        <v>4</v>
      </c>
      <c r="AH255" s="3">
        <v>1</v>
      </c>
      <c r="AI255" s="3">
        <v>1</v>
      </c>
      <c r="AJ255" s="3">
        <v>3</v>
      </c>
      <c r="AK255" s="3">
        <v>3</v>
      </c>
      <c r="AL255" s="3">
        <v>1</v>
      </c>
      <c r="AM255" s="3">
        <v>1</v>
      </c>
      <c r="AN255" s="3">
        <v>0</v>
      </c>
      <c r="AO255" s="3">
        <v>0</v>
      </c>
      <c r="AP255" s="3">
        <v>0</v>
      </c>
      <c r="AQ255" s="3">
        <v>0</v>
      </c>
      <c r="AR255" s="2" t="s">
        <v>63</v>
      </c>
      <c r="AS255" s="2" t="s">
        <v>76</v>
      </c>
      <c r="AT255" s="5" t="str">
        <f>HYPERLINK("http://catalog.hathitrust.org/Record/002561254","HathiTrust Record")</f>
        <v>HathiTrust Record</v>
      </c>
      <c r="AU255" s="5" t="str">
        <f>HYPERLINK("https://creighton-primo.hosted.exlibrisgroup.com/primo-explore/search?tab=default_tab&amp;search_scope=EVERYTHING&amp;vid=01CRU&amp;lang=en_US&amp;offset=0&amp;query=any,contains,991000686099702656","Catalog Record")</f>
        <v>Catalog Record</v>
      </c>
      <c r="AV255" s="5" t="str">
        <f>HYPERLINK("http://www.worldcat.org/oclc/26934366","WorldCat Record")</f>
        <v>WorldCat Record</v>
      </c>
      <c r="AW255" s="2" t="s">
        <v>3066</v>
      </c>
      <c r="AX255" s="2" t="s">
        <v>3067</v>
      </c>
      <c r="AY255" s="2" t="s">
        <v>3068</v>
      </c>
      <c r="AZ255" s="2" t="s">
        <v>3068</v>
      </c>
      <c r="BA255" s="2" t="s">
        <v>3069</v>
      </c>
      <c r="BB255" s="2" t="s">
        <v>81</v>
      </c>
      <c r="BD255" s="2" t="s">
        <v>3070</v>
      </c>
      <c r="BE255" s="2" t="s">
        <v>3075</v>
      </c>
      <c r="BF255" s="2" t="s">
        <v>3076</v>
      </c>
    </row>
    <row r="256" spans="1:58" ht="42" customHeight="1">
      <c r="A256" s="1"/>
      <c r="B256" s="1" t="s">
        <v>58</v>
      </c>
      <c r="C256" s="1" t="s">
        <v>59</v>
      </c>
      <c r="D256" s="1" t="s">
        <v>3077</v>
      </c>
      <c r="E256" s="1" t="s">
        <v>3078</v>
      </c>
      <c r="F256" s="1" t="s">
        <v>3079</v>
      </c>
      <c r="H256" s="2" t="s">
        <v>63</v>
      </c>
      <c r="I256" s="2" t="s">
        <v>64</v>
      </c>
      <c r="J256" s="2" t="s">
        <v>63</v>
      </c>
      <c r="K256" s="2" t="s">
        <v>63</v>
      </c>
      <c r="L256" s="2" t="s">
        <v>65</v>
      </c>
      <c r="N256" s="1" t="s">
        <v>3080</v>
      </c>
      <c r="O256" s="2" t="s">
        <v>1147</v>
      </c>
      <c r="P256" s="1" t="s">
        <v>245</v>
      </c>
      <c r="Q256" s="2" t="s">
        <v>70</v>
      </c>
      <c r="R256" s="2" t="s">
        <v>246</v>
      </c>
      <c r="T256" s="2" t="s">
        <v>73</v>
      </c>
      <c r="U256" s="3">
        <v>0</v>
      </c>
      <c r="V256" s="3">
        <v>0</v>
      </c>
      <c r="W256" s="4" t="s">
        <v>3081</v>
      </c>
      <c r="X256" s="4" t="s">
        <v>3081</v>
      </c>
      <c r="Y256" s="4" t="s">
        <v>3081</v>
      </c>
      <c r="Z256" s="4" t="s">
        <v>3081</v>
      </c>
      <c r="AA256" s="3">
        <v>136</v>
      </c>
      <c r="AB256" s="3">
        <v>84</v>
      </c>
      <c r="AC256" s="3">
        <v>87</v>
      </c>
      <c r="AD256" s="3">
        <v>1</v>
      </c>
      <c r="AE256" s="3">
        <v>1</v>
      </c>
      <c r="AF256" s="3">
        <v>3</v>
      </c>
      <c r="AG256" s="3">
        <v>3</v>
      </c>
      <c r="AH256" s="3">
        <v>2</v>
      </c>
      <c r="AI256" s="3">
        <v>2</v>
      </c>
      <c r="AJ256" s="3">
        <v>0</v>
      </c>
      <c r="AK256" s="3">
        <v>0</v>
      </c>
      <c r="AL256" s="3">
        <v>1</v>
      </c>
      <c r="AM256" s="3">
        <v>1</v>
      </c>
      <c r="AN256" s="3">
        <v>0</v>
      </c>
      <c r="AO256" s="3">
        <v>0</v>
      </c>
      <c r="AP256" s="3">
        <v>0</v>
      </c>
      <c r="AQ256" s="3">
        <v>0</v>
      </c>
      <c r="AR256" s="2" t="s">
        <v>63</v>
      </c>
      <c r="AS256" s="2" t="s">
        <v>63</v>
      </c>
      <c r="AU256" s="5" t="str">
        <f>HYPERLINK("https://creighton-primo.hosted.exlibrisgroup.com/primo-explore/search?tab=default_tab&amp;search_scope=EVERYTHING&amp;vid=01CRU&amp;lang=en_US&amp;offset=0&amp;query=any,contains,991001487449702656","Catalog Record")</f>
        <v>Catalog Record</v>
      </c>
      <c r="AV256" s="5" t="str">
        <f>HYPERLINK("http://www.worldcat.org/oclc/56567155","WorldCat Record")</f>
        <v>WorldCat Record</v>
      </c>
      <c r="AW256" s="2" t="s">
        <v>3082</v>
      </c>
      <c r="AX256" s="2" t="s">
        <v>3083</v>
      </c>
      <c r="AY256" s="2" t="s">
        <v>3084</v>
      </c>
      <c r="AZ256" s="2" t="s">
        <v>3084</v>
      </c>
      <c r="BA256" s="2" t="s">
        <v>3085</v>
      </c>
      <c r="BB256" s="2" t="s">
        <v>81</v>
      </c>
      <c r="BD256" s="2" t="s">
        <v>3086</v>
      </c>
      <c r="BE256" s="2" t="s">
        <v>3087</v>
      </c>
      <c r="BF256" s="2" t="s">
        <v>3088</v>
      </c>
    </row>
    <row r="257" spans="1:58" ht="42" customHeight="1">
      <c r="A257" s="1"/>
      <c r="B257" s="1" t="s">
        <v>58</v>
      </c>
      <c r="C257" s="1" t="s">
        <v>59</v>
      </c>
      <c r="D257" s="1" t="s">
        <v>3089</v>
      </c>
      <c r="E257" s="1" t="s">
        <v>3090</v>
      </c>
      <c r="F257" s="1" t="s">
        <v>3091</v>
      </c>
      <c r="H257" s="2" t="s">
        <v>63</v>
      </c>
      <c r="I257" s="2" t="s">
        <v>64</v>
      </c>
      <c r="J257" s="2" t="s">
        <v>63</v>
      </c>
      <c r="K257" s="2" t="s">
        <v>63</v>
      </c>
      <c r="L257" s="2" t="s">
        <v>65</v>
      </c>
      <c r="M257" s="1" t="s">
        <v>3092</v>
      </c>
      <c r="N257" s="1" t="s">
        <v>3093</v>
      </c>
      <c r="O257" s="2" t="s">
        <v>449</v>
      </c>
      <c r="P257" s="1" t="s">
        <v>231</v>
      </c>
      <c r="Q257" s="2" t="s">
        <v>70</v>
      </c>
      <c r="R257" s="2" t="s">
        <v>107</v>
      </c>
      <c r="T257" s="2" t="s">
        <v>73</v>
      </c>
      <c r="U257" s="3">
        <v>4</v>
      </c>
      <c r="V257" s="3">
        <v>4</v>
      </c>
      <c r="W257" s="4" t="s">
        <v>3094</v>
      </c>
      <c r="X257" s="4" t="s">
        <v>3094</v>
      </c>
      <c r="Y257" s="4" t="s">
        <v>3095</v>
      </c>
      <c r="Z257" s="4" t="s">
        <v>3095</v>
      </c>
      <c r="AA257" s="3">
        <v>170</v>
      </c>
      <c r="AB257" s="3">
        <v>122</v>
      </c>
      <c r="AC257" s="3">
        <v>315</v>
      </c>
      <c r="AD257" s="3">
        <v>1</v>
      </c>
      <c r="AE257" s="3">
        <v>2</v>
      </c>
      <c r="AF257" s="3">
        <v>1</v>
      </c>
      <c r="AG257" s="3">
        <v>8</v>
      </c>
      <c r="AH257" s="3">
        <v>0</v>
      </c>
      <c r="AI257" s="3">
        <v>4</v>
      </c>
      <c r="AJ257" s="3">
        <v>0</v>
      </c>
      <c r="AK257" s="3">
        <v>1</v>
      </c>
      <c r="AL257" s="3">
        <v>0</v>
      </c>
      <c r="AM257" s="3">
        <v>4</v>
      </c>
      <c r="AN257" s="3">
        <v>0</v>
      </c>
      <c r="AO257" s="3">
        <v>1</v>
      </c>
      <c r="AP257" s="3">
        <v>1</v>
      </c>
      <c r="AQ257" s="3">
        <v>1</v>
      </c>
      <c r="AR257" s="2" t="s">
        <v>63</v>
      </c>
      <c r="AS257" s="2" t="s">
        <v>76</v>
      </c>
      <c r="AT257" s="5" t="str">
        <f>HYPERLINK("http://catalog.hathitrust.org/Record/000810440","HathiTrust Record")</f>
        <v>HathiTrust Record</v>
      </c>
      <c r="AU257" s="5" t="str">
        <f>HYPERLINK("https://creighton-primo.hosted.exlibrisgroup.com/primo-explore/search?tab=default_tab&amp;search_scope=EVERYTHING&amp;vid=01CRU&amp;lang=en_US&amp;offset=0&amp;query=any,contains,991001014039702656","Catalog Record")</f>
        <v>Catalog Record</v>
      </c>
      <c r="AV257" s="5" t="str">
        <f>HYPERLINK("http://www.worldcat.org/oclc/12133711","WorldCat Record")</f>
        <v>WorldCat Record</v>
      </c>
      <c r="AW257" s="2" t="s">
        <v>3096</v>
      </c>
      <c r="AX257" s="2" t="s">
        <v>3097</v>
      </c>
      <c r="AY257" s="2" t="s">
        <v>3098</v>
      </c>
      <c r="AZ257" s="2" t="s">
        <v>3098</v>
      </c>
      <c r="BA257" s="2" t="s">
        <v>3099</v>
      </c>
      <c r="BB257" s="2" t="s">
        <v>81</v>
      </c>
      <c r="BD257" s="2" t="s">
        <v>3100</v>
      </c>
      <c r="BE257" s="2" t="s">
        <v>3101</v>
      </c>
      <c r="BF257" s="2" t="s">
        <v>3102</v>
      </c>
    </row>
    <row r="258" spans="1:58" ht="42" customHeight="1">
      <c r="A258" s="1"/>
      <c r="B258" s="1" t="s">
        <v>58</v>
      </c>
      <c r="C258" s="1" t="s">
        <v>59</v>
      </c>
      <c r="D258" s="1" t="s">
        <v>3103</v>
      </c>
      <c r="E258" s="1" t="s">
        <v>3104</v>
      </c>
      <c r="F258" s="1" t="s">
        <v>3105</v>
      </c>
      <c r="H258" s="2" t="s">
        <v>63</v>
      </c>
      <c r="I258" s="2" t="s">
        <v>64</v>
      </c>
      <c r="J258" s="2" t="s">
        <v>63</v>
      </c>
      <c r="K258" s="2" t="s">
        <v>63</v>
      </c>
      <c r="L258" s="2" t="s">
        <v>65</v>
      </c>
      <c r="M258" s="1" t="s">
        <v>3106</v>
      </c>
      <c r="N258" s="1" t="s">
        <v>3107</v>
      </c>
      <c r="O258" s="2" t="s">
        <v>121</v>
      </c>
      <c r="P258" s="1" t="s">
        <v>231</v>
      </c>
      <c r="Q258" s="2" t="s">
        <v>70</v>
      </c>
      <c r="R258" s="2" t="s">
        <v>509</v>
      </c>
      <c r="T258" s="2" t="s">
        <v>73</v>
      </c>
      <c r="U258" s="3">
        <v>8</v>
      </c>
      <c r="V258" s="3">
        <v>8</v>
      </c>
      <c r="W258" s="4" t="s">
        <v>2421</v>
      </c>
      <c r="X258" s="4" t="s">
        <v>2421</v>
      </c>
      <c r="Y258" s="4" t="s">
        <v>3108</v>
      </c>
      <c r="Z258" s="4" t="s">
        <v>3108</v>
      </c>
      <c r="AA258" s="3">
        <v>239</v>
      </c>
      <c r="AB258" s="3">
        <v>144</v>
      </c>
      <c r="AC258" s="3">
        <v>395</v>
      </c>
      <c r="AD258" s="3">
        <v>4</v>
      </c>
      <c r="AE258" s="3">
        <v>5</v>
      </c>
      <c r="AF258" s="3">
        <v>6</v>
      </c>
      <c r="AG258" s="3">
        <v>11</v>
      </c>
      <c r="AH258" s="3">
        <v>2</v>
      </c>
      <c r="AI258" s="3">
        <v>4</v>
      </c>
      <c r="AJ258" s="3">
        <v>1</v>
      </c>
      <c r="AK258" s="3">
        <v>3</v>
      </c>
      <c r="AL258" s="3">
        <v>2</v>
      </c>
      <c r="AM258" s="3">
        <v>4</v>
      </c>
      <c r="AN258" s="3">
        <v>2</v>
      </c>
      <c r="AO258" s="3">
        <v>3</v>
      </c>
      <c r="AP258" s="3">
        <v>0</v>
      </c>
      <c r="AQ258" s="3">
        <v>0</v>
      </c>
      <c r="AR258" s="2" t="s">
        <v>63</v>
      </c>
      <c r="AS258" s="2" t="s">
        <v>63</v>
      </c>
      <c r="AU258" s="5" t="str">
        <f>HYPERLINK("https://creighton-primo.hosted.exlibrisgroup.com/primo-explore/search?tab=default_tab&amp;search_scope=EVERYTHING&amp;vid=01CRU&amp;lang=en_US&amp;offset=0&amp;query=any,contains,991000975549702656","Catalog Record")</f>
        <v>Catalog Record</v>
      </c>
      <c r="AV258" s="5" t="str">
        <f>HYPERLINK("http://www.worldcat.org/oclc/7739506","WorldCat Record")</f>
        <v>WorldCat Record</v>
      </c>
      <c r="AW258" s="2" t="s">
        <v>3109</v>
      </c>
      <c r="AX258" s="2" t="s">
        <v>3110</v>
      </c>
      <c r="AY258" s="2" t="s">
        <v>3111</v>
      </c>
      <c r="AZ258" s="2" t="s">
        <v>3111</v>
      </c>
      <c r="BA258" s="2" t="s">
        <v>3112</v>
      </c>
      <c r="BB258" s="2" t="s">
        <v>81</v>
      </c>
      <c r="BD258" s="2" t="s">
        <v>3113</v>
      </c>
      <c r="BE258" s="2" t="s">
        <v>3114</v>
      </c>
      <c r="BF258" s="2" t="s">
        <v>3115</v>
      </c>
    </row>
    <row r="259" spans="1:58" ht="42" customHeight="1">
      <c r="A259" s="1"/>
      <c r="B259" s="1" t="s">
        <v>58</v>
      </c>
      <c r="C259" s="1" t="s">
        <v>59</v>
      </c>
      <c r="D259" s="1" t="s">
        <v>3116</v>
      </c>
      <c r="E259" s="1" t="s">
        <v>3117</v>
      </c>
      <c r="F259" s="1" t="s">
        <v>3118</v>
      </c>
      <c r="H259" s="2" t="s">
        <v>63</v>
      </c>
      <c r="I259" s="2" t="s">
        <v>64</v>
      </c>
      <c r="J259" s="2" t="s">
        <v>63</v>
      </c>
      <c r="K259" s="2" t="s">
        <v>63</v>
      </c>
      <c r="L259" s="2" t="s">
        <v>65</v>
      </c>
      <c r="M259" s="1" t="s">
        <v>3119</v>
      </c>
      <c r="N259" s="1" t="s">
        <v>3120</v>
      </c>
      <c r="O259" s="2" t="s">
        <v>713</v>
      </c>
      <c r="P259" s="1" t="s">
        <v>231</v>
      </c>
      <c r="Q259" s="2" t="s">
        <v>70</v>
      </c>
      <c r="R259" s="2" t="s">
        <v>509</v>
      </c>
      <c r="T259" s="2" t="s">
        <v>73</v>
      </c>
      <c r="U259" s="3">
        <v>9</v>
      </c>
      <c r="V259" s="3">
        <v>9</v>
      </c>
      <c r="W259" s="4" t="s">
        <v>476</v>
      </c>
      <c r="X259" s="4" t="s">
        <v>476</v>
      </c>
      <c r="Y259" s="4" t="s">
        <v>3121</v>
      </c>
      <c r="Z259" s="4" t="s">
        <v>3121</v>
      </c>
      <c r="AA259" s="3">
        <v>172</v>
      </c>
      <c r="AB259" s="3">
        <v>88</v>
      </c>
      <c r="AC259" s="3">
        <v>206</v>
      </c>
      <c r="AD259" s="3">
        <v>1</v>
      </c>
      <c r="AE259" s="3">
        <v>4</v>
      </c>
      <c r="AF259" s="3">
        <v>1</v>
      </c>
      <c r="AG259" s="3">
        <v>6</v>
      </c>
      <c r="AH259" s="3">
        <v>0</v>
      </c>
      <c r="AI259" s="3">
        <v>0</v>
      </c>
      <c r="AJ259" s="3">
        <v>0</v>
      </c>
      <c r="AK259" s="3">
        <v>1</v>
      </c>
      <c r="AL259" s="3">
        <v>1</v>
      </c>
      <c r="AM259" s="3">
        <v>3</v>
      </c>
      <c r="AN259" s="3">
        <v>0</v>
      </c>
      <c r="AO259" s="3">
        <v>2</v>
      </c>
      <c r="AP259" s="3">
        <v>0</v>
      </c>
      <c r="AQ259" s="3">
        <v>0</v>
      </c>
      <c r="AR259" s="2" t="s">
        <v>63</v>
      </c>
      <c r="AS259" s="2" t="s">
        <v>63</v>
      </c>
      <c r="AU259" s="5" t="str">
        <f>HYPERLINK("https://creighton-primo.hosted.exlibrisgroup.com/primo-explore/search?tab=default_tab&amp;search_scope=EVERYTHING&amp;vid=01CRU&amp;lang=en_US&amp;offset=0&amp;query=any,contains,991001184889702656","Catalog Record")</f>
        <v>Catalog Record</v>
      </c>
      <c r="AV259" s="5" t="str">
        <f>HYPERLINK("http://www.worldcat.org/oclc/18835049","WorldCat Record")</f>
        <v>WorldCat Record</v>
      </c>
      <c r="AW259" s="2" t="s">
        <v>3122</v>
      </c>
      <c r="AX259" s="2" t="s">
        <v>3123</v>
      </c>
      <c r="AY259" s="2" t="s">
        <v>3124</v>
      </c>
      <c r="AZ259" s="2" t="s">
        <v>3124</v>
      </c>
      <c r="BA259" s="2" t="s">
        <v>3125</v>
      </c>
      <c r="BB259" s="2" t="s">
        <v>81</v>
      </c>
      <c r="BD259" s="2" t="s">
        <v>3126</v>
      </c>
      <c r="BE259" s="2" t="s">
        <v>3127</v>
      </c>
      <c r="BF259" s="2" t="s">
        <v>3128</v>
      </c>
    </row>
    <row r="260" spans="1:58" ht="42" customHeight="1">
      <c r="A260" s="1"/>
      <c r="B260" s="1" t="s">
        <v>58</v>
      </c>
      <c r="C260" s="1" t="s">
        <v>59</v>
      </c>
      <c r="D260" s="1" t="s">
        <v>3129</v>
      </c>
      <c r="E260" s="1" t="s">
        <v>3130</v>
      </c>
      <c r="F260" s="1" t="s">
        <v>3131</v>
      </c>
      <c r="H260" s="2" t="s">
        <v>63</v>
      </c>
      <c r="I260" s="2" t="s">
        <v>64</v>
      </c>
      <c r="J260" s="2" t="s">
        <v>63</v>
      </c>
      <c r="K260" s="2" t="s">
        <v>76</v>
      </c>
      <c r="L260" s="2" t="s">
        <v>65</v>
      </c>
      <c r="M260" s="1" t="s">
        <v>3132</v>
      </c>
      <c r="N260" s="1" t="s">
        <v>3133</v>
      </c>
      <c r="O260" s="2" t="s">
        <v>2224</v>
      </c>
      <c r="Q260" s="2" t="s">
        <v>70</v>
      </c>
      <c r="R260" s="2" t="s">
        <v>422</v>
      </c>
      <c r="T260" s="2" t="s">
        <v>73</v>
      </c>
      <c r="U260" s="3">
        <v>1</v>
      </c>
      <c r="V260" s="3">
        <v>1</v>
      </c>
      <c r="W260" s="4" t="s">
        <v>288</v>
      </c>
      <c r="X260" s="4" t="s">
        <v>288</v>
      </c>
      <c r="Y260" s="4" t="s">
        <v>1258</v>
      </c>
      <c r="Z260" s="4" t="s">
        <v>1258</v>
      </c>
      <c r="AA260" s="3">
        <v>253</v>
      </c>
      <c r="AB260" s="3">
        <v>206</v>
      </c>
      <c r="AC260" s="3">
        <v>526</v>
      </c>
      <c r="AD260" s="3">
        <v>1</v>
      </c>
      <c r="AE260" s="3">
        <v>5</v>
      </c>
      <c r="AF260" s="3">
        <v>9</v>
      </c>
      <c r="AG260" s="3">
        <v>19</v>
      </c>
      <c r="AH260" s="3">
        <v>2</v>
      </c>
      <c r="AI260" s="3">
        <v>4</v>
      </c>
      <c r="AJ260" s="3">
        <v>2</v>
      </c>
      <c r="AK260" s="3">
        <v>4</v>
      </c>
      <c r="AL260" s="3">
        <v>8</v>
      </c>
      <c r="AM260" s="3">
        <v>12</v>
      </c>
      <c r="AN260" s="3">
        <v>0</v>
      </c>
      <c r="AO260" s="3">
        <v>3</v>
      </c>
      <c r="AP260" s="3">
        <v>0</v>
      </c>
      <c r="AQ260" s="3">
        <v>0</v>
      </c>
      <c r="AR260" s="2" t="s">
        <v>76</v>
      </c>
      <c r="AS260" s="2" t="s">
        <v>76</v>
      </c>
      <c r="AT260" s="5" t="str">
        <f>HYPERLINK("http://catalog.hathitrust.org/Record/000227028","HathiTrust Record")</f>
        <v>HathiTrust Record</v>
      </c>
      <c r="AU260" s="5" t="str">
        <f>HYPERLINK("https://creighton-primo.hosted.exlibrisgroup.com/primo-explore/search?tab=default_tab&amp;search_scope=EVERYTHING&amp;vid=01CRU&amp;lang=en_US&amp;offset=0&amp;query=any,contains,991000975569702656","Catalog Record")</f>
        <v>Catalog Record</v>
      </c>
      <c r="AV260" s="5" t="str">
        <f>HYPERLINK("http://www.worldcat.org/oclc/562528","WorldCat Record")</f>
        <v>WorldCat Record</v>
      </c>
      <c r="AW260" s="2" t="s">
        <v>3134</v>
      </c>
      <c r="AX260" s="2" t="s">
        <v>3135</v>
      </c>
      <c r="AY260" s="2" t="s">
        <v>3136</v>
      </c>
      <c r="AZ260" s="2" t="s">
        <v>3136</v>
      </c>
      <c r="BA260" s="2" t="s">
        <v>3137</v>
      </c>
      <c r="BB260" s="2" t="s">
        <v>81</v>
      </c>
      <c r="BE260" s="2" t="s">
        <v>3138</v>
      </c>
      <c r="BF260" s="2" t="s">
        <v>3139</v>
      </c>
    </row>
    <row r="261" spans="1:58" ht="42" customHeight="1">
      <c r="A261" s="1"/>
      <c r="B261" s="1" t="s">
        <v>58</v>
      </c>
      <c r="C261" s="1" t="s">
        <v>59</v>
      </c>
      <c r="D261" s="1" t="s">
        <v>3140</v>
      </c>
      <c r="E261" s="1" t="s">
        <v>3141</v>
      </c>
      <c r="F261" s="1" t="s">
        <v>3142</v>
      </c>
      <c r="H261" s="2" t="s">
        <v>63</v>
      </c>
      <c r="I261" s="2" t="s">
        <v>64</v>
      </c>
      <c r="J261" s="2" t="s">
        <v>63</v>
      </c>
      <c r="K261" s="2" t="s">
        <v>63</v>
      </c>
      <c r="L261" s="2" t="s">
        <v>65</v>
      </c>
      <c r="M261" s="1" t="s">
        <v>3143</v>
      </c>
      <c r="N261" s="1" t="s">
        <v>3144</v>
      </c>
      <c r="O261" s="2" t="s">
        <v>374</v>
      </c>
      <c r="P261" s="1" t="s">
        <v>245</v>
      </c>
      <c r="Q261" s="2" t="s">
        <v>70</v>
      </c>
      <c r="R261" s="2" t="s">
        <v>593</v>
      </c>
      <c r="T261" s="2" t="s">
        <v>73</v>
      </c>
      <c r="U261" s="3">
        <v>3</v>
      </c>
      <c r="V261" s="3">
        <v>3</v>
      </c>
      <c r="W261" s="4" t="s">
        <v>3145</v>
      </c>
      <c r="X261" s="4" t="s">
        <v>3145</v>
      </c>
      <c r="Y261" s="4" t="s">
        <v>3146</v>
      </c>
      <c r="Z261" s="4" t="s">
        <v>3146</v>
      </c>
      <c r="AA261" s="3">
        <v>212</v>
      </c>
      <c r="AB261" s="3">
        <v>171</v>
      </c>
      <c r="AC261" s="3">
        <v>489</v>
      </c>
      <c r="AD261" s="3">
        <v>1</v>
      </c>
      <c r="AE261" s="3">
        <v>3</v>
      </c>
      <c r="AF261" s="3">
        <v>3</v>
      </c>
      <c r="AG261" s="3">
        <v>8</v>
      </c>
      <c r="AH261" s="3">
        <v>1</v>
      </c>
      <c r="AI261" s="3">
        <v>4</v>
      </c>
      <c r="AJ261" s="3">
        <v>1</v>
      </c>
      <c r="AK261" s="3">
        <v>2</v>
      </c>
      <c r="AL261" s="3">
        <v>2</v>
      </c>
      <c r="AM261" s="3">
        <v>4</v>
      </c>
      <c r="AN261" s="3">
        <v>0</v>
      </c>
      <c r="AO261" s="3">
        <v>1</v>
      </c>
      <c r="AP261" s="3">
        <v>0</v>
      </c>
      <c r="AQ261" s="3">
        <v>0</v>
      </c>
      <c r="AR261" s="2" t="s">
        <v>63</v>
      </c>
      <c r="AS261" s="2" t="s">
        <v>76</v>
      </c>
      <c r="AT261" s="5" t="str">
        <f>HYPERLINK("http://catalog.hathitrust.org/Record/004321163","HathiTrust Record")</f>
        <v>HathiTrust Record</v>
      </c>
      <c r="AU261" s="5" t="str">
        <f>HYPERLINK("https://creighton-primo.hosted.exlibrisgroup.com/primo-explore/search?tab=default_tab&amp;search_scope=EVERYTHING&amp;vid=01CRU&amp;lang=en_US&amp;offset=0&amp;query=any,contains,991000456329702656","Catalog Record")</f>
        <v>Catalog Record</v>
      </c>
      <c r="AV261" s="5" t="str">
        <f>HYPERLINK("http://www.worldcat.org/oclc/51278445","WorldCat Record")</f>
        <v>WorldCat Record</v>
      </c>
      <c r="AW261" s="2" t="s">
        <v>3147</v>
      </c>
      <c r="AX261" s="2" t="s">
        <v>3148</v>
      </c>
      <c r="AY261" s="2" t="s">
        <v>3149</v>
      </c>
      <c r="AZ261" s="2" t="s">
        <v>3149</v>
      </c>
      <c r="BA261" s="2" t="s">
        <v>3150</v>
      </c>
      <c r="BB261" s="2" t="s">
        <v>81</v>
      </c>
      <c r="BD261" s="2" t="s">
        <v>3151</v>
      </c>
      <c r="BE261" s="2" t="s">
        <v>3152</v>
      </c>
      <c r="BF261" s="2" t="s">
        <v>3153</v>
      </c>
    </row>
    <row r="262" spans="1:58" ht="42" customHeight="1">
      <c r="A262" s="1"/>
      <c r="B262" s="1" t="s">
        <v>58</v>
      </c>
      <c r="C262" s="1" t="s">
        <v>59</v>
      </c>
      <c r="D262" s="1" t="s">
        <v>3154</v>
      </c>
      <c r="E262" s="1" t="s">
        <v>3155</v>
      </c>
      <c r="F262" s="1" t="s">
        <v>3156</v>
      </c>
      <c r="H262" s="2" t="s">
        <v>63</v>
      </c>
      <c r="I262" s="2" t="s">
        <v>64</v>
      </c>
      <c r="J262" s="2" t="s">
        <v>63</v>
      </c>
      <c r="K262" s="2" t="s">
        <v>63</v>
      </c>
      <c r="L262" s="2" t="s">
        <v>65</v>
      </c>
      <c r="M262" s="1" t="s">
        <v>3157</v>
      </c>
      <c r="N262" s="1" t="s">
        <v>3158</v>
      </c>
      <c r="O262" s="2" t="s">
        <v>359</v>
      </c>
      <c r="Q262" s="2" t="s">
        <v>70</v>
      </c>
      <c r="R262" s="2" t="s">
        <v>246</v>
      </c>
      <c r="T262" s="2" t="s">
        <v>73</v>
      </c>
      <c r="U262" s="3">
        <v>5</v>
      </c>
      <c r="V262" s="3">
        <v>5</v>
      </c>
      <c r="W262" s="4" t="s">
        <v>3159</v>
      </c>
      <c r="X262" s="4" t="s">
        <v>3159</v>
      </c>
      <c r="Y262" s="4" t="s">
        <v>3160</v>
      </c>
      <c r="Z262" s="4" t="s">
        <v>3160</v>
      </c>
      <c r="AA262" s="3">
        <v>75</v>
      </c>
      <c r="AB262" s="3">
        <v>54</v>
      </c>
      <c r="AC262" s="3">
        <v>54</v>
      </c>
      <c r="AD262" s="3">
        <v>1</v>
      </c>
      <c r="AE262" s="3">
        <v>1</v>
      </c>
      <c r="AF262" s="3">
        <v>2</v>
      </c>
      <c r="AG262" s="3">
        <v>2</v>
      </c>
      <c r="AH262" s="3">
        <v>0</v>
      </c>
      <c r="AI262" s="3">
        <v>0</v>
      </c>
      <c r="AJ262" s="3">
        <v>0</v>
      </c>
      <c r="AK262" s="3">
        <v>0</v>
      </c>
      <c r="AL262" s="3">
        <v>2</v>
      </c>
      <c r="AM262" s="3">
        <v>2</v>
      </c>
      <c r="AN262" s="3">
        <v>0</v>
      </c>
      <c r="AO262" s="3">
        <v>0</v>
      </c>
      <c r="AP262" s="3">
        <v>0</v>
      </c>
      <c r="AQ262" s="3">
        <v>0</v>
      </c>
      <c r="AR262" s="2" t="s">
        <v>63</v>
      </c>
      <c r="AS262" s="2" t="s">
        <v>63</v>
      </c>
      <c r="AU262" s="5" t="str">
        <f>HYPERLINK("https://creighton-primo.hosted.exlibrisgroup.com/primo-explore/search?tab=default_tab&amp;search_scope=EVERYTHING&amp;vid=01CRU&amp;lang=en_US&amp;offset=0&amp;query=any,contains,991000783489702656","Catalog Record")</f>
        <v>Catalog Record</v>
      </c>
      <c r="AV262" s="5" t="str">
        <f>HYPERLINK("http://www.worldcat.org/oclc/39625424","WorldCat Record")</f>
        <v>WorldCat Record</v>
      </c>
      <c r="AW262" s="2" t="s">
        <v>3161</v>
      </c>
      <c r="AX262" s="2" t="s">
        <v>3162</v>
      </c>
      <c r="AY262" s="2" t="s">
        <v>3163</v>
      </c>
      <c r="AZ262" s="2" t="s">
        <v>3163</v>
      </c>
      <c r="BA262" s="2" t="s">
        <v>3164</v>
      </c>
      <c r="BB262" s="2" t="s">
        <v>81</v>
      </c>
      <c r="BD262" s="2" t="s">
        <v>3165</v>
      </c>
      <c r="BE262" s="2" t="s">
        <v>3166</v>
      </c>
      <c r="BF262" s="2" t="s">
        <v>3167</v>
      </c>
    </row>
    <row r="263" spans="1:58" ht="42" customHeight="1">
      <c r="A263" s="1"/>
      <c r="B263" s="1" t="s">
        <v>58</v>
      </c>
      <c r="C263" s="1" t="s">
        <v>59</v>
      </c>
      <c r="D263" s="1" t="s">
        <v>3168</v>
      </c>
      <c r="E263" s="1" t="s">
        <v>3169</v>
      </c>
      <c r="F263" s="1" t="s">
        <v>2538</v>
      </c>
      <c r="H263" s="2" t="s">
        <v>63</v>
      </c>
      <c r="I263" s="2" t="s">
        <v>64</v>
      </c>
      <c r="J263" s="2" t="s">
        <v>63</v>
      </c>
      <c r="K263" s="2" t="s">
        <v>76</v>
      </c>
      <c r="L263" s="2" t="s">
        <v>65</v>
      </c>
      <c r="N263" s="1" t="s">
        <v>3170</v>
      </c>
      <c r="O263" s="2" t="s">
        <v>359</v>
      </c>
      <c r="P263" s="1" t="s">
        <v>69</v>
      </c>
      <c r="Q263" s="2" t="s">
        <v>70</v>
      </c>
      <c r="R263" s="2" t="s">
        <v>246</v>
      </c>
      <c r="T263" s="2" t="s">
        <v>73</v>
      </c>
      <c r="U263" s="3">
        <v>4</v>
      </c>
      <c r="V263" s="3">
        <v>4</v>
      </c>
      <c r="W263" s="4" t="s">
        <v>3171</v>
      </c>
      <c r="X263" s="4" t="s">
        <v>3171</v>
      </c>
      <c r="Y263" s="4" t="s">
        <v>3172</v>
      </c>
      <c r="Z263" s="4" t="s">
        <v>3172</v>
      </c>
      <c r="AA263" s="3">
        <v>300</v>
      </c>
      <c r="AB263" s="3">
        <v>219</v>
      </c>
      <c r="AC263" s="3">
        <v>1228</v>
      </c>
      <c r="AD263" s="3">
        <v>1</v>
      </c>
      <c r="AE263" s="3">
        <v>13</v>
      </c>
      <c r="AF263" s="3">
        <v>4</v>
      </c>
      <c r="AG263" s="3">
        <v>47</v>
      </c>
      <c r="AH263" s="3">
        <v>2</v>
      </c>
      <c r="AI263" s="3">
        <v>17</v>
      </c>
      <c r="AJ263" s="3">
        <v>1</v>
      </c>
      <c r="AK263" s="3">
        <v>11</v>
      </c>
      <c r="AL263" s="3">
        <v>2</v>
      </c>
      <c r="AM263" s="3">
        <v>13</v>
      </c>
      <c r="AN263" s="3">
        <v>0</v>
      </c>
      <c r="AO263" s="3">
        <v>10</v>
      </c>
      <c r="AP263" s="3">
        <v>0</v>
      </c>
      <c r="AQ263" s="3">
        <v>1</v>
      </c>
      <c r="AR263" s="2" t="s">
        <v>63</v>
      </c>
      <c r="AS263" s="2" t="s">
        <v>63</v>
      </c>
      <c r="AU263" s="5" t="str">
        <f>HYPERLINK("https://creighton-primo.hosted.exlibrisgroup.com/primo-explore/search?tab=default_tab&amp;search_scope=EVERYTHING&amp;vid=01CRU&amp;lang=en_US&amp;offset=0&amp;query=any,contains,991000333849702656","Catalog Record")</f>
        <v>Catalog Record</v>
      </c>
      <c r="AV263" s="5" t="str">
        <f>HYPERLINK("http://www.worldcat.org/oclc/38757937","WorldCat Record")</f>
        <v>WorldCat Record</v>
      </c>
      <c r="AW263" s="2" t="s">
        <v>2541</v>
      </c>
      <c r="AX263" s="2" t="s">
        <v>3173</v>
      </c>
      <c r="AY263" s="2" t="s">
        <v>3174</v>
      </c>
      <c r="AZ263" s="2" t="s">
        <v>3174</v>
      </c>
      <c r="BA263" s="2" t="s">
        <v>3175</v>
      </c>
      <c r="BB263" s="2" t="s">
        <v>81</v>
      </c>
      <c r="BD263" s="2" t="s">
        <v>3176</v>
      </c>
      <c r="BE263" s="2" t="s">
        <v>3177</v>
      </c>
      <c r="BF263" s="2" t="s">
        <v>3178</v>
      </c>
    </row>
    <row r="264" spans="1:58" ht="42" customHeight="1">
      <c r="A264" s="1"/>
      <c r="B264" s="1" t="s">
        <v>58</v>
      </c>
      <c r="C264" s="1" t="s">
        <v>59</v>
      </c>
      <c r="D264" s="1" t="s">
        <v>3179</v>
      </c>
      <c r="E264" s="1" t="s">
        <v>3180</v>
      </c>
      <c r="F264" s="1" t="s">
        <v>2538</v>
      </c>
      <c r="H264" s="2" t="s">
        <v>63</v>
      </c>
      <c r="I264" s="2" t="s">
        <v>64</v>
      </c>
      <c r="J264" s="2" t="s">
        <v>63</v>
      </c>
      <c r="K264" s="2" t="s">
        <v>76</v>
      </c>
      <c r="L264" s="2" t="s">
        <v>65</v>
      </c>
      <c r="N264" s="1" t="s">
        <v>3181</v>
      </c>
      <c r="O264" s="2" t="s">
        <v>374</v>
      </c>
      <c r="P264" s="1" t="s">
        <v>795</v>
      </c>
      <c r="Q264" s="2" t="s">
        <v>70</v>
      </c>
      <c r="R264" s="2" t="s">
        <v>246</v>
      </c>
      <c r="T264" s="2" t="s">
        <v>73</v>
      </c>
      <c r="U264" s="3">
        <v>7</v>
      </c>
      <c r="V264" s="3">
        <v>7</v>
      </c>
      <c r="W264" s="4" t="s">
        <v>2738</v>
      </c>
      <c r="X264" s="4" t="s">
        <v>2738</v>
      </c>
      <c r="Y264" s="4" t="s">
        <v>3182</v>
      </c>
      <c r="Z264" s="4" t="s">
        <v>3182</v>
      </c>
      <c r="AA264" s="3">
        <v>363</v>
      </c>
      <c r="AB264" s="3">
        <v>266</v>
      </c>
      <c r="AC264" s="3">
        <v>1228</v>
      </c>
      <c r="AD264" s="3">
        <v>2</v>
      </c>
      <c r="AE264" s="3">
        <v>13</v>
      </c>
      <c r="AF264" s="3">
        <v>7</v>
      </c>
      <c r="AG264" s="3">
        <v>47</v>
      </c>
      <c r="AH264" s="3">
        <v>2</v>
      </c>
      <c r="AI264" s="3">
        <v>17</v>
      </c>
      <c r="AJ264" s="3">
        <v>2</v>
      </c>
      <c r="AK264" s="3">
        <v>11</v>
      </c>
      <c r="AL264" s="3">
        <v>4</v>
      </c>
      <c r="AM264" s="3">
        <v>13</v>
      </c>
      <c r="AN264" s="3">
        <v>0</v>
      </c>
      <c r="AO264" s="3">
        <v>10</v>
      </c>
      <c r="AP264" s="3">
        <v>0</v>
      </c>
      <c r="AQ264" s="3">
        <v>1</v>
      </c>
      <c r="AR264" s="2" t="s">
        <v>63</v>
      </c>
      <c r="AS264" s="2" t="s">
        <v>63</v>
      </c>
      <c r="AU264" s="5" t="str">
        <f>HYPERLINK("https://creighton-primo.hosted.exlibrisgroup.com/primo-explore/search?tab=default_tab&amp;search_scope=EVERYTHING&amp;vid=01CRU&amp;lang=en_US&amp;offset=0&amp;query=any,contains,991000414079702656","Catalog Record")</f>
        <v>Catalog Record</v>
      </c>
      <c r="AV264" s="5" t="str">
        <f>HYPERLINK("http://www.worldcat.org/oclc/51804795","WorldCat Record")</f>
        <v>WorldCat Record</v>
      </c>
      <c r="AW264" s="2" t="s">
        <v>2541</v>
      </c>
      <c r="AX264" s="2" t="s">
        <v>3183</v>
      </c>
      <c r="AY264" s="2" t="s">
        <v>3184</v>
      </c>
      <c r="AZ264" s="2" t="s">
        <v>3184</v>
      </c>
      <c r="BA264" s="2" t="s">
        <v>3185</v>
      </c>
      <c r="BB264" s="2" t="s">
        <v>81</v>
      </c>
      <c r="BD264" s="2" t="s">
        <v>3186</v>
      </c>
      <c r="BE264" s="2" t="s">
        <v>3187</v>
      </c>
      <c r="BF264" s="2" t="s">
        <v>3188</v>
      </c>
    </row>
    <row r="265" spans="1:58" ht="42" customHeight="1">
      <c r="A265" s="1"/>
      <c r="B265" s="1" t="s">
        <v>58</v>
      </c>
      <c r="C265" s="1" t="s">
        <v>59</v>
      </c>
      <c r="D265" s="1" t="s">
        <v>3189</v>
      </c>
      <c r="E265" s="1" t="s">
        <v>3190</v>
      </c>
      <c r="F265" s="1" t="s">
        <v>3191</v>
      </c>
      <c r="H265" s="2" t="s">
        <v>63</v>
      </c>
      <c r="I265" s="2" t="s">
        <v>64</v>
      </c>
      <c r="J265" s="2" t="s">
        <v>63</v>
      </c>
      <c r="K265" s="2" t="s">
        <v>63</v>
      </c>
      <c r="L265" s="2" t="s">
        <v>64</v>
      </c>
      <c r="N265" s="1" t="s">
        <v>3192</v>
      </c>
      <c r="O265" s="2" t="s">
        <v>1973</v>
      </c>
      <c r="Q265" s="2" t="s">
        <v>70</v>
      </c>
      <c r="R265" s="2" t="s">
        <v>422</v>
      </c>
      <c r="S265" s="1" t="s">
        <v>1997</v>
      </c>
      <c r="T265" s="2" t="s">
        <v>73</v>
      </c>
      <c r="U265" s="3">
        <v>0</v>
      </c>
      <c r="V265" s="3">
        <v>0</v>
      </c>
      <c r="W265" s="4" t="s">
        <v>3193</v>
      </c>
      <c r="X265" s="4" t="s">
        <v>3193</v>
      </c>
      <c r="Y265" s="4" t="s">
        <v>3194</v>
      </c>
      <c r="Z265" s="4" t="s">
        <v>3194</v>
      </c>
      <c r="AA265" s="3">
        <v>102</v>
      </c>
      <c r="AB265" s="3">
        <v>71</v>
      </c>
      <c r="AC265" s="3">
        <v>308</v>
      </c>
      <c r="AD265" s="3">
        <v>2</v>
      </c>
      <c r="AE265" s="3">
        <v>3</v>
      </c>
      <c r="AF265" s="3">
        <v>2</v>
      </c>
      <c r="AG265" s="3">
        <v>6</v>
      </c>
      <c r="AH265" s="3">
        <v>1</v>
      </c>
      <c r="AI265" s="3">
        <v>3</v>
      </c>
      <c r="AJ265" s="3">
        <v>0</v>
      </c>
      <c r="AK265" s="3">
        <v>1</v>
      </c>
      <c r="AL265" s="3">
        <v>0</v>
      </c>
      <c r="AM265" s="3">
        <v>4</v>
      </c>
      <c r="AN265" s="3">
        <v>1</v>
      </c>
      <c r="AO265" s="3">
        <v>1</v>
      </c>
      <c r="AP265" s="3">
        <v>0</v>
      </c>
      <c r="AQ265" s="3">
        <v>0</v>
      </c>
      <c r="AR265" s="2" t="s">
        <v>63</v>
      </c>
      <c r="AS265" s="2" t="s">
        <v>63</v>
      </c>
      <c r="AU265" s="5" t="str">
        <f>HYPERLINK("https://creighton-primo.hosted.exlibrisgroup.com/primo-explore/search?tab=default_tab&amp;search_scope=EVERYTHING&amp;vid=01CRU&amp;lang=en_US&amp;offset=0&amp;query=any,contains,991000592669702656","Catalog Record")</f>
        <v>Catalog Record</v>
      </c>
      <c r="AV265" s="5" t="str">
        <f>HYPERLINK("http://www.worldcat.org/oclc/55955709","WorldCat Record")</f>
        <v>WorldCat Record</v>
      </c>
      <c r="AW265" s="2" t="s">
        <v>3195</v>
      </c>
      <c r="AX265" s="2" t="s">
        <v>3196</v>
      </c>
      <c r="AY265" s="2" t="s">
        <v>3197</v>
      </c>
      <c r="AZ265" s="2" t="s">
        <v>3197</v>
      </c>
      <c r="BA265" s="2" t="s">
        <v>3198</v>
      </c>
      <c r="BB265" s="2" t="s">
        <v>81</v>
      </c>
      <c r="BD265" s="2" t="s">
        <v>3199</v>
      </c>
      <c r="BE265" s="2" t="s">
        <v>3200</v>
      </c>
      <c r="BF265" s="2" t="s">
        <v>3201</v>
      </c>
    </row>
    <row r="266" spans="1:58" ht="42" customHeight="1">
      <c r="A266" s="1"/>
      <c r="B266" s="1" t="s">
        <v>58</v>
      </c>
      <c r="C266" s="1" t="s">
        <v>59</v>
      </c>
      <c r="D266" s="1" t="s">
        <v>3202</v>
      </c>
      <c r="E266" s="1" t="s">
        <v>3203</v>
      </c>
      <c r="F266" s="1" t="s">
        <v>3204</v>
      </c>
      <c r="H266" s="2" t="s">
        <v>63</v>
      </c>
      <c r="I266" s="2" t="s">
        <v>64</v>
      </c>
      <c r="J266" s="2" t="s">
        <v>63</v>
      </c>
      <c r="K266" s="2" t="s">
        <v>63</v>
      </c>
      <c r="L266" s="2" t="s">
        <v>65</v>
      </c>
      <c r="M266" s="1" t="s">
        <v>3205</v>
      </c>
      <c r="N266" s="1" t="s">
        <v>3206</v>
      </c>
      <c r="O266" s="2" t="s">
        <v>314</v>
      </c>
      <c r="Q266" s="2" t="s">
        <v>70</v>
      </c>
      <c r="R266" s="2" t="s">
        <v>168</v>
      </c>
      <c r="T266" s="2" t="s">
        <v>73</v>
      </c>
      <c r="U266" s="3">
        <v>47</v>
      </c>
      <c r="V266" s="3">
        <v>47</v>
      </c>
      <c r="W266" s="4" t="s">
        <v>2459</v>
      </c>
      <c r="X266" s="4" t="s">
        <v>2459</v>
      </c>
      <c r="Y266" s="4" t="s">
        <v>3207</v>
      </c>
      <c r="Z266" s="4" t="s">
        <v>3207</v>
      </c>
      <c r="AA266" s="3">
        <v>226</v>
      </c>
      <c r="AB266" s="3">
        <v>172</v>
      </c>
      <c r="AC266" s="3">
        <v>174</v>
      </c>
      <c r="AD266" s="3">
        <v>1</v>
      </c>
      <c r="AE266" s="3">
        <v>1</v>
      </c>
      <c r="AF266" s="3">
        <v>6</v>
      </c>
      <c r="AG266" s="3">
        <v>6</v>
      </c>
      <c r="AH266" s="3">
        <v>1</v>
      </c>
      <c r="AI266" s="3">
        <v>1</v>
      </c>
      <c r="AJ266" s="3">
        <v>2</v>
      </c>
      <c r="AK266" s="3">
        <v>2</v>
      </c>
      <c r="AL266" s="3">
        <v>4</v>
      </c>
      <c r="AM266" s="3">
        <v>4</v>
      </c>
      <c r="AN266" s="3">
        <v>0</v>
      </c>
      <c r="AO266" s="3">
        <v>0</v>
      </c>
      <c r="AP266" s="3">
        <v>0</v>
      </c>
      <c r="AQ266" s="3">
        <v>0</v>
      </c>
      <c r="AR266" s="2" t="s">
        <v>63</v>
      </c>
      <c r="AS266" s="2" t="s">
        <v>76</v>
      </c>
      <c r="AT266" s="5" t="str">
        <f>HYPERLINK("http://catalog.hathitrust.org/Record/003304815","HathiTrust Record")</f>
        <v>HathiTrust Record</v>
      </c>
      <c r="AU266" s="5" t="str">
        <f>HYPERLINK("https://creighton-primo.hosted.exlibrisgroup.com/primo-explore/search?tab=default_tab&amp;search_scope=EVERYTHING&amp;vid=01CRU&amp;lang=en_US&amp;offset=0&amp;query=any,contains,991000822429702656","Catalog Record")</f>
        <v>Catalog Record</v>
      </c>
      <c r="AV266" s="5" t="str">
        <f>HYPERLINK("http://www.worldcat.org/oclc/37616764","WorldCat Record")</f>
        <v>WorldCat Record</v>
      </c>
      <c r="AW266" s="2" t="s">
        <v>3208</v>
      </c>
      <c r="AX266" s="2" t="s">
        <v>3209</v>
      </c>
      <c r="AY266" s="2" t="s">
        <v>3210</v>
      </c>
      <c r="AZ266" s="2" t="s">
        <v>3210</v>
      </c>
      <c r="BA266" s="2" t="s">
        <v>3211</v>
      </c>
      <c r="BB266" s="2" t="s">
        <v>81</v>
      </c>
      <c r="BD266" s="2" t="s">
        <v>3212</v>
      </c>
      <c r="BE266" s="2" t="s">
        <v>3213</v>
      </c>
      <c r="BF266" s="2" t="s">
        <v>3214</v>
      </c>
    </row>
    <row r="267" spans="1:58" ht="42" customHeight="1">
      <c r="A267" s="1"/>
      <c r="B267" s="1" t="s">
        <v>58</v>
      </c>
      <c r="C267" s="1" t="s">
        <v>59</v>
      </c>
      <c r="D267" s="1" t="s">
        <v>3215</v>
      </c>
      <c r="E267" s="1" t="s">
        <v>3216</v>
      </c>
      <c r="F267" s="1" t="s">
        <v>3217</v>
      </c>
      <c r="H267" s="2" t="s">
        <v>63</v>
      </c>
      <c r="I267" s="2" t="s">
        <v>64</v>
      </c>
      <c r="J267" s="2" t="s">
        <v>63</v>
      </c>
      <c r="K267" s="2" t="s">
        <v>63</v>
      </c>
      <c r="L267" s="2" t="s">
        <v>65</v>
      </c>
      <c r="N267" s="1" t="s">
        <v>3218</v>
      </c>
      <c r="O267" s="2" t="s">
        <v>3219</v>
      </c>
      <c r="Q267" s="2" t="s">
        <v>70</v>
      </c>
      <c r="R267" s="2" t="s">
        <v>422</v>
      </c>
      <c r="T267" s="2" t="s">
        <v>73</v>
      </c>
      <c r="U267" s="3">
        <v>2</v>
      </c>
      <c r="V267" s="3">
        <v>2</v>
      </c>
      <c r="W267" s="4" t="s">
        <v>3220</v>
      </c>
      <c r="X267" s="4" t="s">
        <v>3220</v>
      </c>
      <c r="Y267" s="4" t="s">
        <v>3220</v>
      </c>
      <c r="Z267" s="4" t="s">
        <v>3220</v>
      </c>
      <c r="AA267" s="3">
        <v>33</v>
      </c>
      <c r="AB267" s="3">
        <v>20</v>
      </c>
      <c r="AC267" s="3">
        <v>20</v>
      </c>
      <c r="AD267" s="3">
        <v>1</v>
      </c>
      <c r="AE267" s="3">
        <v>1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2" t="s">
        <v>63</v>
      </c>
      <c r="AS267" s="2" t="s">
        <v>63</v>
      </c>
      <c r="AU267" s="5" t="str">
        <f>HYPERLINK("https://creighton-primo.hosted.exlibrisgroup.com/primo-explore/search?tab=default_tab&amp;search_scope=EVERYTHING&amp;vid=01CRU&amp;lang=en_US&amp;offset=0&amp;query=any,contains,991001462349702656","Catalog Record")</f>
        <v>Catalog Record</v>
      </c>
      <c r="AV267" s="5" t="str">
        <f>HYPERLINK("http://www.worldcat.org/oclc/213480096","WorldCat Record")</f>
        <v>WorldCat Record</v>
      </c>
      <c r="AW267" s="2" t="s">
        <v>3221</v>
      </c>
      <c r="AX267" s="2" t="s">
        <v>3222</v>
      </c>
      <c r="AY267" s="2" t="s">
        <v>3223</v>
      </c>
      <c r="AZ267" s="2" t="s">
        <v>3223</v>
      </c>
      <c r="BA267" s="2" t="s">
        <v>3224</v>
      </c>
      <c r="BB267" s="2" t="s">
        <v>81</v>
      </c>
      <c r="BD267" s="2" t="s">
        <v>3225</v>
      </c>
      <c r="BE267" s="2" t="s">
        <v>3226</v>
      </c>
      <c r="BF267" s="2" t="s">
        <v>3227</v>
      </c>
    </row>
    <row r="268" spans="1:58" ht="42" customHeight="1">
      <c r="A268" s="1"/>
      <c r="B268" s="1" t="s">
        <v>58</v>
      </c>
      <c r="C268" s="1" t="s">
        <v>59</v>
      </c>
      <c r="D268" s="1" t="s">
        <v>3228</v>
      </c>
      <c r="E268" s="1" t="s">
        <v>3229</v>
      </c>
      <c r="F268" s="1" t="s">
        <v>3230</v>
      </c>
      <c r="H268" s="2" t="s">
        <v>63</v>
      </c>
      <c r="I268" s="2" t="s">
        <v>64</v>
      </c>
      <c r="J268" s="2" t="s">
        <v>63</v>
      </c>
      <c r="K268" s="2" t="s">
        <v>63</v>
      </c>
      <c r="L268" s="2" t="s">
        <v>65</v>
      </c>
      <c r="N268" s="1" t="s">
        <v>3231</v>
      </c>
      <c r="O268" s="2" t="s">
        <v>728</v>
      </c>
      <c r="Q268" s="2" t="s">
        <v>70</v>
      </c>
      <c r="R268" s="2" t="s">
        <v>422</v>
      </c>
      <c r="T268" s="2" t="s">
        <v>73</v>
      </c>
      <c r="U268" s="3">
        <v>4</v>
      </c>
      <c r="V268" s="3">
        <v>4</v>
      </c>
      <c r="W268" s="4" t="s">
        <v>3232</v>
      </c>
      <c r="X268" s="4" t="s">
        <v>3232</v>
      </c>
      <c r="Y268" s="4" t="s">
        <v>3108</v>
      </c>
      <c r="Z268" s="4" t="s">
        <v>3108</v>
      </c>
      <c r="AA268" s="3">
        <v>263</v>
      </c>
      <c r="AB268" s="3">
        <v>201</v>
      </c>
      <c r="AC268" s="3">
        <v>245</v>
      </c>
      <c r="AD268" s="3">
        <v>3</v>
      </c>
      <c r="AE268" s="3">
        <v>3</v>
      </c>
      <c r="AF268" s="3">
        <v>5</v>
      </c>
      <c r="AG268" s="3">
        <v>7</v>
      </c>
      <c r="AH268" s="3">
        <v>0</v>
      </c>
      <c r="AI268" s="3">
        <v>1</v>
      </c>
      <c r="AJ268" s="3">
        <v>1</v>
      </c>
      <c r="AK268" s="3">
        <v>2</v>
      </c>
      <c r="AL268" s="3">
        <v>3</v>
      </c>
      <c r="AM268" s="3">
        <v>3</v>
      </c>
      <c r="AN268" s="3">
        <v>2</v>
      </c>
      <c r="AO268" s="3">
        <v>2</v>
      </c>
      <c r="AP268" s="3">
        <v>0</v>
      </c>
      <c r="AQ268" s="3">
        <v>0</v>
      </c>
      <c r="AR268" s="2" t="s">
        <v>63</v>
      </c>
      <c r="AS268" s="2" t="s">
        <v>76</v>
      </c>
      <c r="AT268" s="5" t="str">
        <f>HYPERLINK("http://catalog.hathitrust.org/Record/000029551","HathiTrust Record")</f>
        <v>HathiTrust Record</v>
      </c>
      <c r="AU268" s="5" t="str">
        <f>HYPERLINK("https://creighton-primo.hosted.exlibrisgroup.com/primo-explore/search?tab=default_tab&amp;search_scope=EVERYTHING&amp;vid=01CRU&amp;lang=en_US&amp;offset=0&amp;query=any,contains,991000975679702656","Catalog Record")</f>
        <v>Catalog Record</v>
      </c>
      <c r="AV268" s="5" t="str">
        <f>HYPERLINK("http://www.worldcat.org/oclc/4835266","WorldCat Record")</f>
        <v>WorldCat Record</v>
      </c>
      <c r="AW268" s="2" t="s">
        <v>3233</v>
      </c>
      <c r="AX268" s="2" t="s">
        <v>3234</v>
      </c>
      <c r="AY268" s="2" t="s">
        <v>3235</v>
      </c>
      <c r="AZ268" s="2" t="s">
        <v>3235</v>
      </c>
      <c r="BA268" s="2" t="s">
        <v>3236</v>
      </c>
      <c r="BB268" s="2" t="s">
        <v>81</v>
      </c>
      <c r="BD268" s="2" t="s">
        <v>3237</v>
      </c>
      <c r="BE268" s="2" t="s">
        <v>3238</v>
      </c>
      <c r="BF268" s="2" t="s">
        <v>3239</v>
      </c>
    </row>
    <row r="269" spans="1:58" ht="42" customHeight="1">
      <c r="A269" s="1"/>
      <c r="B269" s="1" t="s">
        <v>58</v>
      </c>
      <c r="C269" s="1" t="s">
        <v>59</v>
      </c>
      <c r="D269" s="1" t="s">
        <v>3240</v>
      </c>
      <c r="E269" s="1" t="s">
        <v>3241</v>
      </c>
      <c r="F269" s="1" t="s">
        <v>3242</v>
      </c>
      <c r="H269" s="2" t="s">
        <v>63</v>
      </c>
      <c r="I269" s="2" t="s">
        <v>64</v>
      </c>
      <c r="J269" s="2" t="s">
        <v>63</v>
      </c>
      <c r="K269" s="2" t="s">
        <v>63</v>
      </c>
      <c r="L269" s="2" t="s">
        <v>65</v>
      </c>
      <c r="N269" s="1" t="s">
        <v>3243</v>
      </c>
      <c r="O269" s="2" t="s">
        <v>908</v>
      </c>
      <c r="Q269" s="2" t="s">
        <v>70</v>
      </c>
      <c r="R269" s="2" t="s">
        <v>422</v>
      </c>
      <c r="T269" s="2" t="s">
        <v>73</v>
      </c>
      <c r="U269" s="3">
        <v>11</v>
      </c>
      <c r="V269" s="3">
        <v>11</v>
      </c>
      <c r="W269" s="4" t="s">
        <v>3244</v>
      </c>
      <c r="X269" s="4" t="s">
        <v>3244</v>
      </c>
      <c r="Y269" s="4" t="s">
        <v>3245</v>
      </c>
      <c r="Z269" s="4" t="s">
        <v>3245</v>
      </c>
      <c r="AA269" s="3">
        <v>136</v>
      </c>
      <c r="AB269" s="3">
        <v>88</v>
      </c>
      <c r="AC269" s="3">
        <v>92</v>
      </c>
      <c r="AD269" s="3">
        <v>1</v>
      </c>
      <c r="AE269" s="3">
        <v>1</v>
      </c>
      <c r="AF269" s="3">
        <v>2</v>
      </c>
      <c r="AG269" s="3">
        <v>2</v>
      </c>
      <c r="AH269" s="3">
        <v>0</v>
      </c>
      <c r="AI269" s="3">
        <v>0</v>
      </c>
      <c r="AJ269" s="3">
        <v>1</v>
      </c>
      <c r="AK269" s="3">
        <v>1</v>
      </c>
      <c r="AL269" s="3">
        <v>1</v>
      </c>
      <c r="AM269" s="3">
        <v>1</v>
      </c>
      <c r="AN269" s="3">
        <v>0</v>
      </c>
      <c r="AO269" s="3">
        <v>0</v>
      </c>
      <c r="AP269" s="3">
        <v>0</v>
      </c>
      <c r="AQ269" s="3">
        <v>0</v>
      </c>
      <c r="AR269" s="2" t="s">
        <v>63</v>
      </c>
      <c r="AS269" s="2" t="s">
        <v>76</v>
      </c>
      <c r="AT269" s="5" t="str">
        <f>HYPERLINK("http://catalog.hathitrust.org/Record/002794785","HathiTrust Record")</f>
        <v>HathiTrust Record</v>
      </c>
      <c r="AU269" s="5" t="str">
        <f>HYPERLINK("https://creighton-primo.hosted.exlibrisgroup.com/primo-explore/search?tab=default_tab&amp;search_scope=EVERYTHING&amp;vid=01CRU&amp;lang=en_US&amp;offset=0&amp;query=any,contains,991000552789702656","Catalog Record")</f>
        <v>Catalog Record</v>
      </c>
      <c r="AV269" s="5" t="str">
        <f>HYPERLINK("http://www.worldcat.org/oclc/27036251","WorldCat Record")</f>
        <v>WorldCat Record</v>
      </c>
      <c r="AW269" s="2" t="s">
        <v>3246</v>
      </c>
      <c r="AX269" s="2" t="s">
        <v>3247</v>
      </c>
      <c r="AY269" s="2" t="s">
        <v>3248</v>
      </c>
      <c r="AZ269" s="2" t="s">
        <v>3248</v>
      </c>
      <c r="BA269" s="2" t="s">
        <v>3249</v>
      </c>
      <c r="BB269" s="2" t="s">
        <v>81</v>
      </c>
      <c r="BD269" s="2" t="s">
        <v>3250</v>
      </c>
      <c r="BE269" s="2" t="s">
        <v>3251</v>
      </c>
      <c r="BF269" s="2" t="s">
        <v>3252</v>
      </c>
    </row>
    <row r="270" spans="1:58" ht="42" customHeight="1">
      <c r="A270" s="1"/>
      <c r="B270" s="1" t="s">
        <v>58</v>
      </c>
      <c r="C270" s="1" t="s">
        <v>59</v>
      </c>
      <c r="D270" s="1" t="s">
        <v>3253</v>
      </c>
      <c r="E270" s="1" t="s">
        <v>3254</v>
      </c>
      <c r="F270" s="1" t="s">
        <v>3255</v>
      </c>
      <c r="H270" s="2" t="s">
        <v>63</v>
      </c>
      <c r="I270" s="2" t="s">
        <v>64</v>
      </c>
      <c r="J270" s="2" t="s">
        <v>63</v>
      </c>
      <c r="K270" s="2" t="s">
        <v>63</v>
      </c>
      <c r="L270" s="2" t="s">
        <v>65</v>
      </c>
      <c r="N270" s="1" t="s">
        <v>1424</v>
      </c>
      <c r="O270" s="2" t="s">
        <v>314</v>
      </c>
      <c r="Q270" s="2" t="s">
        <v>70</v>
      </c>
      <c r="R270" s="2" t="s">
        <v>648</v>
      </c>
      <c r="S270" s="1" t="s">
        <v>3256</v>
      </c>
      <c r="T270" s="2" t="s">
        <v>73</v>
      </c>
      <c r="U270" s="3">
        <v>8</v>
      </c>
      <c r="V270" s="3">
        <v>8</v>
      </c>
      <c r="W270" s="4" t="s">
        <v>3257</v>
      </c>
      <c r="X270" s="4" t="s">
        <v>3257</v>
      </c>
      <c r="Y270" s="4" t="s">
        <v>3258</v>
      </c>
      <c r="Z270" s="4" t="s">
        <v>3258</v>
      </c>
      <c r="AA270" s="3">
        <v>137</v>
      </c>
      <c r="AB270" s="3">
        <v>103</v>
      </c>
      <c r="AC270" s="3">
        <v>131</v>
      </c>
      <c r="AD270" s="3">
        <v>1</v>
      </c>
      <c r="AE270" s="3">
        <v>1</v>
      </c>
      <c r="AF270" s="3">
        <v>0</v>
      </c>
      <c r="AG270" s="3">
        <v>1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1</v>
      </c>
      <c r="AN270" s="3">
        <v>0</v>
      </c>
      <c r="AO270" s="3">
        <v>0</v>
      </c>
      <c r="AP270" s="3">
        <v>0</v>
      </c>
      <c r="AQ270" s="3">
        <v>0</v>
      </c>
      <c r="AR270" s="2" t="s">
        <v>63</v>
      </c>
      <c r="AS270" s="2" t="s">
        <v>76</v>
      </c>
      <c r="AT270" s="5" t="str">
        <f>HYPERLINK("http://catalog.hathitrust.org/Record/003243468","HathiTrust Record")</f>
        <v>HathiTrust Record</v>
      </c>
      <c r="AU270" s="5" t="str">
        <f>HYPERLINK("https://creighton-primo.hosted.exlibrisgroup.com/primo-explore/search?tab=default_tab&amp;search_scope=EVERYTHING&amp;vid=01CRU&amp;lang=en_US&amp;offset=0&amp;query=any,contains,991000782479702656","Catalog Record")</f>
        <v>Catalog Record</v>
      </c>
      <c r="AV270" s="5" t="str">
        <f>HYPERLINK("http://www.worldcat.org/oclc/37616751","WorldCat Record")</f>
        <v>WorldCat Record</v>
      </c>
      <c r="AW270" s="2" t="s">
        <v>3259</v>
      </c>
      <c r="AX270" s="2" t="s">
        <v>3260</v>
      </c>
      <c r="AY270" s="2" t="s">
        <v>3261</v>
      </c>
      <c r="AZ270" s="2" t="s">
        <v>3261</v>
      </c>
      <c r="BA270" s="2" t="s">
        <v>3262</v>
      </c>
      <c r="BB270" s="2" t="s">
        <v>81</v>
      </c>
      <c r="BD270" s="2" t="s">
        <v>3263</v>
      </c>
      <c r="BE270" s="2" t="s">
        <v>3264</v>
      </c>
      <c r="BF270" s="2" t="s">
        <v>3265</v>
      </c>
    </row>
    <row r="271" spans="1:58" ht="42" customHeight="1">
      <c r="A271" s="1"/>
      <c r="B271" s="1" t="s">
        <v>58</v>
      </c>
      <c r="C271" s="1" t="s">
        <v>59</v>
      </c>
      <c r="D271" s="1" t="s">
        <v>3266</v>
      </c>
      <c r="E271" s="1" t="s">
        <v>3267</v>
      </c>
      <c r="F271" s="1" t="s">
        <v>3268</v>
      </c>
      <c r="H271" s="2" t="s">
        <v>63</v>
      </c>
      <c r="I271" s="2" t="s">
        <v>64</v>
      </c>
      <c r="J271" s="2" t="s">
        <v>63</v>
      </c>
      <c r="K271" s="2" t="s">
        <v>63</v>
      </c>
      <c r="L271" s="2" t="s">
        <v>65</v>
      </c>
      <c r="N271" s="1" t="s">
        <v>3269</v>
      </c>
      <c r="O271" s="2" t="s">
        <v>314</v>
      </c>
      <c r="Q271" s="2" t="s">
        <v>70</v>
      </c>
      <c r="R271" s="2" t="s">
        <v>71</v>
      </c>
      <c r="T271" s="2" t="s">
        <v>73</v>
      </c>
      <c r="U271" s="3">
        <v>27</v>
      </c>
      <c r="V271" s="3">
        <v>27</v>
      </c>
      <c r="W271" s="4" t="s">
        <v>3270</v>
      </c>
      <c r="X271" s="4" t="s">
        <v>3270</v>
      </c>
      <c r="Y271" s="4" t="s">
        <v>3271</v>
      </c>
      <c r="Z271" s="4" t="s">
        <v>3271</v>
      </c>
      <c r="AA271" s="3">
        <v>211</v>
      </c>
      <c r="AB271" s="3">
        <v>145</v>
      </c>
      <c r="AC271" s="3">
        <v>208</v>
      </c>
      <c r="AD271" s="3">
        <v>1</v>
      </c>
      <c r="AE271" s="3">
        <v>1</v>
      </c>
      <c r="AF271" s="3">
        <v>4</v>
      </c>
      <c r="AG271" s="3">
        <v>6</v>
      </c>
      <c r="AH271" s="3">
        <v>1</v>
      </c>
      <c r="AI271" s="3">
        <v>2</v>
      </c>
      <c r="AJ271" s="3">
        <v>3</v>
      </c>
      <c r="AK271" s="3">
        <v>4</v>
      </c>
      <c r="AL271" s="3">
        <v>1</v>
      </c>
      <c r="AM271" s="3">
        <v>1</v>
      </c>
      <c r="AN271" s="3">
        <v>0</v>
      </c>
      <c r="AO271" s="3">
        <v>0</v>
      </c>
      <c r="AP271" s="3">
        <v>0</v>
      </c>
      <c r="AQ271" s="3">
        <v>0</v>
      </c>
      <c r="AR271" s="2" t="s">
        <v>63</v>
      </c>
      <c r="AS271" s="2" t="s">
        <v>76</v>
      </c>
      <c r="AT271" s="5" t="str">
        <f>HYPERLINK("http://catalog.hathitrust.org/Record/003979352","HathiTrust Record")</f>
        <v>HathiTrust Record</v>
      </c>
      <c r="AU271" s="5" t="str">
        <f>HYPERLINK("https://creighton-primo.hosted.exlibrisgroup.com/primo-explore/search?tab=default_tab&amp;search_scope=EVERYTHING&amp;vid=01CRU&amp;lang=en_US&amp;offset=0&amp;query=any,contains,991001569609702656","Catalog Record")</f>
        <v>Catalog Record</v>
      </c>
      <c r="AV271" s="5" t="str">
        <f>HYPERLINK("http://www.worldcat.org/oclc/39305338","WorldCat Record")</f>
        <v>WorldCat Record</v>
      </c>
      <c r="AW271" s="2" t="s">
        <v>3272</v>
      </c>
      <c r="AX271" s="2" t="s">
        <v>3273</v>
      </c>
      <c r="AY271" s="2" t="s">
        <v>3274</v>
      </c>
      <c r="AZ271" s="2" t="s">
        <v>3274</v>
      </c>
      <c r="BA271" s="2" t="s">
        <v>3275</v>
      </c>
      <c r="BB271" s="2" t="s">
        <v>81</v>
      </c>
      <c r="BD271" s="2" t="s">
        <v>3276</v>
      </c>
      <c r="BE271" s="2" t="s">
        <v>3277</v>
      </c>
      <c r="BF271" s="2" t="s">
        <v>3278</v>
      </c>
    </row>
    <row r="272" spans="1:58" ht="42" customHeight="1">
      <c r="A272" s="1"/>
      <c r="B272" s="1" t="s">
        <v>58</v>
      </c>
      <c r="C272" s="1" t="s">
        <v>59</v>
      </c>
      <c r="D272" s="1" t="s">
        <v>3279</v>
      </c>
      <c r="E272" s="1" t="s">
        <v>3280</v>
      </c>
      <c r="F272" s="1" t="s">
        <v>3281</v>
      </c>
      <c r="H272" s="2" t="s">
        <v>63</v>
      </c>
      <c r="I272" s="2" t="s">
        <v>64</v>
      </c>
      <c r="J272" s="2" t="s">
        <v>63</v>
      </c>
      <c r="K272" s="2" t="s">
        <v>63</v>
      </c>
      <c r="L272" s="2" t="s">
        <v>65</v>
      </c>
      <c r="N272" s="1" t="s">
        <v>3282</v>
      </c>
      <c r="O272" s="2" t="s">
        <v>1034</v>
      </c>
      <c r="Q272" s="2" t="s">
        <v>70</v>
      </c>
      <c r="R272" s="2" t="s">
        <v>1310</v>
      </c>
      <c r="T272" s="2" t="s">
        <v>73</v>
      </c>
      <c r="U272" s="3">
        <v>11</v>
      </c>
      <c r="V272" s="3">
        <v>11</v>
      </c>
      <c r="W272" s="4" t="s">
        <v>3257</v>
      </c>
      <c r="X272" s="4" t="s">
        <v>3257</v>
      </c>
      <c r="Y272" s="4" t="s">
        <v>3283</v>
      </c>
      <c r="Z272" s="4" t="s">
        <v>3283</v>
      </c>
      <c r="AA272" s="3">
        <v>174</v>
      </c>
      <c r="AB272" s="3">
        <v>132</v>
      </c>
      <c r="AC272" s="3">
        <v>219</v>
      </c>
      <c r="AD272" s="3">
        <v>2</v>
      </c>
      <c r="AE272" s="3">
        <v>3</v>
      </c>
      <c r="AF272" s="3">
        <v>6</v>
      </c>
      <c r="AG272" s="3">
        <v>10</v>
      </c>
      <c r="AH272" s="3">
        <v>2</v>
      </c>
      <c r="AI272" s="3">
        <v>3</v>
      </c>
      <c r="AJ272" s="3">
        <v>3</v>
      </c>
      <c r="AK272" s="3">
        <v>3</v>
      </c>
      <c r="AL272" s="3">
        <v>4</v>
      </c>
      <c r="AM272" s="3">
        <v>6</v>
      </c>
      <c r="AN272" s="3">
        <v>1</v>
      </c>
      <c r="AO272" s="3">
        <v>2</v>
      </c>
      <c r="AP272" s="3">
        <v>0</v>
      </c>
      <c r="AQ272" s="3">
        <v>0</v>
      </c>
      <c r="AR272" s="2" t="s">
        <v>63</v>
      </c>
      <c r="AS272" s="2" t="s">
        <v>63</v>
      </c>
      <c r="AU272" s="5" t="str">
        <f>HYPERLINK("https://creighton-primo.hosted.exlibrisgroup.com/primo-explore/search?tab=default_tab&amp;search_scope=EVERYTHING&amp;vid=01CRU&amp;lang=en_US&amp;offset=0&amp;query=any,contains,991001262299702656","Catalog Record")</f>
        <v>Catalog Record</v>
      </c>
      <c r="AV272" s="5" t="str">
        <f>HYPERLINK("http://www.worldcat.org/oclc/33009527","WorldCat Record")</f>
        <v>WorldCat Record</v>
      </c>
      <c r="AW272" s="2" t="s">
        <v>3284</v>
      </c>
      <c r="AX272" s="2" t="s">
        <v>3285</v>
      </c>
      <c r="AY272" s="2" t="s">
        <v>3286</v>
      </c>
      <c r="AZ272" s="2" t="s">
        <v>3286</v>
      </c>
      <c r="BA272" s="2" t="s">
        <v>3287</v>
      </c>
      <c r="BB272" s="2" t="s">
        <v>81</v>
      </c>
      <c r="BD272" s="2" t="s">
        <v>3288</v>
      </c>
      <c r="BE272" s="2" t="s">
        <v>3289</v>
      </c>
      <c r="BF272" s="2" t="s">
        <v>3290</v>
      </c>
    </row>
    <row r="273" spans="1:58" ht="42" customHeight="1">
      <c r="A273" s="1"/>
      <c r="B273" s="1" t="s">
        <v>58</v>
      </c>
      <c r="C273" s="1" t="s">
        <v>59</v>
      </c>
      <c r="D273" s="1" t="s">
        <v>3291</v>
      </c>
      <c r="E273" s="1" t="s">
        <v>3292</v>
      </c>
      <c r="F273" s="1" t="s">
        <v>3293</v>
      </c>
      <c r="G273" s="2" t="s">
        <v>165</v>
      </c>
      <c r="H273" s="2" t="s">
        <v>76</v>
      </c>
      <c r="I273" s="2" t="s">
        <v>64</v>
      </c>
      <c r="J273" s="2" t="s">
        <v>63</v>
      </c>
      <c r="K273" s="2" t="s">
        <v>63</v>
      </c>
      <c r="L273" s="2" t="s">
        <v>65</v>
      </c>
      <c r="N273" s="1" t="s">
        <v>1309</v>
      </c>
      <c r="O273" s="2" t="s">
        <v>863</v>
      </c>
      <c r="Q273" s="2" t="s">
        <v>70</v>
      </c>
      <c r="R273" s="2" t="s">
        <v>107</v>
      </c>
      <c r="T273" s="2" t="s">
        <v>73</v>
      </c>
      <c r="U273" s="3">
        <v>5</v>
      </c>
      <c r="V273" s="3">
        <v>11</v>
      </c>
      <c r="W273" s="4" t="s">
        <v>2922</v>
      </c>
      <c r="X273" s="4" t="s">
        <v>2922</v>
      </c>
      <c r="Y273" s="4" t="s">
        <v>3294</v>
      </c>
      <c r="Z273" s="4" t="s">
        <v>3294</v>
      </c>
      <c r="AA273" s="3">
        <v>92</v>
      </c>
      <c r="AB273" s="3">
        <v>73</v>
      </c>
      <c r="AC273" s="3">
        <v>107</v>
      </c>
      <c r="AD273" s="3">
        <v>1</v>
      </c>
      <c r="AE273" s="3">
        <v>1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2" t="s">
        <v>63</v>
      </c>
      <c r="AS273" s="2" t="s">
        <v>63</v>
      </c>
      <c r="AU273" s="5" t="str">
        <f>HYPERLINK("https://creighton-primo.hosted.exlibrisgroup.com/primo-explore/search?tab=default_tab&amp;search_scope=EVERYTHING&amp;vid=01CRU&amp;lang=en_US&amp;offset=0&amp;query=any,contains,991001238129702656","Catalog Record")</f>
        <v>Catalog Record</v>
      </c>
      <c r="AV273" s="5" t="str">
        <f>HYPERLINK("http://www.worldcat.org/oclc/16523320","WorldCat Record")</f>
        <v>WorldCat Record</v>
      </c>
      <c r="AW273" s="2" t="s">
        <v>3295</v>
      </c>
      <c r="AX273" s="2" t="s">
        <v>3296</v>
      </c>
      <c r="AY273" s="2" t="s">
        <v>3297</v>
      </c>
      <c r="AZ273" s="2" t="s">
        <v>3297</v>
      </c>
      <c r="BA273" s="2" t="s">
        <v>3298</v>
      </c>
      <c r="BB273" s="2" t="s">
        <v>81</v>
      </c>
      <c r="BD273" s="2" t="s">
        <v>3299</v>
      </c>
      <c r="BE273" s="2" t="s">
        <v>3300</v>
      </c>
      <c r="BF273" s="2" t="s">
        <v>3301</v>
      </c>
    </row>
    <row r="274" spans="1:58" ht="42" customHeight="1">
      <c r="A274" s="1"/>
      <c r="B274" s="1" t="s">
        <v>58</v>
      </c>
      <c r="C274" s="1" t="s">
        <v>59</v>
      </c>
      <c r="D274" s="1" t="s">
        <v>3291</v>
      </c>
      <c r="E274" s="1" t="s">
        <v>3292</v>
      </c>
      <c r="F274" s="1" t="s">
        <v>3293</v>
      </c>
      <c r="G274" s="2" t="s">
        <v>178</v>
      </c>
      <c r="H274" s="2" t="s">
        <v>76</v>
      </c>
      <c r="I274" s="2" t="s">
        <v>64</v>
      </c>
      <c r="J274" s="2" t="s">
        <v>63</v>
      </c>
      <c r="K274" s="2" t="s">
        <v>63</v>
      </c>
      <c r="L274" s="2" t="s">
        <v>65</v>
      </c>
      <c r="N274" s="1" t="s">
        <v>1309</v>
      </c>
      <c r="O274" s="2" t="s">
        <v>863</v>
      </c>
      <c r="Q274" s="2" t="s">
        <v>70</v>
      </c>
      <c r="R274" s="2" t="s">
        <v>107</v>
      </c>
      <c r="T274" s="2" t="s">
        <v>73</v>
      </c>
      <c r="U274" s="3">
        <v>6</v>
      </c>
      <c r="V274" s="3">
        <v>11</v>
      </c>
      <c r="W274" s="4" t="s">
        <v>2922</v>
      </c>
      <c r="X274" s="4" t="s">
        <v>2922</v>
      </c>
      <c r="Y274" s="4" t="s">
        <v>3294</v>
      </c>
      <c r="Z274" s="4" t="s">
        <v>3294</v>
      </c>
      <c r="AA274" s="3">
        <v>92</v>
      </c>
      <c r="AB274" s="3">
        <v>73</v>
      </c>
      <c r="AC274" s="3">
        <v>107</v>
      </c>
      <c r="AD274" s="3">
        <v>1</v>
      </c>
      <c r="AE274" s="3">
        <v>1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2" t="s">
        <v>63</v>
      </c>
      <c r="AS274" s="2" t="s">
        <v>63</v>
      </c>
      <c r="AU274" s="5" t="str">
        <f>HYPERLINK("https://creighton-primo.hosted.exlibrisgroup.com/primo-explore/search?tab=default_tab&amp;search_scope=EVERYTHING&amp;vid=01CRU&amp;lang=en_US&amp;offset=0&amp;query=any,contains,991001238129702656","Catalog Record")</f>
        <v>Catalog Record</v>
      </c>
      <c r="AV274" s="5" t="str">
        <f>HYPERLINK("http://www.worldcat.org/oclc/16523320","WorldCat Record")</f>
        <v>WorldCat Record</v>
      </c>
      <c r="AW274" s="2" t="s">
        <v>3295</v>
      </c>
      <c r="AX274" s="2" t="s">
        <v>3296</v>
      </c>
      <c r="AY274" s="2" t="s">
        <v>3297</v>
      </c>
      <c r="AZ274" s="2" t="s">
        <v>3297</v>
      </c>
      <c r="BA274" s="2" t="s">
        <v>3298</v>
      </c>
      <c r="BB274" s="2" t="s">
        <v>81</v>
      </c>
      <c r="BD274" s="2" t="s">
        <v>3299</v>
      </c>
      <c r="BE274" s="2" t="s">
        <v>3302</v>
      </c>
      <c r="BF274" s="2" t="s">
        <v>3303</v>
      </c>
    </row>
    <row r="275" spans="1:58" ht="42" customHeight="1">
      <c r="A275" s="1"/>
      <c r="B275" s="1" t="s">
        <v>58</v>
      </c>
      <c r="C275" s="1" t="s">
        <v>59</v>
      </c>
      <c r="D275" s="1" t="s">
        <v>3304</v>
      </c>
      <c r="E275" s="1" t="s">
        <v>3305</v>
      </c>
      <c r="F275" s="1" t="s">
        <v>3306</v>
      </c>
      <c r="H275" s="2" t="s">
        <v>63</v>
      </c>
      <c r="I275" s="2" t="s">
        <v>64</v>
      </c>
      <c r="J275" s="2" t="s">
        <v>63</v>
      </c>
      <c r="K275" s="2" t="s">
        <v>76</v>
      </c>
      <c r="L275" s="2" t="s">
        <v>65</v>
      </c>
      <c r="N275" s="1" t="s">
        <v>3307</v>
      </c>
      <c r="O275" s="2" t="s">
        <v>1688</v>
      </c>
      <c r="P275" s="1" t="s">
        <v>231</v>
      </c>
      <c r="Q275" s="2" t="s">
        <v>70</v>
      </c>
      <c r="R275" s="2" t="s">
        <v>71</v>
      </c>
      <c r="T275" s="2" t="s">
        <v>73</v>
      </c>
      <c r="U275" s="3">
        <v>25</v>
      </c>
      <c r="V275" s="3">
        <v>25</v>
      </c>
      <c r="W275" s="4" t="s">
        <v>3308</v>
      </c>
      <c r="X275" s="4" t="s">
        <v>3308</v>
      </c>
      <c r="Y275" s="4" t="s">
        <v>3309</v>
      </c>
      <c r="Z275" s="4" t="s">
        <v>3309</v>
      </c>
      <c r="AA275" s="3">
        <v>131</v>
      </c>
      <c r="AB275" s="3">
        <v>91</v>
      </c>
      <c r="AC275" s="3">
        <v>237</v>
      </c>
      <c r="AD275" s="3">
        <v>1</v>
      </c>
      <c r="AE275" s="3">
        <v>1</v>
      </c>
      <c r="AF275" s="3">
        <v>4</v>
      </c>
      <c r="AG275" s="3">
        <v>6</v>
      </c>
      <c r="AH275" s="3">
        <v>0</v>
      </c>
      <c r="AI275" s="3">
        <v>1</v>
      </c>
      <c r="AJ275" s="3">
        <v>3</v>
      </c>
      <c r="AK275" s="3">
        <v>4</v>
      </c>
      <c r="AL275" s="3">
        <v>2</v>
      </c>
      <c r="AM275" s="3">
        <v>2</v>
      </c>
      <c r="AN275" s="3">
        <v>0</v>
      </c>
      <c r="AO275" s="3">
        <v>0</v>
      </c>
      <c r="AP275" s="3">
        <v>0</v>
      </c>
      <c r="AQ275" s="3">
        <v>0</v>
      </c>
      <c r="AR275" s="2" t="s">
        <v>63</v>
      </c>
      <c r="AS275" s="2" t="s">
        <v>63</v>
      </c>
      <c r="AU275" s="5" t="str">
        <f>HYPERLINK("https://creighton-primo.hosted.exlibrisgroup.com/primo-explore/search?tab=default_tab&amp;search_scope=EVERYTHING&amp;vid=01CRU&amp;lang=en_US&amp;offset=0&amp;query=any,contains,991000343549702656","Catalog Record")</f>
        <v>Catalog Record</v>
      </c>
      <c r="AV275" s="5" t="str">
        <f>HYPERLINK("http://www.worldcat.org/oclc/47902092","WorldCat Record")</f>
        <v>WorldCat Record</v>
      </c>
      <c r="AW275" s="2" t="s">
        <v>3310</v>
      </c>
      <c r="AX275" s="2" t="s">
        <v>3311</v>
      </c>
      <c r="AY275" s="2" t="s">
        <v>3312</v>
      </c>
      <c r="AZ275" s="2" t="s">
        <v>3312</v>
      </c>
      <c r="BA275" s="2" t="s">
        <v>3313</v>
      </c>
      <c r="BB275" s="2" t="s">
        <v>81</v>
      </c>
      <c r="BD275" s="2" t="s">
        <v>3314</v>
      </c>
      <c r="BE275" s="2" t="s">
        <v>3315</v>
      </c>
      <c r="BF275" s="2" t="s">
        <v>3316</v>
      </c>
    </row>
    <row r="276" spans="1:58" ht="42" customHeight="1">
      <c r="A276" s="1"/>
      <c r="B276" s="1" t="s">
        <v>58</v>
      </c>
      <c r="C276" s="1" t="s">
        <v>59</v>
      </c>
      <c r="D276" s="1" t="s">
        <v>3317</v>
      </c>
      <c r="E276" s="1" t="s">
        <v>3318</v>
      </c>
      <c r="F276" s="1" t="s">
        <v>3306</v>
      </c>
      <c r="H276" s="2" t="s">
        <v>63</v>
      </c>
      <c r="I276" s="2" t="s">
        <v>64</v>
      </c>
      <c r="J276" s="2" t="s">
        <v>63</v>
      </c>
      <c r="K276" s="2" t="s">
        <v>76</v>
      </c>
      <c r="L276" s="2" t="s">
        <v>65</v>
      </c>
      <c r="N276" s="1" t="s">
        <v>3319</v>
      </c>
      <c r="O276" s="2" t="s">
        <v>359</v>
      </c>
      <c r="Q276" s="2" t="s">
        <v>70</v>
      </c>
      <c r="R276" s="2" t="s">
        <v>71</v>
      </c>
      <c r="T276" s="2" t="s">
        <v>73</v>
      </c>
      <c r="U276" s="3">
        <v>7</v>
      </c>
      <c r="V276" s="3">
        <v>7</v>
      </c>
      <c r="W276" s="4" t="s">
        <v>3320</v>
      </c>
      <c r="X276" s="4" t="s">
        <v>3320</v>
      </c>
      <c r="Y276" s="4" t="s">
        <v>3321</v>
      </c>
      <c r="Z276" s="4" t="s">
        <v>3321</v>
      </c>
      <c r="AA276" s="3">
        <v>163</v>
      </c>
      <c r="AB276" s="3">
        <v>124</v>
      </c>
      <c r="AC276" s="3">
        <v>237</v>
      </c>
      <c r="AD276" s="3">
        <v>1</v>
      </c>
      <c r="AE276" s="3">
        <v>1</v>
      </c>
      <c r="AF276" s="3">
        <v>1</v>
      </c>
      <c r="AG276" s="3">
        <v>6</v>
      </c>
      <c r="AH276" s="3">
        <v>0</v>
      </c>
      <c r="AI276" s="3">
        <v>1</v>
      </c>
      <c r="AJ276" s="3">
        <v>0</v>
      </c>
      <c r="AK276" s="3">
        <v>4</v>
      </c>
      <c r="AL276" s="3">
        <v>1</v>
      </c>
      <c r="AM276" s="3">
        <v>2</v>
      </c>
      <c r="AN276" s="3">
        <v>0</v>
      </c>
      <c r="AO276" s="3">
        <v>0</v>
      </c>
      <c r="AP276" s="3">
        <v>0</v>
      </c>
      <c r="AQ276" s="3">
        <v>0</v>
      </c>
      <c r="AR276" s="2" t="s">
        <v>63</v>
      </c>
      <c r="AS276" s="2" t="s">
        <v>76</v>
      </c>
      <c r="AT276" s="5" t="str">
        <f>HYPERLINK("http://catalog.hathitrust.org/Record/004008526","HathiTrust Record")</f>
        <v>HathiTrust Record</v>
      </c>
      <c r="AU276" s="5" t="str">
        <f>HYPERLINK("https://creighton-primo.hosted.exlibrisgroup.com/primo-explore/search?tab=default_tab&amp;search_scope=EVERYTHING&amp;vid=01CRU&amp;lang=en_US&amp;offset=0&amp;query=any,contains,991001573349702656","Catalog Record")</f>
        <v>Catalog Record</v>
      </c>
      <c r="AV276" s="5" t="str">
        <f>HYPERLINK("http://www.worldcat.org/oclc/40265334","WorldCat Record")</f>
        <v>WorldCat Record</v>
      </c>
      <c r="AW276" s="2" t="s">
        <v>3310</v>
      </c>
      <c r="AX276" s="2" t="s">
        <v>3322</v>
      </c>
      <c r="AY276" s="2" t="s">
        <v>3323</v>
      </c>
      <c r="AZ276" s="2" t="s">
        <v>3323</v>
      </c>
      <c r="BA276" s="2" t="s">
        <v>3324</v>
      </c>
      <c r="BB276" s="2" t="s">
        <v>81</v>
      </c>
      <c r="BD276" s="2" t="s">
        <v>3325</v>
      </c>
      <c r="BE276" s="2" t="s">
        <v>3326</v>
      </c>
      <c r="BF276" s="2" t="s">
        <v>3327</v>
      </c>
    </row>
    <row r="277" spans="1:58" ht="42" customHeight="1">
      <c r="A277" s="1"/>
      <c r="B277" s="1" t="s">
        <v>58</v>
      </c>
      <c r="C277" s="1" t="s">
        <v>59</v>
      </c>
      <c r="D277" s="1" t="s">
        <v>3328</v>
      </c>
      <c r="E277" s="1" t="s">
        <v>3329</v>
      </c>
      <c r="F277" s="1" t="s">
        <v>3330</v>
      </c>
      <c r="H277" s="2" t="s">
        <v>63</v>
      </c>
      <c r="I277" s="2" t="s">
        <v>64</v>
      </c>
      <c r="J277" s="2" t="s">
        <v>63</v>
      </c>
      <c r="K277" s="2" t="s">
        <v>63</v>
      </c>
      <c r="L277" s="2" t="s">
        <v>65</v>
      </c>
      <c r="N277" s="1" t="s">
        <v>3331</v>
      </c>
      <c r="O277" s="2" t="s">
        <v>878</v>
      </c>
      <c r="Q277" s="2" t="s">
        <v>70</v>
      </c>
      <c r="R277" s="2" t="s">
        <v>1310</v>
      </c>
      <c r="T277" s="2" t="s">
        <v>73</v>
      </c>
      <c r="U277" s="3">
        <v>7</v>
      </c>
      <c r="V277" s="3">
        <v>7</v>
      </c>
      <c r="W277" s="4" t="s">
        <v>3332</v>
      </c>
      <c r="X277" s="4" t="s">
        <v>3332</v>
      </c>
      <c r="Y277" s="4" t="s">
        <v>1427</v>
      </c>
      <c r="Z277" s="4" t="s">
        <v>1427</v>
      </c>
      <c r="AA277" s="3">
        <v>323</v>
      </c>
      <c r="AB277" s="3">
        <v>244</v>
      </c>
      <c r="AC277" s="3">
        <v>341</v>
      </c>
      <c r="AD277" s="3">
        <v>2</v>
      </c>
      <c r="AE277" s="3">
        <v>4</v>
      </c>
      <c r="AF277" s="3">
        <v>10</v>
      </c>
      <c r="AG277" s="3">
        <v>15</v>
      </c>
      <c r="AH277" s="3">
        <v>2</v>
      </c>
      <c r="AI277" s="3">
        <v>3</v>
      </c>
      <c r="AJ277" s="3">
        <v>4</v>
      </c>
      <c r="AK277" s="3">
        <v>5</v>
      </c>
      <c r="AL277" s="3">
        <v>4</v>
      </c>
      <c r="AM277" s="3">
        <v>5</v>
      </c>
      <c r="AN277" s="3">
        <v>1</v>
      </c>
      <c r="AO277" s="3">
        <v>3</v>
      </c>
      <c r="AP277" s="3">
        <v>0</v>
      </c>
      <c r="AQ277" s="3">
        <v>0</v>
      </c>
      <c r="AR277" s="2" t="s">
        <v>63</v>
      </c>
      <c r="AS277" s="2" t="s">
        <v>63</v>
      </c>
      <c r="AU277" s="5" t="str">
        <f>HYPERLINK("https://creighton-primo.hosted.exlibrisgroup.com/primo-explore/search?tab=default_tab&amp;search_scope=EVERYTHING&amp;vid=01CRU&amp;lang=en_US&amp;offset=0&amp;query=any,contains,991001534459702656","Catalog Record")</f>
        <v>Catalog Record</v>
      </c>
      <c r="AV277" s="5" t="str">
        <f>HYPERLINK("http://www.worldcat.org/oclc/35836737","WorldCat Record")</f>
        <v>WorldCat Record</v>
      </c>
      <c r="AW277" s="2" t="s">
        <v>3333</v>
      </c>
      <c r="AX277" s="2" t="s">
        <v>3334</v>
      </c>
      <c r="AY277" s="2" t="s">
        <v>3335</v>
      </c>
      <c r="AZ277" s="2" t="s">
        <v>3335</v>
      </c>
      <c r="BA277" s="2" t="s">
        <v>3336</v>
      </c>
      <c r="BB277" s="2" t="s">
        <v>81</v>
      </c>
      <c r="BD277" s="2" t="s">
        <v>3337</v>
      </c>
      <c r="BE277" s="2" t="s">
        <v>3338</v>
      </c>
      <c r="BF277" s="2" t="s">
        <v>3339</v>
      </c>
    </row>
    <row r="278" spans="1:58" ht="42" customHeight="1">
      <c r="A278" s="1"/>
      <c r="B278" s="1" t="s">
        <v>58</v>
      </c>
      <c r="C278" s="1" t="s">
        <v>59</v>
      </c>
      <c r="D278" s="1" t="s">
        <v>3340</v>
      </c>
      <c r="E278" s="1" t="s">
        <v>3341</v>
      </c>
      <c r="F278" s="1" t="s">
        <v>3342</v>
      </c>
      <c r="H278" s="2" t="s">
        <v>63</v>
      </c>
      <c r="I278" s="2" t="s">
        <v>64</v>
      </c>
      <c r="J278" s="2" t="s">
        <v>63</v>
      </c>
      <c r="K278" s="2" t="s">
        <v>63</v>
      </c>
      <c r="L278" s="2" t="s">
        <v>65</v>
      </c>
      <c r="N278" s="1" t="s">
        <v>3343</v>
      </c>
      <c r="O278" s="2" t="s">
        <v>632</v>
      </c>
      <c r="Q278" s="2" t="s">
        <v>70</v>
      </c>
      <c r="R278" s="2" t="s">
        <v>422</v>
      </c>
      <c r="S278" s="1" t="s">
        <v>3344</v>
      </c>
      <c r="T278" s="2" t="s">
        <v>73</v>
      </c>
      <c r="U278" s="3">
        <v>6</v>
      </c>
      <c r="V278" s="3">
        <v>6</v>
      </c>
      <c r="W278" s="4" t="s">
        <v>3345</v>
      </c>
      <c r="X278" s="4" t="s">
        <v>3345</v>
      </c>
      <c r="Y278" s="4" t="s">
        <v>3346</v>
      </c>
      <c r="Z278" s="4" t="s">
        <v>3346</v>
      </c>
      <c r="AA278" s="3">
        <v>51</v>
      </c>
      <c r="AB278" s="3">
        <v>39</v>
      </c>
      <c r="AC278" s="3">
        <v>41</v>
      </c>
      <c r="AD278" s="3">
        <v>1</v>
      </c>
      <c r="AE278" s="3">
        <v>1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2" t="s">
        <v>63</v>
      </c>
      <c r="AS278" s="2" t="s">
        <v>76</v>
      </c>
      <c r="AT278" s="5" t="str">
        <f>HYPERLINK("http://catalog.hathitrust.org/Record/002698726","HathiTrust Record")</f>
        <v>HathiTrust Record</v>
      </c>
      <c r="AU278" s="5" t="str">
        <f>HYPERLINK("https://creighton-primo.hosted.exlibrisgroup.com/primo-explore/search?tab=default_tab&amp;search_scope=EVERYTHING&amp;vid=01CRU&amp;lang=en_US&amp;offset=0&amp;query=any,contains,991001511159702656","Catalog Record")</f>
        <v>Catalog Record</v>
      </c>
      <c r="AV278" s="5" t="str">
        <f>HYPERLINK("http://www.worldcat.org/oclc/27436536","WorldCat Record")</f>
        <v>WorldCat Record</v>
      </c>
      <c r="AW278" s="2" t="s">
        <v>3347</v>
      </c>
      <c r="AX278" s="2" t="s">
        <v>3348</v>
      </c>
      <c r="AY278" s="2" t="s">
        <v>3349</v>
      </c>
      <c r="AZ278" s="2" t="s">
        <v>3349</v>
      </c>
      <c r="BA278" s="2" t="s">
        <v>3350</v>
      </c>
      <c r="BB278" s="2" t="s">
        <v>81</v>
      </c>
      <c r="BD278" s="2" t="s">
        <v>3351</v>
      </c>
      <c r="BE278" s="2" t="s">
        <v>3352</v>
      </c>
      <c r="BF278" s="2" t="s">
        <v>3353</v>
      </c>
    </row>
    <row r="279" spans="1:58" ht="42" customHeight="1">
      <c r="A279" s="1"/>
      <c r="B279" s="1" t="s">
        <v>58</v>
      </c>
      <c r="C279" s="1" t="s">
        <v>59</v>
      </c>
      <c r="D279" s="1" t="s">
        <v>3354</v>
      </c>
      <c r="E279" s="1" t="s">
        <v>3355</v>
      </c>
      <c r="F279" s="1" t="s">
        <v>3356</v>
      </c>
      <c r="G279" s="2" t="s">
        <v>165</v>
      </c>
      <c r="H279" s="2" t="s">
        <v>76</v>
      </c>
      <c r="I279" s="2" t="s">
        <v>64</v>
      </c>
      <c r="J279" s="2" t="s">
        <v>63</v>
      </c>
      <c r="K279" s="2" t="s">
        <v>63</v>
      </c>
      <c r="L279" s="2" t="s">
        <v>65</v>
      </c>
      <c r="N279" s="1" t="s">
        <v>3357</v>
      </c>
      <c r="O279" s="2" t="s">
        <v>449</v>
      </c>
      <c r="Q279" s="2" t="s">
        <v>70</v>
      </c>
      <c r="R279" s="2" t="s">
        <v>107</v>
      </c>
      <c r="T279" s="2" t="s">
        <v>73</v>
      </c>
      <c r="U279" s="3">
        <v>2</v>
      </c>
      <c r="V279" s="3">
        <v>2</v>
      </c>
      <c r="W279" s="4" t="s">
        <v>1949</v>
      </c>
      <c r="X279" s="4" t="s">
        <v>1949</v>
      </c>
      <c r="Y279" s="4" t="s">
        <v>3108</v>
      </c>
      <c r="Z279" s="4" t="s">
        <v>3108</v>
      </c>
      <c r="AA279" s="3">
        <v>239</v>
      </c>
      <c r="AB279" s="3">
        <v>194</v>
      </c>
      <c r="AC279" s="3">
        <v>196</v>
      </c>
      <c r="AD279" s="3">
        <v>1</v>
      </c>
      <c r="AE279" s="3">
        <v>1</v>
      </c>
      <c r="AF279" s="3">
        <v>5</v>
      </c>
      <c r="AG279" s="3">
        <v>5</v>
      </c>
      <c r="AH279" s="3">
        <v>1</v>
      </c>
      <c r="AI279" s="3">
        <v>1</v>
      </c>
      <c r="AJ279" s="3">
        <v>3</v>
      </c>
      <c r="AK279" s="3">
        <v>3</v>
      </c>
      <c r="AL279" s="3">
        <v>4</v>
      </c>
      <c r="AM279" s="3">
        <v>4</v>
      </c>
      <c r="AN279" s="3">
        <v>0</v>
      </c>
      <c r="AO279" s="3">
        <v>0</v>
      </c>
      <c r="AP279" s="3">
        <v>0</v>
      </c>
      <c r="AQ279" s="3">
        <v>0</v>
      </c>
      <c r="AR279" s="2" t="s">
        <v>63</v>
      </c>
      <c r="AS279" s="2" t="s">
        <v>76</v>
      </c>
      <c r="AT279" s="5" t="str">
        <f>HYPERLINK("http://catalog.hathitrust.org/Record/000480142","HathiTrust Record")</f>
        <v>HathiTrust Record</v>
      </c>
      <c r="AU279" s="5" t="str">
        <f>HYPERLINK("https://creighton-primo.hosted.exlibrisgroup.com/primo-explore/search?tab=default_tab&amp;search_scope=EVERYTHING&amp;vid=01CRU&amp;lang=en_US&amp;offset=0&amp;query=any,contains,991001475549702656","Catalog Record")</f>
        <v>Catalog Record</v>
      </c>
      <c r="AV279" s="5" t="str">
        <f>HYPERLINK("http://www.worldcat.org/oclc/12108057","WorldCat Record")</f>
        <v>WorldCat Record</v>
      </c>
      <c r="AW279" s="2" t="s">
        <v>3358</v>
      </c>
      <c r="AX279" s="2" t="s">
        <v>3359</v>
      </c>
      <c r="AY279" s="2" t="s">
        <v>3360</v>
      </c>
      <c r="AZ279" s="2" t="s">
        <v>3360</v>
      </c>
      <c r="BA279" s="2" t="s">
        <v>3361</v>
      </c>
      <c r="BB279" s="2" t="s">
        <v>81</v>
      </c>
      <c r="BD279" s="2" t="s">
        <v>3362</v>
      </c>
      <c r="BE279" s="2" t="s">
        <v>3363</v>
      </c>
      <c r="BF279" s="2" t="s">
        <v>3364</v>
      </c>
    </row>
    <row r="280" spans="1:58" ht="42" customHeight="1">
      <c r="A280" s="1"/>
      <c r="B280" s="1" t="s">
        <v>58</v>
      </c>
      <c r="C280" s="1" t="s">
        <v>59</v>
      </c>
      <c r="D280" s="1" t="s">
        <v>3354</v>
      </c>
      <c r="E280" s="1" t="s">
        <v>3355</v>
      </c>
      <c r="F280" s="1" t="s">
        <v>3356</v>
      </c>
      <c r="G280" s="2" t="s">
        <v>178</v>
      </c>
      <c r="H280" s="2" t="s">
        <v>76</v>
      </c>
      <c r="I280" s="2" t="s">
        <v>64</v>
      </c>
      <c r="J280" s="2" t="s">
        <v>63</v>
      </c>
      <c r="K280" s="2" t="s">
        <v>63</v>
      </c>
      <c r="L280" s="2" t="s">
        <v>65</v>
      </c>
      <c r="N280" s="1" t="s">
        <v>3357</v>
      </c>
      <c r="O280" s="2" t="s">
        <v>449</v>
      </c>
      <c r="Q280" s="2" t="s">
        <v>70</v>
      </c>
      <c r="R280" s="2" t="s">
        <v>107</v>
      </c>
      <c r="T280" s="2" t="s">
        <v>73</v>
      </c>
      <c r="U280" s="3">
        <v>0</v>
      </c>
      <c r="V280" s="3">
        <v>2</v>
      </c>
      <c r="X280" s="4" t="s">
        <v>1949</v>
      </c>
      <c r="Y280" s="4" t="s">
        <v>3108</v>
      </c>
      <c r="Z280" s="4" t="s">
        <v>3108</v>
      </c>
      <c r="AA280" s="3">
        <v>239</v>
      </c>
      <c r="AB280" s="3">
        <v>194</v>
      </c>
      <c r="AC280" s="3">
        <v>196</v>
      </c>
      <c r="AD280" s="3">
        <v>1</v>
      </c>
      <c r="AE280" s="3">
        <v>1</v>
      </c>
      <c r="AF280" s="3">
        <v>5</v>
      </c>
      <c r="AG280" s="3">
        <v>5</v>
      </c>
      <c r="AH280" s="3">
        <v>1</v>
      </c>
      <c r="AI280" s="3">
        <v>1</v>
      </c>
      <c r="AJ280" s="3">
        <v>3</v>
      </c>
      <c r="AK280" s="3">
        <v>3</v>
      </c>
      <c r="AL280" s="3">
        <v>4</v>
      </c>
      <c r="AM280" s="3">
        <v>4</v>
      </c>
      <c r="AN280" s="3">
        <v>0</v>
      </c>
      <c r="AO280" s="3">
        <v>0</v>
      </c>
      <c r="AP280" s="3">
        <v>0</v>
      </c>
      <c r="AQ280" s="3">
        <v>0</v>
      </c>
      <c r="AR280" s="2" t="s">
        <v>63</v>
      </c>
      <c r="AS280" s="2" t="s">
        <v>76</v>
      </c>
      <c r="AT280" s="5" t="str">
        <f>HYPERLINK("http://catalog.hathitrust.org/Record/000480142","HathiTrust Record")</f>
        <v>HathiTrust Record</v>
      </c>
      <c r="AU280" s="5" t="str">
        <f>HYPERLINK("https://creighton-primo.hosted.exlibrisgroup.com/primo-explore/search?tab=default_tab&amp;search_scope=EVERYTHING&amp;vid=01CRU&amp;lang=en_US&amp;offset=0&amp;query=any,contains,991001475549702656","Catalog Record")</f>
        <v>Catalog Record</v>
      </c>
      <c r="AV280" s="5" t="str">
        <f>HYPERLINK("http://www.worldcat.org/oclc/12108057","WorldCat Record")</f>
        <v>WorldCat Record</v>
      </c>
      <c r="AW280" s="2" t="s">
        <v>3358</v>
      </c>
      <c r="AX280" s="2" t="s">
        <v>3359</v>
      </c>
      <c r="AY280" s="2" t="s">
        <v>3360</v>
      </c>
      <c r="AZ280" s="2" t="s">
        <v>3360</v>
      </c>
      <c r="BA280" s="2" t="s">
        <v>3361</v>
      </c>
      <c r="BB280" s="2" t="s">
        <v>81</v>
      </c>
      <c r="BD280" s="2" t="s">
        <v>3362</v>
      </c>
      <c r="BE280" s="2" t="s">
        <v>3365</v>
      </c>
      <c r="BF280" s="2" t="s">
        <v>3366</v>
      </c>
    </row>
    <row r="281" spans="1:58" ht="42" customHeight="1">
      <c r="A281" s="1"/>
      <c r="B281" s="1" t="s">
        <v>58</v>
      </c>
      <c r="C281" s="1" t="s">
        <v>59</v>
      </c>
      <c r="D281" s="1" t="s">
        <v>3367</v>
      </c>
      <c r="E281" s="1" t="s">
        <v>3368</v>
      </c>
      <c r="F281" s="1" t="s">
        <v>3369</v>
      </c>
      <c r="H281" s="2" t="s">
        <v>63</v>
      </c>
      <c r="I281" s="2" t="s">
        <v>64</v>
      </c>
      <c r="J281" s="2" t="s">
        <v>63</v>
      </c>
      <c r="K281" s="2" t="s">
        <v>63</v>
      </c>
      <c r="L281" s="2" t="s">
        <v>65</v>
      </c>
      <c r="N281" s="1" t="s">
        <v>3370</v>
      </c>
      <c r="O281" s="2" t="s">
        <v>186</v>
      </c>
      <c r="Q281" s="2" t="s">
        <v>70</v>
      </c>
      <c r="R281" s="2" t="s">
        <v>648</v>
      </c>
      <c r="S281" s="1" t="s">
        <v>3256</v>
      </c>
      <c r="T281" s="2" t="s">
        <v>73</v>
      </c>
      <c r="U281" s="3">
        <v>3</v>
      </c>
      <c r="V281" s="3">
        <v>3</v>
      </c>
      <c r="W281" s="4" t="s">
        <v>1949</v>
      </c>
      <c r="X281" s="4" t="s">
        <v>1949</v>
      </c>
      <c r="Y281" s="4" t="s">
        <v>3371</v>
      </c>
      <c r="Z281" s="4" t="s">
        <v>3371</v>
      </c>
      <c r="AA281" s="3">
        <v>74</v>
      </c>
      <c r="AB281" s="3">
        <v>49</v>
      </c>
      <c r="AC281" s="3">
        <v>70</v>
      </c>
      <c r="AD281" s="3">
        <v>1</v>
      </c>
      <c r="AE281" s="3">
        <v>1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2" t="s">
        <v>63</v>
      </c>
      <c r="AS281" s="2" t="s">
        <v>76</v>
      </c>
      <c r="AT281" s="5" t="str">
        <f>HYPERLINK("http://catalog.hathitrust.org/Record/002227813","HathiTrust Record")</f>
        <v>HathiTrust Record</v>
      </c>
      <c r="AU281" s="5" t="str">
        <f>HYPERLINK("https://creighton-primo.hosted.exlibrisgroup.com/primo-explore/search?tab=default_tab&amp;search_scope=EVERYTHING&amp;vid=01CRU&amp;lang=en_US&amp;offset=0&amp;query=any,contains,991001299359702656","Catalog Record")</f>
        <v>Catalog Record</v>
      </c>
      <c r="AV281" s="5" t="str">
        <f>HYPERLINK("http://www.worldcat.org/oclc/19554160","WorldCat Record")</f>
        <v>WorldCat Record</v>
      </c>
      <c r="AW281" s="2" t="s">
        <v>3372</v>
      </c>
      <c r="AX281" s="2" t="s">
        <v>3373</v>
      </c>
      <c r="AY281" s="2" t="s">
        <v>3374</v>
      </c>
      <c r="AZ281" s="2" t="s">
        <v>3374</v>
      </c>
      <c r="BA281" s="2" t="s">
        <v>3375</v>
      </c>
      <c r="BB281" s="2" t="s">
        <v>81</v>
      </c>
      <c r="BD281" s="2" t="s">
        <v>3376</v>
      </c>
      <c r="BE281" s="2" t="s">
        <v>3377</v>
      </c>
      <c r="BF281" s="2" t="s">
        <v>3378</v>
      </c>
    </row>
    <row r="282" spans="1:58" ht="42" customHeight="1">
      <c r="A282" s="1"/>
      <c r="B282" s="1" t="s">
        <v>58</v>
      </c>
      <c r="C282" s="1" t="s">
        <v>59</v>
      </c>
      <c r="D282" s="1" t="s">
        <v>3379</v>
      </c>
      <c r="E282" s="1" t="s">
        <v>3380</v>
      </c>
      <c r="F282" s="1" t="s">
        <v>3381</v>
      </c>
      <c r="H282" s="2" t="s">
        <v>63</v>
      </c>
      <c r="I282" s="2" t="s">
        <v>64</v>
      </c>
      <c r="J282" s="2" t="s">
        <v>63</v>
      </c>
      <c r="K282" s="2" t="s">
        <v>63</v>
      </c>
      <c r="L282" s="2" t="s">
        <v>65</v>
      </c>
      <c r="M282" s="1" t="s">
        <v>3382</v>
      </c>
      <c r="N282" s="1" t="s">
        <v>3383</v>
      </c>
      <c r="O282" s="2" t="s">
        <v>230</v>
      </c>
      <c r="Q282" s="2" t="s">
        <v>70</v>
      </c>
      <c r="R282" s="2" t="s">
        <v>422</v>
      </c>
      <c r="T282" s="2" t="s">
        <v>73</v>
      </c>
      <c r="U282" s="3">
        <v>9</v>
      </c>
      <c r="V282" s="3">
        <v>9</v>
      </c>
      <c r="W282" s="4" t="s">
        <v>3384</v>
      </c>
      <c r="X282" s="4" t="s">
        <v>3384</v>
      </c>
      <c r="Y282" s="4" t="s">
        <v>3108</v>
      </c>
      <c r="Z282" s="4" t="s">
        <v>3108</v>
      </c>
      <c r="AA282" s="3">
        <v>193</v>
      </c>
      <c r="AB282" s="3">
        <v>157</v>
      </c>
      <c r="AC282" s="3">
        <v>158</v>
      </c>
      <c r="AD282" s="3">
        <v>1</v>
      </c>
      <c r="AE282" s="3">
        <v>1</v>
      </c>
      <c r="AF282" s="3">
        <v>5</v>
      </c>
      <c r="AG282" s="3">
        <v>5</v>
      </c>
      <c r="AH282" s="3">
        <v>1</v>
      </c>
      <c r="AI282" s="3">
        <v>1</v>
      </c>
      <c r="AJ282" s="3">
        <v>4</v>
      </c>
      <c r="AK282" s="3">
        <v>4</v>
      </c>
      <c r="AL282" s="3">
        <v>3</v>
      </c>
      <c r="AM282" s="3">
        <v>3</v>
      </c>
      <c r="AN282" s="3">
        <v>0</v>
      </c>
      <c r="AO282" s="3">
        <v>0</v>
      </c>
      <c r="AP282" s="3">
        <v>0</v>
      </c>
      <c r="AQ282" s="3">
        <v>0</v>
      </c>
      <c r="AR282" s="2" t="s">
        <v>63</v>
      </c>
      <c r="AS282" s="2" t="s">
        <v>76</v>
      </c>
      <c r="AT282" s="5" t="str">
        <f>HYPERLINK("http://catalog.hathitrust.org/Record/006249699","HathiTrust Record")</f>
        <v>HathiTrust Record</v>
      </c>
      <c r="AU282" s="5" t="str">
        <f>HYPERLINK("https://creighton-primo.hosted.exlibrisgroup.com/primo-explore/search?tab=default_tab&amp;search_scope=EVERYTHING&amp;vid=01CRU&amp;lang=en_US&amp;offset=0&amp;query=any,contains,991000975769702656","Catalog Record")</f>
        <v>Catalog Record</v>
      </c>
      <c r="AV282" s="5" t="str">
        <f>HYPERLINK("http://www.worldcat.org/oclc/9256095","WorldCat Record")</f>
        <v>WorldCat Record</v>
      </c>
      <c r="AW282" s="2" t="s">
        <v>3385</v>
      </c>
      <c r="AX282" s="2" t="s">
        <v>3386</v>
      </c>
      <c r="AY282" s="2" t="s">
        <v>3387</v>
      </c>
      <c r="AZ282" s="2" t="s">
        <v>3387</v>
      </c>
      <c r="BA282" s="2" t="s">
        <v>3388</v>
      </c>
      <c r="BB282" s="2" t="s">
        <v>81</v>
      </c>
      <c r="BD282" s="2" t="s">
        <v>3389</v>
      </c>
      <c r="BE282" s="2" t="s">
        <v>3390</v>
      </c>
      <c r="BF282" s="2" t="s">
        <v>3391</v>
      </c>
    </row>
    <row r="283" spans="1:58" ht="42" customHeight="1">
      <c r="A283" s="1"/>
      <c r="B283" s="1" t="s">
        <v>58</v>
      </c>
      <c r="C283" s="1" t="s">
        <v>59</v>
      </c>
      <c r="D283" s="1" t="s">
        <v>3392</v>
      </c>
      <c r="E283" s="1" t="s">
        <v>3393</v>
      </c>
      <c r="F283" s="1" t="s">
        <v>3394</v>
      </c>
      <c r="H283" s="2" t="s">
        <v>63</v>
      </c>
      <c r="I283" s="2" t="s">
        <v>64</v>
      </c>
      <c r="J283" s="2" t="s">
        <v>63</v>
      </c>
      <c r="K283" s="2" t="s">
        <v>63</v>
      </c>
      <c r="L283" s="2" t="s">
        <v>65</v>
      </c>
      <c r="N283" s="1" t="s">
        <v>1438</v>
      </c>
      <c r="O283" s="2" t="s">
        <v>863</v>
      </c>
      <c r="Q283" s="2" t="s">
        <v>70</v>
      </c>
      <c r="R283" s="2" t="s">
        <v>107</v>
      </c>
      <c r="T283" s="2" t="s">
        <v>73</v>
      </c>
      <c r="U283" s="3">
        <v>12</v>
      </c>
      <c r="V283" s="3">
        <v>12</v>
      </c>
      <c r="W283" s="4" t="s">
        <v>3395</v>
      </c>
      <c r="X283" s="4" t="s">
        <v>3395</v>
      </c>
      <c r="Y283" s="4" t="s">
        <v>3294</v>
      </c>
      <c r="Z283" s="4" t="s">
        <v>3294</v>
      </c>
      <c r="AA283" s="3">
        <v>225</v>
      </c>
      <c r="AB283" s="3">
        <v>180</v>
      </c>
      <c r="AC283" s="3">
        <v>229</v>
      </c>
      <c r="AD283" s="3">
        <v>2</v>
      </c>
      <c r="AE283" s="3">
        <v>2</v>
      </c>
      <c r="AF283" s="3">
        <v>8</v>
      </c>
      <c r="AG283" s="3">
        <v>11</v>
      </c>
      <c r="AH283" s="3">
        <v>0</v>
      </c>
      <c r="AI283" s="3">
        <v>2</v>
      </c>
      <c r="AJ283" s="3">
        <v>4</v>
      </c>
      <c r="AK283" s="3">
        <v>6</v>
      </c>
      <c r="AL283" s="3">
        <v>5</v>
      </c>
      <c r="AM283" s="3">
        <v>5</v>
      </c>
      <c r="AN283" s="3">
        <v>1</v>
      </c>
      <c r="AO283" s="3">
        <v>1</v>
      </c>
      <c r="AP283" s="3">
        <v>0</v>
      </c>
      <c r="AQ283" s="3">
        <v>0</v>
      </c>
      <c r="AR283" s="2" t="s">
        <v>63</v>
      </c>
      <c r="AS283" s="2" t="s">
        <v>76</v>
      </c>
      <c r="AT283" s="5" t="str">
        <f>HYPERLINK("http://catalog.hathitrust.org/Record/000944907","HathiTrust Record")</f>
        <v>HathiTrust Record</v>
      </c>
      <c r="AU283" s="5" t="str">
        <f>HYPERLINK("https://creighton-primo.hosted.exlibrisgroup.com/primo-explore/search?tab=default_tab&amp;search_scope=EVERYTHING&amp;vid=01CRU&amp;lang=en_US&amp;offset=0&amp;query=any,contains,991001239269702656","Catalog Record")</f>
        <v>Catalog Record</v>
      </c>
      <c r="AV283" s="5" t="str">
        <f>HYPERLINK("http://www.worldcat.org/oclc/16985498","WorldCat Record")</f>
        <v>WorldCat Record</v>
      </c>
      <c r="AW283" s="2" t="s">
        <v>3396</v>
      </c>
      <c r="AX283" s="2" t="s">
        <v>3397</v>
      </c>
      <c r="AY283" s="2" t="s">
        <v>3398</v>
      </c>
      <c r="AZ283" s="2" t="s">
        <v>3398</v>
      </c>
      <c r="BA283" s="2" t="s">
        <v>3399</v>
      </c>
      <c r="BB283" s="2" t="s">
        <v>81</v>
      </c>
      <c r="BD283" s="2" t="s">
        <v>3400</v>
      </c>
      <c r="BE283" s="2" t="s">
        <v>3401</v>
      </c>
      <c r="BF283" s="2" t="s">
        <v>3402</v>
      </c>
    </row>
    <row r="284" spans="1:58" ht="42" customHeight="1">
      <c r="A284" s="1"/>
      <c r="B284" s="1" t="s">
        <v>58</v>
      </c>
      <c r="C284" s="1" t="s">
        <v>59</v>
      </c>
      <c r="D284" s="1" t="s">
        <v>3403</v>
      </c>
      <c r="E284" s="1" t="s">
        <v>3404</v>
      </c>
      <c r="F284" s="1" t="s">
        <v>3405</v>
      </c>
      <c r="H284" s="2" t="s">
        <v>63</v>
      </c>
      <c r="I284" s="2" t="s">
        <v>64</v>
      </c>
      <c r="J284" s="2" t="s">
        <v>63</v>
      </c>
      <c r="K284" s="2" t="s">
        <v>63</v>
      </c>
      <c r="L284" s="2" t="s">
        <v>65</v>
      </c>
      <c r="N284" s="1" t="s">
        <v>3406</v>
      </c>
      <c r="O284" s="2" t="s">
        <v>68</v>
      </c>
      <c r="Q284" s="2" t="s">
        <v>70</v>
      </c>
      <c r="R284" s="2" t="s">
        <v>422</v>
      </c>
      <c r="S284" s="1" t="s">
        <v>3407</v>
      </c>
      <c r="T284" s="2" t="s">
        <v>73</v>
      </c>
      <c r="U284" s="3">
        <v>8</v>
      </c>
      <c r="V284" s="3">
        <v>8</v>
      </c>
      <c r="W284" s="4" t="s">
        <v>3408</v>
      </c>
      <c r="X284" s="4" t="s">
        <v>3408</v>
      </c>
      <c r="Y284" s="4" t="s">
        <v>2909</v>
      </c>
      <c r="Z284" s="4" t="s">
        <v>2909</v>
      </c>
      <c r="AA284" s="3">
        <v>82</v>
      </c>
      <c r="AB284" s="3">
        <v>54</v>
      </c>
      <c r="AC284" s="3">
        <v>59</v>
      </c>
      <c r="AD284" s="3">
        <v>1</v>
      </c>
      <c r="AE284" s="3">
        <v>1</v>
      </c>
      <c r="AF284" s="3">
        <v>1</v>
      </c>
      <c r="AG284" s="3">
        <v>1</v>
      </c>
      <c r="AH284" s="3">
        <v>0</v>
      </c>
      <c r="AI284" s="3">
        <v>0</v>
      </c>
      <c r="AJ284" s="3">
        <v>1</v>
      </c>
      <c r="AK284" s="3">
        <v>1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2" t="s">
        <v>63</v>
      </c>
      <c r="AS284" s="2" t="s">
        <v>63</v>
      </c>
      <c r="AU284" s="5" t="str">
        <f>HYPERLINK("https://creighton-primo.hosted.exlibrisgroup.com/primo-explore/search?tab=default_tab&amp;search_scope=EVERYTHING&amp;vid=01CRU&amp;lang=en_US&amp;offset=0&amp;query=any,contains,991000678879702656","Catalog Record")</f>
        <v>Catalog Record</v>
      </c>
      <c r="AV284" s="5" t="str">
        <f>HYPERLINK("http://www.worldcat.org/oclc/29877505","WorldCat Record")</f>
        <v>WorldCat Record</v>
      </c>
      <c r="AW284" s="2" t="s">
        <v>3409</v>
      </c>
      <c r="AX284" s="2" t="s">
        <v>3410</v>
      </c>
      <c r="AY284" s="2" t="s">
        <v>3411</v>
      </c>
      <c r="AZ284" s="2" t="s">
        <v>3411</v>
      </c>
      <c r="BA284" s="2" t="s">
        <v>3412</v>
      </c>
      <c r="BB284" s="2" t="s">
        <v>81</v>
      </c>
      <c r="BD284" s="2" t="s">
        <v>3413</v>
      </c>
      <c r="BE284" s="2" t="s">
        <v>3414</v>
      </c>
      <c r="BF284" s="2" t="s">
        <v>3415</v>
      </c>
    </row>
    <row r="285" spans="1:58" ht="42" customHeight="1">
      <c r="A285" s="1"/>
      <c r="B285" s="1" t="s">
        <v>58</v>
      </c>
      <c r="C285" s="1" t="s">
        <v>59</v>
      </c>
      <c r="D285" s="1" t="s">
        <v>3416</v>
      </c>
      <c r="E285" s="1" t="s">
        <v>3417</v>
      </c>
      <c r="F285" s="1" t="s">
        <v>3418</v>
      </c>
      <c r="H285" s="2" t="s">
        <v>63</v>
      </c>
      <c r="I285" s="2" t="s">
        <v>64</v>
      </c>
      <c r="J285" s="2" t="s">
        <v>63</v>
      </c>
      <c r="K285" s="2" t="s">
        <v>63</v>
      </c>
      <c r="L285" s="2" t="s">
        <v>65</v>
      </c>
      <c r="N285" s="1" t="s">
        <v>3419</v>
      </c>
      <c r="O285" s="2" t="s">
        <v>863</v>
      </c>
      <c r="Q285" s="2" t="s">
        <v>70</v>
      </c>
      <c r="R285" s="2" t="s">
        <v>107</v>
      </c>
      <c r="T285" s="2" t="s">
        <v>73</v>
      </c>
      <c r="U285" s="3">
        <v>5</v>
      </c>
      <c r="V285" s="3">
        <v>5</v>
      </c>
      <c r="W285" s="4" t="s">
        <v>1949</v>
      </c>
      <c r="X285" s="4" t="s">
        <v>1949</v>
      </c>
      <c r="Y285" s="4" t="s">
        <v>3420</v>
      </c>
      <c r="Z285" s="4" t="s">
        <v>3420</v>
      </c>
      <c r="AA285" s="3">
        <v>239</v>
      </c>
      <c r="AB285" s="3">
        <v>179</v>
      </c>
      <c r="AC285" s="3">
        <v>204</v>
      </c>
      <c r="AD285" s="3">
        <v>2</v>
      </c>
      <c r="AE285" s="3">
        <v>2</v>
      </c>
      <c r="AF285" s="3">
        <v>6</v>
      </c>
      <c r="AG285" s="3">
        <v>7</v>
      </c>
      <c r="AH285" s="3">
        <v>1</v>
      </c>
      <c r="AI285" s="3">
        <v>2</v>
      </c>
      <c r="AJ285" s="3">
        <v>2</v>
      </c>
      <c r="AK285" s="3">
        <v>2</v>
      </c>
      <c r="AL285" s="3">
        <v>3</v>
      </c>
      <c r="AM285" s="3">
        <v>4</v>
      </c>
      <c r="AN285" s="3">
        <v>1</v>
      </c>
      <c r="AO285" s="3">
        <v>1</v>
      </c>
      <c r="AP285" s="3">
        <v>0</v>
      </c>
      <c r="AQ285" s="3">
        <v>0</v>
      </c>
      <c r="AR285" s="2" t="s">
        <v>63</v>
      </c>
      <c r="AS285" s="2" t="s">
        <v>76</v>
      </c>
      <c r="AT285" s="5" t="str">
        <f>HYPERLINK("http://catalog.hathitrust.org/Record/000927138","HathiTrust Record")</f>
        <v>HathiTrust Record</v>
      </c>
      <c r="AU285" s="5" t="str">
        <f>HYPERLINK("https://creighton-primo.hosted.exlibrisgroup.com/primo-explore/search?tab=default_tab&amp;search_scope=EVERYTHING&amp;vid=01CRU&amp;lang=en_US&amp;offset=0&amp;query=any,contains,991001113009702656","Catalog Record")</f>
        <v>Catalog Record</v>
      </c>
      <c r="AV285" s="5" t="str">
        <f>HYPERLINK("http://www.worldcat.org/oclc/17354236","WorldCat Record")</f>
        <v>WorldCat Record</v>
      </c>
      <c r="AW285" s="2" t="s">
        <v>3421</v>
      </c>
      <c r="AX285" s="2" t="s">
        <v>3422</v>
      </c>
      <c r="AY285" s="2" t="s">
        <v>3423</v>
      </c>
      <c r="AZ285" s="2" t="s">
        <v>3423</v>
      </c>
      <c r="BA285" s="2" t="s">
        <v>3424</v>
      </c>
      <c r="BB285" s="2" t="s">
        <v>81</v>
      </c>
      <c r="BD285" s="2" t="s">
        <v>3425</v>
      </c>
      <c r="BE285" s="2" t="s">
        <v>3426</v>
      </c>
      <c r="BF285" s="2" t="s">
        <v>3427</v>
      </c>
    </row>
    <row r="286" spans="1:58" ht="42" customHeight="1">
      <c r="A286" s="1"/>
      <c r="B286" s="1" t="s">
        <v>58</v>
      </c>
      <c r="C286" s="1" t="s">
        <v>59</v>
      </c>
      <c r="D286" s="1" t="s">
        <v>3428</v>
      </c>
      <c r="E286" s="1" t="s">
        <v>3429</v>
      </c>
      <c r="F286" s="1" t="s">
        <v>3430</v>
      </c>
      <c r="H286" s="2" t="s">
        <v>63</v>
      </c>
      <c r="I286" s="2" t="s">
        <v>64</v>
      </c>
      <c r="J286" s="2" t="s">
        <v>63</v>
      </c>
      <c r="K286" s="2" t="s">
        <v>63</v>
      </c>
      <c r="L286" s="2" t="s">
        <v>65</v>
      </c>
      <c r="M286" s="1" t="s">
        <v>3092</v>
      </c>
      <c r="N286" s="1" t="s">
        <v>3431</v>
      </c>
      <c r="O286" s="2" t="s">
        <v>757</v>
      </c>
      <c r="P286" s="1" t="s">
        <v>231</v>
      </c>
      <c r="Q286" s="2" t="s">
        <v>70</v>
      </c>
      <c r="R286" s="2" t="s">
        <v>107</v>
      </c>
      <c r="T286" s="2" t="s">
        <v>73</v>
      </c>
      <c r="U286" s="3">
        <v>5</v>
      </c>
      <c r="V286" s="3">
        <v>5</v>
      </c>
      <c r="W286" s="4" t="s">
        <v>3432</v>
      </c>
      <c r="X286" s="4" t="s">
        <v>3432</v>
      </c>
      <c r="Y286" s="4" t="s">
        <v>301</v>
      </c>
      <c r="Z286" s="4" t="s">
        <v>301</v>
      </c>
      <c r="AA286" s="3">
        <v>175</v>
      </c>
      <c r="AB286" s="3">
        <v>135</v>
      </c>
      <c r="AC286" s="3">
        <v>269</v>
      </c>
      <c r="AD286" s="3">
        <v>1</v>
      </c>
      <c r="AE286" s="3">
        <v>3</v>
      </c>
      <c r="AF286" s="3">
        <v>3</v>
      </c>
      <c r="AG286" s="3">
        <v>9</v>
      </c>
      <c r="AH286" s="3">
        <v>3</v>
      </c>
      <c r="AI286" s="3">
        <v>4</v>
      </c>
      <c r="AJ286" s="3">
        <v>0</v>
      </c>
      <c r="AK286" s="3">
        <v>2</v>
      </c>
      <c r="AL286" s="3">
        <v>1</v>
      </c>
      <c r="AM286" s="3">
        <v>4</v>
      </c>
      <c r="AN286" s="3">
        <v>0</v>
      </c>
      <c r="AO286" s="3">
        <v>2</v>
      </c>
      <c r="AP286" s="3">
        <v>0</v>
      </c>
      <c r="AQ286" s="3">
        <v>0</v>
      </c>
      <c r="AR286" s="2" t="s">
        <v>63</v>
      </c>
      <c r="AS286" s="2" t="s">
        <v>63</v>
      </c>
      <c r="AU286" s="5" t="str">
        <f>HYPERLINK("https://creighton-primo.hosted.exlibrisgroup.com/primo-explore/search?tab=default_tab&amp;search_scope=EVERYTHING&amp;vid=01CRU&amp;lang=en_US&amp;offset=0&amp;query=any,contains,991000748619702656","Catalog Record")</f>
        <v>Catalog Record</v>
      </c>
      <c r="AV286" s="5" t="str">
        <f>HYPERLINK("http://www.worldcat.org/oclc/7571980","WorldCat Record")</f>
        <v>WorldCat Record</v>
      </c>
      <c r="AW286" s="2" t="s">
        <v>3433</v>
      </c>
      <c r="AX286" s="2" t="s">
        <v>3434</v>
      </c>
      <c r="AY286" s="2" t="s">
        <v>3435</v>
      </c>
      <c r="AZ286" s="2" t="s">
        <v>3435</v>
      </c>
      <c r="BA286" s="2" t="s">
        <v>3436</v>
      </c>
      <c r="BB286" s="2" t="s">
        <v>81</v>
      </c>
      <c r="BD286" s="2" t="s">
        <v>3437</v>
      </c>
      <c r="BE286" s="2" t="s">
        <v>3438</v>
      </c>
      <c r="BF286" s="2" t="s">
        <v>3439</v>
      </c>
    </row>
    <row r="287" spans="1:58" ht="42" customHeight="1">
      <c r="A287" s="1"/>
      <c r="B287" s="1" t="s">
        <v>58</v>
      </c>
      <c r="C287" s="1" t="s">
        <v>59</v>
      </c>
      <c r="D287" s="1" t="s">
        <v>3440</v>
      </c>
      <c r="E287" s="1" t="s">
        <v>3441</v>
      </c>
      <c r="F287" s="1" t="s">
        <v>3442</v>
      </c>
      <c r="H287" s="2" t="s">
        <v>63</v>
      </c>
      <c r="I287" s="2" t="s">
        <v>64</v>
      </c>
      <c r="J287" s="2" t="s">
        <v>63</v>
      </c>
      <c r="K287" s="2" t="s">
        <v>63</v>
      </c>
      <c r="L287" s="2" t="s">
        <v>65</v>
      </c>
      <c r="M287" s="1" t="s">
        <v>3443</v>
      </c>
      <c r="N287" s="1" t="s">
        <v>3444</v>
      </c>
      <c r="O287" s="2" t="s">
        <v>3445</v>
      </c>
      <c r="Q287" s="2" t="s">
        <v>70</v>
      </c>
      <c r="R287" s="2" t="s">
        <v>509</v>
      </c>
      <c r="T287" s="2" t="s">
        <v>73</v>
      </c>
      <c r="U287" s="3">
        <v>8</v>
      </c>
      <c r="V287" s="3">
        <v>8</v>
      </c>
      <c r="W287" s="4" t="s">
        <v>1733</v>
      </c>
      <c r="X287" s="4" t="s">
        <v>1733</v>
      </c>
      <c r="Y287" s="4" t="s">
        <v>1258</v>
      </c>
      <c r="Z287" s="4" t="s">
        <v>1258</v>
      </c>
      <c r="AA287" s="3">
        <v>277</v>
      </c>
      <c r="AB287" s="3">
        <v>199</v>
      </c>
      <c r="AC287" s="3">
        <v>234</v>
      </c>
      <c r="AD287" s="3">
        <v>3</v>
      </c>
      <c r="AE287" s="3">
        <v>3</v>
      </c>
      <c r="AF287" s="3">
        <v>13</v>
      </c>
      <c r="AG287" s="3">
        <v>16</v>
      </c>
      <c r="AH287" s="3">
        <v>4</v>
      </c>
      <c r="AI287" s="3">
        <v>5</v>
      </c>
      <c r="AJ287" s="3">
        <v>3</v>
      </c>
      <c r="AK287" s="3">
        <v>3</v>
      </c>
      <c r="AL287" s="3">
        <v>7</v>
      </c>
      <c r="AM287" s="3">
        <v>10</v>
      </c>
      <c r="AN287" s="3">
        <v>2</v>
      </c>
      <c r="AO287" s="3">
        <v>2</v>
      </c>
      <c r="AP287" s="3">
        <v>0</v>
      </c>
      <c r="AQ287" s="3">
        <v>0</v>
      </c>
      <c r="AR287" s="2" t="s">
        <v>63</v>
      </c>
      <c r="AS287" s="2" t="s">
        <v>76</v>
      </c>
      <c r="AT287" s="5" t="str">
        <f>HYPERLINK("http://catalog.hathitrust.org/Record/002077549","HathiTrust Record")</f>
        <v>HathiTrust Record</v>
      </c>
      <c r="AU287" s="5" t="str">
        <f>HYPERLINK("https://creighton-primo.hosted.exlibrisgroup.com/primo-explore/search?tab=default_tab&amp;search_scope=EVERYTHING&amp;vid=01CRU&amp;lang=en_US&amp;offset=0&amp;query=any,contains,991000975859702656","Catalog Record")</f>
        <v>Catalog Record</v>
      </c>
      <c r="AV287" s="5" t="str">
        <f>HYPERLINK("http://www.worldcat.org/oclc/1560542","WorldCat Record")</f>
        <v>WorldCat Record</v>
      </c>
      <c r="AW287" s="2" t="s">
        <v>3446</v>
      </c>
      <c r="AX287" s="2" t="s">
        <v>3447</v>
      </c>
      <c r="AY287" s="2" t="s">
        <v>3448</v>
      </c>
      <c r="AZ287" s="2" t="s">
        <v>3448</v>
      </c>
      <c r="BA287" s="2" t="s">
        <v>3449</v>
      </c>
      <c r="BB287" s="2" t="s">
        <v>81</v>
      </c>
      <c r="BE287" s="2" t="s">
        <v>3450</v>
      </c>
      <c r="BF287" s="2" t="s">
        <v>3451</v>
      </c>
    </row>
    <row r="288" spans="1:58" ht="42" customHeight="1">
      <c r="A288" s="1"/>
      <c r="B288" s="1" t="s">
        <v>58</v>
      </c>
      <c r="C288" s="1" t="s">
        <v>59</v>
      </c>
      <c r="D288" s="1" t="s">
        <v>3452</v>
      </c>
      <c r="E288" s="1" t="s">
        <v>3453</v>
      </c>
      <c r="F288" s="1" t="s">
        <v>3454</v>
      </c>
      <c r="H288" s="2" t="s">
        <v>63</v>
      </c>
      <c r="I288" s="2" t="s">
        <v>64</v>
      </c>
      <c r="J288" s="2" t="s">
        <v>63</v>
      </c>
      <c r="K288" s="2" t="s">
        <v>63</v>
      </c>
      <c r="L288" s="2" t="s">
        <v>65</v>
      </c>
      <c r="M288" s="1" t="s">
        <v>3455</v>
      </c>
      <c r="N288" s="1" t="s">
        <v>3456</v>
      </c>
      <c r="O288" s="2" t="s">
        <v>3457</v>
      </c>
      <c r="Q288" s="2" t="s">
        <v>70</v>
      </c>
      <c r="R288" s="2" t="s">
        <v>153</v>
      </c>
      <c r="T288" s="2" t="s">
        <v>73</v>
      </c>
      <c r="U288" s="3">
        <v>1</v>
      </c>
      <c r="V288" s="3">
        <v>1</v>
      </c>
      <c r="W288" s="4" t="s">
        <v>3458</v>
      </c>
      <c r="X288" s="4" t="s">
        <v>3458</v>
      </c>
      <c r="Y288" s="4" t="s">
        <v>1258</v>
      </c>
      <c r="Z288" s="4" t="s">
        <v>1258</v>
      </c>
      <c r="AA288" s="3">
        <v>103</v>
      </c>
      <c r="AB288" s="3">
        <v>98</v>
      </c>
      <c r="AC288" s="3">
        <v>114</v>
      </c>
      <c r="AD288" s="3">
        <v>2</v>
      </c>
      <c r="AE288" s="3">
        <v>2</v>
      </c>
      <c r="AF288" s="3">
        <v>5</v>
      </c>
      <c r="AG288" s="3">
        <v>6</v>
      </c>
      <c r="AH288" s="3">
        <v>2</v>
      </c>
      <c r="AI288" s="3">
        <v>2</v>
      </c>
      <c r="AJ288" s="3">
        <v>1</v>
      </c>
      <c r="AK288" s="3">
        <v>1</v>
      </c>
      <c r="AL288" s="3">
        <v>3</v>
      </c>
      <c r="AM288" s="3">
        <v>4</v>
      </c>
      <c r="AN288" s="3">
        <v>1</v>
      </c>
      <c r="AO288" s="3">
        <v>1</v>
      </c>
      <c r="AP288" s="3">
        <v>0</v>
      </c>
      <c r="AQ288" s="3">
        <v>0</v>
      </c>
      <c r="AR288" s="2" t="s">
        <v>63</v>
      </c>
      <c r="AS288" s="2" t="s">
        <v>76</v>
      </c>
      <c r="AT288" s="5" t="str">
        <f>HYPERLINK("http://catalog.hathitrust.org/Record/002067705","HathiTrust Record")</f>
        <v>HathiTrust Record</v>
      </c>
      <c r="AU288" s="5" t="str">
        <f>HYPERLINK("https://creighton-primo.hosted.exlibrisgroup.com/primo-explore/search?tab=default_tab&amp;search_scope=EVERYTHING&amp;vid=01CRU&amp;lang=en_US&amp;offset=0&amp;query=any,contains,991000975749702656","Catalog Record")</f>
        <v>Catalog Record</v>
      </c>
      <c r="AV288" s="5" t="str">
        <f>HYPERLINK("http://www.worldcat.org/oclc/1293354","WorldCat Record")</f>
        <v>WorldCat Record</v>
      </c>
      <c r="AW288" s="2" t="s">
        <v>3459</v>
      </c>
      <c r="AX288" s="2" t="s">
        <v>3460</v>
      </c>
      <c r="AY288" s="2" t="s">
        <v>3461</v>
      </c>
      <c r="AZ288" s="2" t="s">
        <v>3461</v>
      </c>
      <c r="BA288" s="2" t="s">
        <v>3462</v>
      </c>
      <c r="BB288" s="2" t="s">
        <v>81</v>
      </c>
      <c r="BE288" s="2" t="s">
        <v>3463</v>
      </c>
      <c r="BF288" s="2" t="s">
        <v>3464</v>
      </c>
    </row>
    <row r="289" spans="1:58" ht="42" customHeight="1">
      <c r="A289" s="1"/>
      <c r="B289" s="1" t="s">
        <v>58</v>
      </c>
      <c r="C289" s="1" t="s">
        <v>59</v>
      </c>
      <c r="D289" s="1" t="s">
        <v>3465</v>
      </c>
      <c r="E289" s="1" t="s">
        <v>3466</v>
      </c>
      <c r="F289" s="1" t="s">
        <v>3467</v>
      </c>
      <c r="H289" s="2" t="s">
        <v>63</v>
      </c>
      <c r="I289" s="2" t="s">
        <v>64</v>
      </c>
      <c r="J289" s="2" t="s">
        <v>63</v>
      </c>
      <c r="K289" s="2" t="s">
        <v>63</v>
      </c>
      <c r="L289" s="2" t="s">
        <v>65</v>
      </c>
      <c r="M289" s="1" t="s">
        <v>3468</v>
      </c>
      <c r="N289" s="1" t="s">
        <v>3469</v>
      </c>
      <c r="O289" s="2" t="s">
        <v>230</v>
      </c>
      <c r="Q289" s="2" t="s">
        <v>70</v>
      </c>
      <c r="R289" s="2" t="s">
        <v>107</v>
      </c>
      <c r="T289" s="2" t="s">
        <v>73</v>
      </c>
      <c r="U289" s="3">
        <v>5</v>
      </c>
      <c r="V289" s="3">
        <v>5</v>
      </c>
      <c r="W289" s="4" t="s">
        <v>3470</v>
      </c>
      <c r="X289" s="4" t="s">
        <v>3470</v>
      </c>
      <c r="Y289" s="4" t="s">
        <v>1312</v>
      </c>
      <c r="Z289" s="4" t="s">
        <v>1312</v>
      </c>
      <c r="AA289" s="3">
        <v>141</v>
      </c>
      <c r="AB289" s="3">
        <v>101</v>
      </c>
      <c r="AC289" s="3">
        <v>103</v>
      </c>
      <c r="AD289" s="3">
        <v>1</v>
      </c>
      <c r="AE289" s="3">
        <v>1</v>
      </c>
      <c r="AF289" s="3">
        <v>2</v>
      </c>
      <c r="AG289" s="3">
        <v>2</v>
      </c>
      <c r="AH289" s="3">
        <v>1</v>
      </c>
      <c r="AI289" s="3">
        <v>1</v>
      </c>
      <c r="AJ289" s="3">
        <v>0</v>
      </c>
      <c r="AK289" s="3">
        <v>0</v>
      </c>
      <c r="AL289" s="3">
        <v>1</v>
      </c>
      <c r="AM289" s="3">
        <v>1</v>
      </c>
      <c r="AN289" s="3">
        <v>0</v>
      </c>
      <c r="AO289" s="3">
        <v>0</v>
      </c>
      <c r="AP289" s="3">
        <v>0</v>
      </c>
      <c r="AQ289" s="3">
        <v>0</v>
      </c>
      <c r="AR289" s="2" t="s">
        <v>63</v>
      </c>
      <c r="AS289" s="2" t="s">
        <v>76</v>
      </c>
      <c r="AT289" s="5" t="str">
        <f>HYPERLINK("http://catalog.hathitrust.org/Record/000157589","HathiTrust Record")</f>
        <v>HathiTrust Record</v>
      </c>
      <c r="AU289" s="5" t="str">
        <f>HYPERLINK("https://creighton-primo.hosted.exlibrisgroup.com/primo-explore/search?tab=default_tab&amp;search_scope=EVERYTHING&amp;vid=01CRU&amp;lang=en_US&amp;offset=0&amp;query=any,contains,991000976059702656","Catalog Record")</f>
        <v>Catalog Record</v>
      </c>
      <c r="AV289" s="5" t="str">
        <f>HYPERLINK("http://www.worldcat.org/oclc/9324407","WorldCat Record")</f>
        <v>WorldCat Record</v>
      </c>
      <c r="AW289" s="2" t="s">
        <v>3471</v>
      </c>
      <c r="AX289" s="2" t="s">
        <v>3472</v>
      </c>
      <c r="AY289" s="2" t="s">
        <v>3473</v>
      </c>
      <c r="AZ289" s="2" t="s">
        <v>3473</v>
      </c>
      <c r="BA289" s="2" t="s">
        <v>3474</v>
      </c>
      <c r="BB289" s="2" t="s">
        <v>81</v>
      </c>
      <c r="BD289" s="2" t="s">
        <v>3475</v>
      </c>
      <c r="BE289" s="2" t="s">
        <v>3476</v>
      </c>
      <c r="BF289" s="2" t="s">
        <v>3477</v>
      </c>
    </row>
    <row r="290" spans="1:58" ht="42" customHeight="1">
      <c r="A290" s="1"/>
      <c r="B290" s="1" t="s">
        <v>58</v>
      </c>
      <c r="C290" s="1" t="s">
        <v>59</v>
      </c>
      <c r="D290" s="1" t="s">
        <v>3478</v>
      </c>
      <c r="E290" s="1" t="s">
        <v>3479</v>
      </c>
      <c r="F290" s="1" t="s">
        <v>3480</v>
      </c>
      <c r="H290" s="2" t="s">
        <v>63</v>
      </c>
      <c r="I290" s="2" t="s">
        <v>64</v>
      </c>
      <c r="J290" s="2" t="s">
        <v>63</v>
      </c>
      <c r="K290" s="2" t="s">
        <v>63</v>
      </c>
      <c r="L290" s="2" t="s">
        <v>65</v>
      </c>
      <c r="N290" s="1" t="s">
        <v>3481</v>
      </c>
      <c r="O290" s="2" t="s">
        <v>757</v>
      </c>
      <c r="Q290" s="2" t="s">
        <v>70</v>
      </c>
      <c r="R290" s="2" t="s">
        <v>408</v>
      </c>
      <c r="T290" s="2" t="s">
        <v>73</v>
      </c>
      <c r="U290" s="3">
        <v>1</v>
      </c>
      <c r="V290" s="3">
        <v>1</v>
      </c>
      <c r="W290" s="4" t="s">
        <v>3482</v>
      </c>
      <c r="X290" s="4" t="s">
        <v>3482</v>
      </c>
      <c r="Y290" s="4" t="s">
        <v>3108</v>
      </c>
      <c r="Z290" s="4" t="s">
        <v>3108</v>
      </c>
      <c r="AA290" s="3">
        <v>170</v>
      </c>
      <c r="AB290" s="3">
        <v>120</v>
      </c>
      <c r="AC290" s="3">
        <v>121</v>
      </c>
      <c r="AD290" s="3">
        <v>1</v>
      </c>
      <c r="AE290" s="3">
        <v>1</v>
      </c>
      <c r="AF290" s="3">
        <v>4</v>
      </c>
      <c r="AG290" s="3">
        <v>4</v>
      </c>
      <c r="AH290" s="3">
        <v>3</v>
      </c>
      <c r="AI290" s="3">
        <v>3</v>
      </c>
      <c r="AJ290" s="3">
        <v>1</v>
      </c>
      <c r="AK290" s="3">
        <v>1</v>
      </c>
      <c r="AL290" s="3">
        <v>2</v>
      </c>
      <c r="AM290" s="3">
        <v>2</v>
      </c>
      <c r="AN290" s="3">
        <v>0</v>
      </c>
      <c r="AO290" s="3">
        <v>0</v>
      </c>
      <c r="AP290" s="3">
        <v>0</v>
      </c>
      <c r="AQ290" s="3">
        <v>0</v>
      </c>
      <c r="AR290" s="2" t="s">
        <v>63</v>
      </c>
      <c r="AS290" s="2" t="s">
        <v>76</v>
      </c>
      <c r="AT290" s="5" t="str">
        <f>HYPERLINK("http://catalog.hathitrust.org/Record/000241881","HathiTrust Record")</f>
        <v>HathiTrust Record</v>
      </c>
      <c r="AU290" s="5" t="str">
        <f>HYPERLINK("https://creighton-primo.hosted.exlibrisgroup.com/primo-explore/search?tab=default_tab&amp;search_scope=EVERYTHING&amp;vid=01CRU&amp;lang=en_US&amp;offset=0&amp;query=any,contains,991000976019702656","Catalog Record")</f>
        <v>Catalog Record</v>
      </c>
      <c r="AV290" s="5" t="str">
        <f>HYPERLINK("http://www.worldcat.org/oclc/8667580","WorldCat Record")</f>
        <v>WorldCat Record</v>
      </c>
      <c r="AW290" s="2" t="s">
        <v>3483</v>
      </c>
      <c r="AX290" s="2" t="s">
        <v>3484</v>
      </c>
      <c r="AY290" s="2" t="s">
        <v>3485</v>
      </c>
      <c r="AZ290" s="2" t="s">
        <v>3485</v>
      </c>
      <c r="BA290" s="2" t="s">
        <v>3486</v>
      </c>
      <c r="BB290" s="2" t="s">
        <v>81</v>
      </c>
      <c r="BD290" s="2" t="s">
        <v>3487</v>
      </c>
      <c r="BE290" s="2" t="s">
        <v>3488</v>
      </c>
      <c r="BF290" s="2" t="s">
        <v>3489</v>
      </c>
    </row>
    <row r="291" spans="1:58" ht="42" customHeight="1">
      <c r="A291" s="1"/>
      <c r="B291" s="1" t="s">
        <v>58</v>
      </c>
      <c r="C291" s="1" t="s">
        <v>59</v>
      </c>
      <c r="D291" s="1" t="s">
        <v>3490</v>
      </c>
      <c r="E291" s="1" t="s">
        <v>3491</v>
      </c>
      <c r="F291" s="1" t="s">
        <v>3492</v>
      </c>
      <c r="H291" s="2" t="s">
        <v>63</v>
      </c>
      <c r="I291" s="2" t="s">
        <v>64</v>
      </c>
      <c r="J291" s="2" t="s">
        <v>63</v>
      </c>
      <c r="K291" s="2" t="s">
        <v>63</v>
      </c>
      <c r="L291" s="2" t="s">
        <v>65</v>
      </c>
      <c r="M291" s="1" t="s">
        <v>3493</v>
      </c>
      <c r="N291" s="1" t="s">
        <v>3494</v>
      </c>
      <c r="O291" s="2" t="s">
        <v>1285</v>
      </c>
      <c r="Q291" s="2" t="s">
        <v>70</v>
      </c>
      <c r="R291" s="2" t="s">
        <v>153</v>
      </c>
      <c r="T291" s="2" t="s">
        <v>73</v>
      </c>
      <c r="U291" s="3">
        <v>2</v>
      </c>
      <c r="V291" s="3">
        <v>2</v>
      </c>
      <c r="W291" s="4" t="s">
        <v>3495</v>
      </c>
      <c r="X291" s="4" t="s">
        <v>3495</v>
      </c>
      <c r="Y291" s="4" t="s">
        <v>1258</v>
      </c>
      <c r="Z291" s="4" t="s">
        <v>1258</v>
      </c>
      <c r="AA291" s="3">
        <v>15</v>
      </c>
      <c r="AB291" s="3">
        <v>11</v>
      </c>
      <c r="AC291" s="3">
        <v>11</v>
      </c>
      <c r="AD291" s="3">
        <v>1</v>
      </c>
      <c r="AE291" s="3">
        <v>1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2" t="s">
        <v>63</v>
      </c>
      <c r="AS291" s="2" t="s">
        <v>63</v>
      </c>
      <c r="AU291" s="5" t="str">
        <f>HYPERLINK("https://creighton-primo.hosted.exlibrisgroup.com/primo-explore/search?tab=default_tab&amp;search_scope=EVERYTHING&amp;vid=01CRU&amp;lang=en_US&amp;offset=0&amp;query=any,contains,991000976089702656","Catalog Record")</f>
        <v>Catalog Record</v>
      </c>
      <c r="AV291" s="5" t="str">
        <f>HYPERLINK("http://www.worldcat.org/oclc/14420561","WorldCat Record")</f>
        <v>WorldCat Record</v>
      </c>
      <c r="AW291" s="2" t="s">
        <v>3496</v>
      </c>
      <c r="AX291" s="2" t="s">
        <v>3497</v>
      </c>
      <c r="AY291" s="2" t="s">
        <v>3498</v>
      </c>
      <c r="AZ291" s="2" t="s">
        <v>3498</v>
      </c>
      <c r="BA291" s="2" t="s">
        <v>3499</v>
      </c>
      <c r="BB291" s="2" t="s">
        <v>81</v>
      </c>
      <c r="BE291" s="2" t="s">
        <v>3500</v>
      </c>
      <c r="BF291" s="2" t="s">
        <v>3501</v>
      </c>
    </row>
    <row r="292" spans="1:58" ht="42" customHeight="1">
      <c r="A292" s="1"/>
      <c r="B292" s="1" t="s">
        <v>58</v>
      </c>
      <c r="C292" s="1" t="s">
        <v>59</v>
      </c>
      <c r="D292" s="1" t="s">
        <v>3502</v>
      </c>
      <c r="E292" s="1" t="s">
        <v>3503</v>
      </c>
      <c r="F292" s="1" t="s">
        <v>3504</v>
      </c>
      <c r="H292" s="2" t="s">
        <v>63</v>
      </c>
      <c r="I292" s="2" t="s">
        <v>64</v>
      </c>
      <c r="J292" s="2" t="s">
        <v>63</v>
      </c>
      <c r="K292" s="2" t="s">
        <v>63</v>
      </c>
      <c r="L292" s="2" t="s">
        <v>65</v>
      </c>
      <c r="M292" s="1" t="s">
        <v>3505</v>
      </c>
      <c r="N292" s="1" t="s">
        <v>3506</v>
      </c>
      <c r="O292" s="2" t="s">
        <v>3507</v>
      </c>
      <c r="P292" s="1" t="s">
        <v>3508</v>
      </c>
      <c r="Q292" s="2" t="s">
        <v>70</v>
      </c>
      <c r="R292" s="2" t="s">
        <v>422</v>
      </c>
      <c r="T292" s="2" t="s">
        <v>73</v>
      </c>
      <c r="U292" s="3">
        <v>3</v>
      </c>
      <c r="V292" s="3">
        <v>3</v>
      </c>
      <c r="W292" s="4" t="s">
        <v>3509</v>
      </c>
      <c r="X292" s="4" t="s">
        <v>3509</v>
      </c>
      <c r="Y292" s="4" t="s">
        <v>3108</v>
      </c>
      <c r="Z292" s="4" t="s">
        <v>3108</v>
      </c>
      <c r="AA292" s="3">
        <v>358</v>
      </c>
      <c r="AB292" s="3">
        <v>306</v>
      </c>
      <c r="AC292" s="3">
        <v>510</v>
      </c>
      <c r="AD292" s="3">
        <v>2</v>
      </c>
      <c r="AE292" s="3">
        <v>2</v>
      </c>
      <c r="AF292" s="3">
        <v>14</v>
      </c>
      <c r="AG292" s="3">
        <v>17</v>
      </c>
      <c r="AH292" s="3">
        <v>4</v>
      </c>
      <c r="AI292" s="3">
        <v>5</v>
      </c>
      <c r="AJ292" s="3">
        <v>3</v>
      </c>
      <c r="AK292" s="3">
        <v>5</v>
      </c>
      <c r="AL292" s="3">
        <v>10</v>
      </c>
      <c r="AM292" s="3">
        <v>11</v>
      </c>
      <c r="AN292" s="3">
        <v>1</v>
      </c>
      <c r="AO292" s="3">
        <v>1</v>
      </c>
      <c r="AP292" s="3">
        <v>0</v>
      </c>
      <c r="AQ292" s="3">
        <v>0</v>
      </c>
      <c r="AR292" s="2" t="s">
        <v>63</v>
      </c>
      <c r="AS292" s="2" t="s">
        <v>76</v>
      </c>
      <c r="AT292" s="5" t="str">
        <f>HYPERLINK("http://catalog.hathitrust.org/Record/001556562","HathiTrust Record")</f>
        <v>HathiTrust Record</v>
      </c>
      <c r="AU292" s="5" t="str">
        <f>HYPERLINK("https://creighton-primo.hosted.exlibrisgroup.com/primo-explore/search?tab=default_tab&amp;search_scope=EVERYTHING&amp;vid=01CRU&amp;lang=en_US&amp;offset=0&amp;query=any,contains,991000976139702656","Catalog Record")</f>
        <v>Catalog Record</v>
      </c>
      <c r="AV292" s="5" t="str">
        <f>HYPERLINK("http://www.worldcat.org/oclc/562498","WorldCat Record")</f>
        <v>WorldCat Record</v>
      </c>
      <c r="AW292" s="2" t="s">
        <v>3510</v>
      </c>
      <c r="AX292" s="2" t="s">
        <v>3511</v>
      </c>
      <c r="AY292" s="2" t="s">
        <v>3512</v>
      </c>
      <c r="AZ292" s="2" t="s">
        <v>3512</v>
      </c>
      <c r="BA292" s="2" t="s">
        <v>3513</v>
      </c>
      <c r="BB292" s="2" t="s">
        <v>81</v>
      </c>
      <c r="BE292" s="2" t="s">
        <v>3514</v>
      </c>
      <c r="BF292" s="2" t="s">
        <v>3515</v>
      </c>
    </row>
    <row r="293" spans="1:58" ht="42" customHeight="1">
      <c r="A293" s="1"/>
      <c r="B293" s="1" t="s">
        <v>58</v>
      </c>
      <c r="C293" s="1" t="s">
        <v>59</v>
      </c>
      <c r="D293" s="1" t="s">
        <v>3516</v>
      </c>
      <c r="E293" s="1" t="s">
        <v>3517</v>
      </c>
      <c r="F293" s="1" t="s">
        <v>3518</v>
      </c>
      <c r="H293" s="2" t="s">
        <v>63</v>
      </c>
      <c r="I293" s="2" t="s">
        <v>64</v>
      </c>
      <c r="J293" s="2" t="s">
        <v>63</v>
      </c>
      <c r="K293" s="2" t="s">
        <v>63</v>
      </c>
      <c r="L293" s="2" t="s">
        <v>65</v>
      </c>
      <c r="M293" s="1" t="s">
        <v>3519</v>
      </c>
      <c r="N293" s="1" t="s">
        <v>3520</v>
      </c>
      <c r="O293" s="2" t="s">
        <v>550</v>
      </c>
      <c r="Q293" s="2" t="s">
        <v>70</v>
      </c>
      <c r="R293" s="2" t="s">
        <v>422</v>
      </c>
      <c r="S293" s="1" t="s">
        <v>3521</v>
      </c>
      <c r="T293" s="2" t="s">
        <v>73</v>
      </c>
      <c r="U293" s="3">
        <v>3</v>
      </c>
      <c r="V293" s="3">
        <v>3</v>
      </c>
      <c r="W293" s="4" t="s">
        <v>3522</v>
      </c>
      <c r="X293" s="4" t="s">
        <v>3522</v>
      </c>
      <c r="Y293" s="4" t="s">
        <v>1258</v>
      </c>
      <c r="Z293" s="4" t="s">
        <v>1258</v>
      </c>
      <c r="AA293" s="3">
        <v>403</v>
      </c>
      <c r="AB293" s="3">
        <v>282</v>
      </c>
      <c r="AC293" s="3">
        <v>323</v>
      </c>
      <c r="AD293" s="3">
        <v>2</v>
      </c>
      <c r="AE293" s="3">
        <v>2</v>
      </c>
      <c r="AF293" s="3">
        <v>11</v>
      </c>
      <c r="AG293" s="3">
        <v>14</v>
      </c>
      <c r="AH293" s="3">
        <v>4</v>
      </c>
      <c r="AI293" s="3">
        <v>6</v>
      </c>
      <c r="AJ293" s="3">
        <v>4</v>
      </c>
      <c r="AK293" s="3">
        <v>6</v>
      </c>
      <c r="AL293" s="3">
        <v>6</v>
      </c>
      <c r="AM293" s="3">
        <v>6</v>
      </c>
      <c r="AN293" s="3">
        <v>1</v>
      </c>
      <c r="AO293" s="3">
        <v>1</v>
      </c>
      <c r="AP293" s="3">
        <v>0</v>
      </c>
      <c r="AQ293" s="3">
        <v>0</v>
      </c>
      <c r="AR293" s="2" t="s">
        <v>63</v>
      </c>
      <c r="AS293" s="2" t="s">
        <v>76</v>
      </c>
      <c r="AT293" s="5" t="str">
        <f>HYPERLINK("http://catalog.hathitrust.org/Record/001556636","HathiTrust Record")</f>
        <v>HathiTrust Record</v>
      </c>
      <c r="AU293" s="5" t="str">
        <f>HYPERLINK("https://creighton-primo.hosted.exlibrisgroup.com/primo-explore/search?tab=default_tab&amp;search_scope=EVERYTHING&amp;vid=01CRU&amp;lang=en_US&amp;offset=0&amp;query=any,contains,991000976299702656","Catalog Record")</f>
        <v>Catalog Record</v>
      </c>
      <c r="AV293" s="5" t="str">
        <f>HYPERLINK("http://www.worldcat.org/oclc/139245","WorldCat Record")</f>
        <v>WorldCat Record</v>
      </c>
      <c r="AW293" s="2" t="s">
        <v>3523</v>
      </c>
      <c r="AX293" s="2" t="s">
        <v>3524</v>
      </c>
      <c r="AY293" s="2" t="s">
        <v>3525</v>
      </c>
      <c r="AZ293" s="2" t="s">
        <v>3525</v>
      </c>
      <c r="BA293" s="2" t="s">
        <v>3526</v>
      </c>
      <c r="BB293" s="2" t="s">
        <v>81</v>
      </c>
      <c r="BD293" s="2" t="s">
        <v>3527</v>
      </c>
      <c r="BE293" s="2" t="s">
        <v>3528</v>
      </c>
      <c r="BF293" s="2" t="s">
        <v>3529</v>
      </c>
    </row>
    <row r="294" spans="1:58" ht="42" customHeight="1">
      <c r="A294" s="1"/>
      <c r="B294" s="1" t="s">
        <v>58</v>
      </c>
      <c r="C294" s="1" t="s">
        <v>59</v>
      </c>
      <c r="D294" s="1" t="s">
        <v>3530</v>
      </c>
      <c r="E294" s="1" t="s">
        <v>3531</v>
      </c>
      <c r="F294" s="1" t="s">
        <v>3532</v>
      </c>
      <c r="H294" s="2" t="s">
        <v>63</v>
      </c>
      <c r="I294" s="2" t="s">
        <v>64</v>
      </c>
      <c r="J294" s="2" t="s">
        <v>63</v>
      </c>
      <c r="K294" s="2" t="s">
        <v>63</v>
      </c>
      <c r="L294" s="2" t="s">
        <v>65</v>
      </c>
      <c r="M294" s="1" t="s">
        <v>3533</v>
      </c>
      <c r="N294" s="1" t="s">
        <v>3534</v>
      </c>
      <c r="O294" s="2" t="s">
        <v>90</v>
      </c>
      <c r="P294" s="1" t="s">
        <v>152</v>
      </c>
      <c r="Q294" s="2" t="s">
        <v>70</v>
      </c>
      <c r="R294" s="2" t="s">
        <v>71</v>
      </c>
      <c r="T294" s="2" t="s">
        <v>73</v>
      </c>
      <c r="U294" s="3">
        <v>1</v>
      </c>
      <c r="V294" s="3">
        <v>1</v>
      </c>
      <c r="W294" s="4" t="s">
        <v>1505</v>
      </c>
      <c r="X294" s="4" t="s">
        <v>1505</v>
      </c>
      <c r="Y294" s="4" t="s">
        <v>1506</v>
      </c>
      <c r="Z294" s="4" t="s">
        <v>1506</v>
      </c>
      <c r="AA294" s="3">
        <v>113</v>
      </c>
      <c r="AB294" s="3">
        <v>113</v>
      </c>
      <c r="AC294" s="3">
        <v>181</v>
      </c>
      <c r="AD294" s="3">
        <v>1</v>
      </c>
      <c r="AE294" s="3">
        <v>1</v>
      </c>
      <c r="AF294" s="3">
        <v>2</v>
      </c>
      <c r="AG294" s="3">
        <v>2</v>
      </c>
      <c r="AH294" s="3">
        <v>1</v>
      </c>
      <c r="AI294" s="3">
        <v>1</v>
      </c>
      <c r="AJ294" s="3">
        <v>0</v>
      </c>
      <c r="AK294" s="3">
        <v>0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2" t="s">
        <v>63</v>
      </c>
      <c r="AS294" s="2" t="s">
        <v>63</v>
      </c>
      <c r="AU294" s="5" t="str">
        <f>HYPERLINK("https://creighton-primo.hosted.exlibrisgroup.com/primo-explore/search?tab=default_tab&amp;search_scope=EVERYTHING&amp;vid=01CRU&amp;lang=en_US&amp;offset=0&amp;query=any,contains,991001029349702656","Catalog Record")</f>
        <v>Catalog Record</v>
      </c>
      <c r="AV294" s="5" t="str">
        <f>HYPERLINK("http://www.worldcat.org/oclc/23442698","WorldCat Record")</f>
        <v>WorldCat Record</v>
      </c>
      <c r="AW294" s="2" t="s">
        <v>3535</v>
      </c>
      <c r="AX294" s="2" t="s">
        <v>3536</v>
      </c>
      <c r="AY294" s="2" t="s">
        <v>3537</v>
      </c>
      <c r="AZ294" s="2" t="s">
        <v>3537</v>
      </c>
      <c r="BA294" s="2" t="s">
        <v>3538</v>
      </c>
      <c r="BB294" s="2" t="s">
        <v>81</v>
      </c>
      <c r="BE294" s="2" t="s">
        <v>3539</v>
      </c>
      <c r="BF294" s="2" t="s">
        <v>3540</v>
      </c>
    </row>
    <row r="295" spans="1:58" ht="42" customHeight="1">
      <c r="A295" s="1"/>
      <c r="B295" s="1" t="s">
        <v>58</v>
      </c>
      <c r="C295" s="1" t="s">
        <v>59</v>
      </c>
      <c r="D295" s="1" t="s">
        <v>3541</v>
      </c>
      <c r="E295" s="1" t="s">
        <v>3542</v>
      </c>
      <c r="F295" s="1" t="s">
        <v>3543</v>
      </c>
      <c r="H295" s="2" t="s">
        <v>63</v>
      </c>
      <c r="I295" s="2" t="s">
        <v>64</v>
      </c>
      <c r="J295" s="2" t="s">
        <v>63</v>
      </c>
      <c r="K295" s="2" t="s">
        <v>63</v>
      </c>
      <c r="L295" s="2" t="s">
        <v>65</v>
      </c>
      <c r="N295" s="1" t="s">
        <v>3544</v>
      </c>
      <c r="O295" s="2" t="s">
        <v>435</v>
      </c>
      <c r="Q295" s="2" t="s">
        <v>70</v>
      </c>
      <c r="R295" s="2" t="s">
        <v>107</v>
      </c>
      <c r="S295" s="1" t="s">
        <v>3545</v>
      </c>
      <c r="T295" s="2" t="s">
        <v>73</v>
      </c>
      <c r="U295" s="3">
        <v>19</v>
      </c>
      <c r="V295" s="3">
        <v>19</v>
      </c>
      <c r="W295" s="4" t="s">
        <v>3546</v>
      </c>
      <c r="X295" s="4" t="s">
        <v>3546</v>
      </c>
      <c r="Y295" s="4" t="s">
        <v>2503</v>
      </c>
      <c r="Z295" s="4" t="s">
        <v>2503</v>
      </c>
      <c r="AA295" s="3">
        <v>101</v>
      </c>
      <c r="AB295" s="3">
        <v>72</v>
      </c>
      <c r="AC295" s="3">
        <v>72</v>
      </c>
      <c r="AD295" s="3">
        <v>1</v>
      </c>
      <c r="AE295" s="3">
        <v>1</v>
      </c>
      <c r="AF295" s="3">
        <v>1</v>
      </c>
      <c r="AG295" s="3">
        <v>1</v>
      </c>
      <c r="AH295" s="3">
        <v>0</v>
      </c>
      <c r="AI295" s="3">
        <v>0</v>
      </c>
      <c r="AJ295" s="3">
        <v>1</v>
      </c>
      <c r="AK295" s="3">
        <v>1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2" t="s">
        <v>63</v>
      </c>
      <c r="AS295" s="2" t="s">
        <v>63</v>
      </c>
      <c r="AU295" s="5" t="str">
        <f>HYPERLINK("https://creighton-primo.hosted.exlibrisgroup.com/primo-explore/search?tab=default_tab&amp;search_scope=EVERYTHING&amp;vid=01CRU&amp;lang=en_US&amp;offset=0&amp;query=any,contains,991001356559702656","Catalog Record")</f>
        <v>Catalog Record</v>
      </c>
      <c r="AV295" s="5" t="str">
        <f>HYPERLINK("http://www.worldcat.org/oclc/20265427","WorldCat Record")</f>
        <v>WorldCat Record</v>
      </c>
      <c r="AW295" s="2" t="s">
        <v>3547</v>
      </c>
      <c r="AX295" s="2" t="s">
        <v>3548</v>
      </c>
      <c r="AY295" s="2" t="s">
        <v>3549</v>
      </c>
      <c r="AZ295" s="2" t="s">
        <v>3549</v>
      </c>
      <c r="BA295" s="2" t="s">
        <v>3550</v>
      </c>
      <c r="BB295" s="2" t="s">
        <v>81</v>
      </c>
      <c r="BD295" s="2" t="s">
        <v>3551</v>
      </c>
      <c r="BE295" s="2" t="s">
        <v>3552</v>
      </c>
      <c r="BF295" s="2" t="s">
        <v>3553</v>
      </c>
    </row>
    <row r="296" spans="1:58" ht="42" customHeight="1">
      <c r="A296" s="1"/>
      <c r="B296" s="1" t="s">
        <v>58</v>
      </c>
      <c r="C296" s="1" t="s">
        <v>59</v>
      </c>
      <c r="D296" s="1" t="s">
        <v>3554</v>
      </c>
      <c r="E296" s="1" t="s">
        <v>3555</v>
      </c>
      <c r="F296" s="1" t="s">
        <v>3556</v>
      </c>
      <c r="H296" s="2" t="s">
        <v>63</v>
      </c>
      <c r="I296" s="2" t="s">
        <v>64</v>
      </c>
      <c r="J296" s="2" t="s">
        <v>63</v>
      </c>
      <c r="K296" s="2" t="s">
        <v>63</v>
      </c>
      <c r="L296" s="2" t="s">
        <v>65</v>
      </c>
      <c r="M296" s="1" t="s">
        <v>3557</v>
      </c>
      <c r="N296" s="1" t="s">
        <v>3558</v>
      </c>
      <c r="O296" s="2" t="s">
        <v>1659</v>
      </c>
      <c r="Q296" s="2" t="s">
        <v>70</v>
      </c>
      <c r="R296" s="2" t="s">
        <v>422</v>
      </c>
      <c r="T296" s="2" t="s">
        <v>73</v>
      </c>
      <c r="U296" s="3">
        <v>5</v>
      </c>
      <c r="V296" s="3">
        <v>5</v>
      </c>
      <c r="W296" s="4" t="s">
        <v>3432</v>
      </c>
      <c r="X296" s="4" t="s">
        <v>3432</v>
      </c>
      <c r="Y296" s="4" t="s">
        <v>3108</v>
      </c>
      <c r="Z296" s="4" t="s">
        <v>3108</v>
      </c>
      <c r="AA296" s="3">
        <v>124</v>
      </c>
      <c r="AB296" s="3">
        <v>93</v>
      </c>
      <c r="AC296" s="3">
        <v>270</v>
      </c>
      <c r="AD296" s="3">
        <v>1</v>
      </c>
      <c r="AE296" s="3">
        <v>3</v>
      </c>
      <c r="AF296" s="3">
        <v>4</v>
      </c>
      <c r="AG296" s="3">
        <v>8</v>
      </c>
      <c r="AH296" s="3">
        <v>1</v>
      </c>
      <c r="AI296" s="3">
        <v>2</v>
      </c>
      <c r="AJ296" s="3">
        <v>1</v>
      </c>
      <c r="AK296" s="3">
        <v>1</v>
      </c>
      <c r="AL296" s="3">
        <v>3</v>
      </c>
      <c r="AM296" s="3">
        <v>4</v>
      </c>
      <c r="AN296" s="3">
        <v>0</v>
      </c>
      <c r="AO296" s="3">
        <v>2</v>
      </c>
      <c r="AP296" s="3">
        <v>0</v>
      </c>
      <c r="AQ296" s="3">
        <v>0</v>
      </c>
      <c r="AR296" s="2" t="s">
        <v>63</v>
      </c>
      <c r="AS296" s="2" t="s">
        <v>76</v>
      </c>
      <c r="AT296" s="5" t="str">
        <f>HYPERLINK("http://catalog.hathitrust.org/Record/001553709","HathiTrust Record")</f>
        <v>HathiTrust Record</v>
      </c>
      <c r="AU296" s="5" t="str">
        <f>HYPERLINK("https://creighton-primo.hosted.exlibrisgroup.com/primo-explore/search?tab=default_tab&amp;search_scope=EVERYTHING&amp;vid=01CRU&amp;lang=en_US&amp;offset=0&amp;query=any,contains,991000976359702656","Catalog Record")</f>
        <v>Catalog Record</v>
      </c>
      <c r="AV296" s="5" t="str">
        <f>HYPERLINK("http://www.worldcat.org/oclc/443322","WorldCat Record")</f>
        <v>WorldCat Record</v>
      </c>
      <c r="AW296" s="2" t="s">
        <v>3559</v>
      </c>
      <c r="AX296" s="2" t="s">
        <v>3560</v>
      </c>
      <c r="AY296" s="2" t="s">
        <v>3561</v>
      </c>
      <c r="AZ296" s="2" t="s">
        <v>3561</v>
      </c>
      <c r="BA296" s="2" t="s">
        <v>3562</v>
      </c>
      <c r="BB296" s="2" t="s">
        <v>81</v>
      </c>
      <c r="BE296" s="2" t="s">
        <v>3563</v>
      </c>
      <c r="BF296" s="2" t="s">
        <v>3564</v>
      </c>
    </row>
    <row r="297" spans="1:58" ht="42" customHeight="1">
      <c r="A297" s="1"/>
      <c r="B297" s="1" t="s">
        <v>58</v>
      </c>
      <c r="C297" s="1" t="s">
        <v>59</v>
      </c>
      <c r="D297" s="1" t="s">
        <v>3565</v>
      </c>
      <c r="E297" s="1" t="s">
        <v>3566</v>
      </c>
      <c r="F297" s="1" t="s">
        <v>3567</v>
      </c>
      <c r="H297" s="2" t="s">
        <v>63</v>
      </c>
      <c r="I297" s="2" t="s">
        <v>64</v>
      </c>
      <c r="J297" s="2" t="s">
        <v>63</v>
      </c>
      <c r="K297" s="2" t="s">
        <v>63</v>
      </c>
      <c r="L297" s="2" t="s">
        <v>65</v>
      </c>
      <c r="M297" s="1" t="s">
        <v>3568</v>
      </c>
      <c r="N297" s="1" t="s">
        <v>3569</v>
      </c>
      <c r="O297" s="2" t="s">
        <v>3570</v>
      </c>
      <c r="Q297" s="2" t="s">
        <v>70</v>
      </c>
      <c r="R297" s="2" t="s">
        <v>422</v>
      </c>
      <c r="T297" s="2" t="s">
        <v>73</v>
      </c>
      <c r="U297" s="3">
        <v>4</v>
      </c>
      <c r="V297" s="3">
        <v>4</v>
      </c>
      <c r="W297" s="4" t="s">
        <v>3495</v>
      </c>
      <c r="X297" s="4" t="s">
        <v>3495</v>
      </c>
      <c r="Y297" s="4" t="s">
        <v>1258</v>
      </c>
      <c r="Z297" s="4" t="s">
        <v>1258</v>
      </c>
      <c r="AA297" s="3">
        <v>102</v>
      </c>
      <c r="AB297" s="3">
        <v>83</v>
      </c>
      <c r="AC297" s="3">
        <v>204</v>
      </c>
      <c r="AD297" s="3">
        <v>1</v>
      </c>
      <c r="AE297" s="3">
        <v>2</v>
      </c>
      <c r="AF297" s="3">
        <v>1</v>
      </c>
      <c r="AG297" s="3">
        <v>7</v>
      </c>
      <c r="AH297" s="3">
        <v>0</v>
      </c>
      <c r="AI297" s="3">
        <v>0</v>
      </c>
      <c r="AJ297" s="3">
        <v>1</v>
      </c>
      <c r="AK297" s="3">
        <v>2</v>
      </c>
      <c r="AL297" s="3">
        <v>0</v>
      </c>
      <c r="AM297" s="3">
        <v>5</v>
      </c>
      <c r="AN297" s="3">
        <v>0</v>
      </c>
      <c r="AO297" s="3">
        <v>1</v>
      </c>
      <c r="AP297" s="3">
        <v>0</v>
      </c>
      <c r="AQ297" s="3">
        <v>0</v>
      </c>
      <c r="AR297" s="2" t="s">
        <v>63</v>
      </c>
      <c r="AS297" s="2" t="s">
        <v>76</v>
      </c>
      <c r="AT297" s="5" t="str">
        <f>HYPERLINK("http://catalog.hathitrust.org/Record/001556610","HathiTrust Record")</f>
        <v>HathiTrust Record</v>
      </c>
      <c r="AU297" s="5" t="str">
        <f>HYPERLINK("https://creighton-primo.hosted.exlibrisgroup.com/primo-explore/search?tab=default_tab&amp;search_scope=EVERYTHING&amp;vid=01CRU&amp;lang=en_US&amp;offset=0&amp;query=any,contains,991000976399702656","Catalog Record")</f>
        <v>Catalog Record</v>
      </c>
      <c r="AV297" s="5" t="str">
        <f>HYPERLINK("http://www.worldcat.org/oclc/4871980","WorldCat Record")</f>
        <v>WorldCat Record</v>
      </c>
      <c r="AW297" s="2" t="s">
        <v>3571</v>
      </c>
      <c r="AX297" s="2" t="s">
        <v>3572</v>
      </c>
      <c r="AY297" s="2" t="s">
        <v>3573</v>
      </c>
      <c r="AZ297" s="2" t="s">
        <v>3573</v>
      </c>
      <c r="BA297" s="2" t="s">
        <v>3574</v>
      </c>
      <c r="BB297" s="2" t="s">
        <v>81</v>
      </c>
      <c r="BE297" s="2" t="s">
        <v>3575</v>
      </c>
      <c r="BF297" s="2" t="s">
        <v>3576</v>
      </c>
    </row>
    <row r="298" spans="1:58" ht="42" customHeight="1">
      <c r="A298" s="1"/>
      <c r="B298" s="1" t="s">
        <v>58</v>
      </c>
      <c r="C298" s="1" t="s">
        <v>59</v>
      </c>
      <c r="D298" s="1" t="s">
        <v>3577</v>
      </c>
      <c r="E298" s="1" t="s">
        <v>3578</v>
      </c>
      <c r="F298" s="1" t="s">
        <v>3579</v>
      </c>
      <c r="H298" s="2" t="s">
        <v>63</v>
      </c>
      <c r="I298" s="2" t="s">
        <v>64</v>
      </c>
      <c r="J298" s="2" t="s">
        <v>63</v>
      </c>
      <c r="K298" s="2" t="s">
        <v>63</v>
      </c>
      <c r="L298" s="2" t="s">
        <v>65</v>
      </c>
      <c r="N298" s="1" t="s">
        <v>3580</v>
      </c>
      <c r="O298" s="2" t="s">
        <v>878</v>
      </c>
      <c r="Q298" s="2" t="s">
        <v>70</v>
      </c>
      <c r="R298" s="2" t="s">
        <v>422</v>
      </c>
      <c r="T298" s="2" t="s">
        <v>73</v>
      </c>
      <c r="U298" s="3">
        <v>1</v>
      </c>
      <c r="V298" s="3">
        <v>1</v>
      </c>
      <c r="W298" s="4" t="s">
        <v>2237</v>
      </c>
      <c r="X298" s="4" t="s">
        <v>2237</v>
      </c>
      <c r="Y298" s="4" t="s">
        <v>2237</v>
      </c>
      <c r="Z298" s="4" t="s">
        <v>2237</v>
      </c>
      <c r="AA298" s="3">
        <v>127</v>
      </c>
      <c r="AB298" s="3">
        <v>103</v>
      </c>
      <c r="AC298" s="3">
        <v>133</v>
      </c>
      <c r="AD298" s="3">
        <v>1</v>
      </c>
      <c r="AE298" s="3">
        <v>1</v>
      </c>
      <c r="AF298" s="3">
        <v>3</v>
      </c>
      <c r="AG298" s="3">
        <v>3</v>
      </c>
      <c r="AH298" s="3">
        <v>0</v>
      </c>
      <c r="AI298" s="3">
        <v>0</v>
      </c>
      <c r="AJ298" s="3">
        <v>2</v>
      </c>
      <c r="AK298" s="3">
        <v>2</v>
      </c>
      <c r="AL298" s="3">
        <v>1</v>
      </c>
      <c r="AM298" s="3">
        <v>1</v>
      </c>
      <c r="AN298" s="3">
        <v>0</v>
      </c>
      <c r="AO298" s="3">
        <v>0</v>
      </c>
      <c r="AP298" s="3">
        <v>0</v>
      </c>
      <c r="AQ298" s="3">
        <v>0</v>
      </c>
      <c r="AR298" s="2" t="s">
        <v>63</v>
      </c>
      <c r="AS298" s="2" t="s">
        <v>63</v>
      </c>
      <c r="AU298" s="5" t="str">
        <f>HYPERLINK("https://creighton-primo.hosted.exlibrisgroup.com/primo-explore/search?tab=default_tab&amp;search_scope=EVERYTHING&amp;vid=01CRU&amp;lang=en_US&amp;offset=0&amp;query=any,contains,991001262959702656","Catalog Record")</f>
        <v>Catalog Record</v>
      </c>
      <c r="AV298" s="5" t="str">
        <f>HYPERLINK("http://www.worldcat.org/oclc/36127226","WorldCat Record")</f>
        <v>WorldCat Record</v>
      </c>
      <c r="AW298" s="2" t="s">
        <v>3581</v>
      </c>
      <c r="AX298" s="2" t="s">
        <v>3582</v>
      </c>
      <c r="AY298" s="2" t="s">
        <v>3583</v>
      </c>
      <c r="AZ298" s="2" t="s">
        <v>3583</v>
      </c>
      <c r="BA298" s="2" t="s">
        <v>3584</v>
      </c>
      <c r="BB298" s="2" t="s">
        <v>81</v>
      </c>
      <c r="BD298" s="2" t="s">
        <v>3585</v>
      </c>
      <c r="BE298" s="2" t="s">
        <v>3586</v>
      </c>
      <c r="BF298" s="2" t="s">
        <v>3587</v>
      </c>
    </row>
    <row r="299" spans="1:58" ht="42" customHeight="1">
      <c r="A299" s="1"/>
      <c r="B299" s="1" t="s">
        <v>58</v>
      </c>
      <c r="C299" s="1" t="s">
        <v>59</v>
      </c>
      <c r="D299" s="1" t="s">
        <v>3588</v>
      </c>
      <c r="E299" s="1" t="s">
        <v>3589</v>
      </c>
      <c r="F299" s="1" t="s">
        <v>3590</v>
      </c>
      <c r="H299" s="2" t="s">
        <v>63</v>
      </c>
      <c r="I299" s="2" t="s">
        <v>64</v>
      </c>
      <c r="J299" s="2" t="s">
        <v>63</v>
      </c>
      <c r="K299" s="2" t="s">
        <v>63</v>
      </c>
      <c r="L299" s="2" t="s">
        <v>65</v>
      </c>
      <c r="N299" s="1" t="s">
        <v>3591</v>
      </c>
      <c r="O299" s="2" t="s">
        <v>863</v>
      </c>
      <c r="Q299" s="2" t="s">
        <v>70</v>
      </c>
      <c r="R299" s="2" t="s">
        <v>422</v>
      </c>
      <c r="S299" s="1" t="s">
        <v>3592</v>
      </c>
      <c r="T299" s="2" t="s">
        <v>73</v>
      </c>
      <c r="U299" s="3">
        <v>2</v>
      </c>
      <c r="V299" s="3">
        <v>2</v>
      </c>
      <c r="W299" s="4" t="s">
        <v>3546</v>
      </c>
      <c r="X299" s="4" t="s">
        <v>3546</v>
      </c>
      <c r="Y299" s="4" t="s">
        <v>3593</v>
      </c>
      <c r="Z299" s="4" t="s">
        <v>3593</v>
      </c>
      <c r="AA299" s="3">
        <v>109</v>
      </c>
      <c r="AB299" s="3">
        <v>80</v>
      </c>
      <c r="AC299" s="3">
        <v>82</v>
      </c>
      <c r="AD299" s="3">
        <v>1</v>
      </c>
      <c r="AE299" s="3">
        <v>1</v>
      </c>
      <c r="AF299" s="3">
        <v>1</v>
      </c>
      <c r="AG299" s="3">
        <v>1</v>
      </c>
      <c r="AH299" s="3">
        <v>0</v>
      </c>
      <c r="AI299" s="3">
        <v>0</v>
      </c>
      <c r="AJ299" s="3">
        <v>1</v>
      </c>
      <c r="AK299" s="3">
        <v>1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2" t="s">
        <v>63</v>
      </c>
      <c r="AS299" s="2" t="s">
        <v>76</v>
      </c>
      <c r="AT299" s="5" t="str">
        <f>HYPERLINK("http://catalog.hathitrust.org/Record/000925349","HathiTrust Record")</f>
        <v>HathiTrust Record</v>
      </c>
      <c r="AU299" s="5" t="str">
        <f>HYPERLINK("https://creighton-primo.hosted.exlibrisgroup.com/primo-explore/search?tab=default_tab&amp;search_scope=EVERYTHING&amp;vid=01CRU&amp;lang=en_US&amp;offset=0&amp;query=any,contains,991001111209702656","Catalog Record")</f>
        <v>Catalog Record</v>
      </c>
      <c r="AV299" s="5" t="str">
        <f>HYPERLINK("http://www.worldcat.org/oclc/17549105","WorldCat Record")</f>
        <v>WorldCat Record</v>
      </c>
      <c r="AW299" s="2" t="s">
        <v>3594</v>
      </c>
      <c r="AX299" s="2" t="s">
        <v>3595</v>
      </c>
      <c r="AY299" s="2" t="s">
        <v>3596</v>
      </c>
      <c r="AZ299" s="2" t="s">
        <v>3596</v>
      </c>
      <c r="BA299" s="2" t="s">
        <v>3597</v>
      </c>
      <c r="BB299" s="2" t="s">
        <v>81</v>
      </c>
      <c r="BD299" s="2" t="s">
        <v>3598</v>
      </c>
      <c r="BE299" s="2" t="s">
        <v>3599</v>
      </c>
      <c r="BF299" s="2" t="s">
        <v>3600</v>
      </c>
    </row>
    <row r="300" spans="1:58" ht="42" customHeight="1">
      <c r="A300" s="1"/>
      <c r="B300" s="1" t="s">
        <v>58</v>
      </c>
      <c r="C300" s="1" t="s">
        <v>59</v>
      </c>
      <c r="D300" s="1" t="s">
        <v>3601</v>
      </c>
      <c r="E300" s="1" t="s">
        <v>3602</v>
      </c>
      <c r="F300" s="1" t="s">
        <v>3603</v>
      </c>
      <c r="H300" s="2" t="s">
        <v>63</v>
      </c>
      <c r="I300" s="2" t="s">
        <v>64</v>
      </c>
      <c r="J300" s="2" t="s">
        <v>63</v>
      </c>
      <c r="K300" s="2" t="s">
        <v>63</v>
      </c>
      <c r="L300" s="2" t="s">
        <v>64</v>
      </c>
      <c r="M300" s="1" t="s">
        <v>3604</v>
      </c>
      <c r="N300" s="1" t="s">
        <v>3605</v>
      </c>
      <c r="O300" s="2" t="s">
        <v>449</v>
      </c>
      <c r="P300" s="1" t="s">
        <v>231</v>
      </c>
      <c r="Q300" s="2" t="s">
        <v>70</v>
      </c>
      <c r="R300" s="2" t="s">
        <v>509</v>
      </c>
      <c r="T300" s="2" t="s">
        <v>73</v>
      </c>
      <c r="U300" s="3">
        <v>18</v>
      </c>
      <c r="V300" s="3">
        <v>18</v>
      </c>
      <c r="W300" s="4" t="s">
        <v>3606</v>
      </c>
      <c r="X300" s="4" t="s">
        <v>3606</v>
      </c>
      <c r="Y300" s="4" t="s">
        <v>3108</v>
      </c>
      <c r="Z300" s="4" t="s">
        <v>3108</v>
      </c>
      <c r="AA300" s="3">
        <v>403</v>
      </c>
      <c r="AB300" s="3">
        <v>263</v>
      </c>
      <c r="AC300" s="3">
        <v>1152</v>
      </c>
      <c r="AD300" s="3">
        <v>1</v>
      </c>
      <c r="AE300" s="3">
        <v>14</v>
      </c>
      <c r="AF300" s="3">
        <v>5</v>
      </c>
      <c r="AG300" s="3">
        <v>39</v>
      </c>
      <c r="AH300" s="3">
        <v>1</v>
      </c>
      <c r="AI300" s="3">
        <v>11</v>
      </c>
      <c r="AJ300" s="3">
        <v>3</v>
      </c>
      <c r="AK300" s="3">
        <v>9</v>
      </c>
      <c r="AL300" s="3">
        <v>2</v>
      </c>
      <c r="AM300" s="3">
        <v>14</v>
      </c>
      <c r="AN300" s="3">
        <v>0</v>
      </c>
      <c r="AO300" s="3">
        <v>12</v>
      </c>
      <c r="AP300" s="3">
        <v>0</v>
      </c>
      <c r="AQ300" s="3">
        <v>1</v>
      </c>
      <c r="AR300" s="2" t="s">
        <v>63</v>
      </c>
      <c r="AS300" s="2" t="s">
        <v>63</v>
      </c>
      <c r="AU300" s="5" t="str">
        <f>HYPERLINK("https://creighton-primo.hosted.exlibrisgroup.com/primo-explore/search?tab=default_tab&amp;search_scope=EVERYTHING&amp;vid=01CRU&amp;lang=en_US&amp;offset=0&amp;query=any,contains,991001267189702656","Catalog Record")</f>
        <v>Catalog Record</v>
      </c>
      <c r="AV300" s="5" t="str">
        <f>HYPERLINK("http://www.worldcat.org/oclc/15795770","WorldCat Record")</f>
        <v>WorldCat Record</v>
      </c>
      <c r="AW300" s="2" t="s">
        <v>3607</v>
      </c>
      <c r="AX300" s="2" t="s">
        <v>3608</v>
      </c>
      <c r="AY300" s="2" t="s">
        <v>3609</v>
      </c>
      <c r="AZ300" s="2" t="s">
        <v>3609</v>
      </c>
      <c r="BA300" s="2" t="s">
        <v>3610</v>
      </c>
      <c r="BB300" s="2" t="s">
        <v>81</v>
      </c>
      <c r="BD300" s="2" t="s">
        <v>3611</v>
      </c>
      <c r="BE300" s="2" t="s">
        <v>3612</v>
      </c>
      <c r="BF300" s="2" t="s">
        <v>3613</v>
      </c>
    </row>
    <row r="301" spans="1:58" ht="42" customHeight="1">
      <c r="A301" s="1"/>
      <c r="B301" s="1" t="s">
        <v>58</v>
      </c>
      <c r="C301" s="1" t="s">
        <v>59</v>
      </c>
      <c r="D301" s="1" t="s">
        <v>3614</v>
      </c>
      <c r="E301" s="1" t="s">
        <v>3615</v>
      </c>
      <c r="F301" s="1" t="s">
        <v>3616</v>
      </c>
      <c r="H301" s="2" t="s">
        <v>63</v>
      </c>
      <c r="I301" s="2" t="s">
        <v>64</v>
      </c>
      <c r="J301" s="2" t="s">
        <v>63</v>
      </c>
      <c r="K301" s="2" t="s">
        <v>63</v>
      </c>
      <c r="L301" s="2" t="s">
        <v>65</v>
      </c>
      <c r="M301" s="1" t="s">
        <v>3617</v>
      </c>
      <c r="N301" s="1" t="s">
        <v>3618</v>
      </c>
      <c r="O301" s="2" t="s">
        <v>713</v>
      </c>
      <c r="Q301" s="2" t="s">
        <v>70</v>
      </c>
      <c r="R301" s="2" t="s">
        <v>1310</v>
      </c>
      <c r="T301" s="2" t="s">
        <v>73</v>
      </c>
      <c r="U301" s="3">
        <v>1</v>
      </c>
      <c r="V301" s="3">
        <v>1</v>
      </c>
      <c r="W301" s="4" t="s">
        <v>3619</v>
      </c>
      <c r="X301" s="4" t="s">
        <v>3619</v>
      </c>
      <c r="Y301" s="4" t="s">
        <v>3620</v>
      </c>
      <c r="Z301" s="4" t="s">
        <v>3620</v>
      </c>
      <c r="AA301" s="3">
        <v>298</v>
      </c>
      <c r="AB301" s="3">
        <v>223</v>
      </c>
      <c r="AC301" s="3">
        <v>240</v>
      </c>
      <c r="AD301" s="3">
        <v>1</v>
      </c>
      <c r="AE301" s="3">
        <v>1</v>
      </c>
      <c r="AF301" s="3">
        <v>7</v>
      </c>
      <c r="AG301" s="3">
        <v>7</v>
      </c>
      <c r="AH301" s="3">
        <v>2</v>
      </c>
      <c r="AI301" s="3">
        <v>2</v>
      </c>
      <c r="AJ301" s="3">
        <v>4</v>
      </c>
      <c r="AK301" s="3">
        <v>4</v>
      </c>
      <c r="AL301" s="3">
        <v>4</v>
      </c>
      <c r="AM301" s="3">
        <v>4</v>
      </c>
      <c r="AN301" s="3">
        <v>0</v>
      </c>
      <c r="AO301" s="3">
        <v>0</v>
      </c>
      <c r="AP301" s="3">
        <v>0</v>
      </c>
      <c r="AQ301" s="3">
        <v>0</v>
      </c>
      <c r="AR301" s="2" t="s">
        <v>63</v>
      </c>
      <c r="AS301" s="2" t="s">
        <v>63</v>
      </c>
      <c r="AU301" s="5" t="str">
        <f>HYPERLINK("https://creighton-primo.hosted.exlibrisgroup.com/primo-explore/search?tab=default_tab&amp;search_scope=EVERYTHING&amp;vid=01CRU&amp;lang=en_US&amp;offset=0&amp;query=any,contains,991000833709702656","Catalog Record")</f>
        <v>Catalog Record</v>
      </c>
      <c r="AV301" s="5" t="str">
        <f>HYPERLINK("http://www.worldcat.org/oclc/13947311","WorldCat Record")</f>
        <v>WorldCat Record</v>
      </c>
      <c r="AW301" s="2" t="s">
        <v>3621</v>
      </c>
      <c r="AX301" s="2" t="s">
        <v>3622</v>
      </c>
      <c r="AY301" s="2" t="s">
        <v>3623</v>
      </c>
      <c r="AZ301" s="2" t="s">
        <v>3623</v>
      </c>
      <c r="BA301" s="2" t="s">
        <v>3624</v>
      </c>
      <c r="BB301" s="2" t="s">
        <v>81</v>
      </c>
      <c r="BD301" s="2" t="s">
        <v>3625</v>
      </c>
      <c r="BE301" s="2" t="s">
        <v>3626</v>
      </c>
      <c r="BF301" s="2" t="s">
        <v>3627</v>
      </c>
    </row>
    <row r="302" spans="1:58" ht="42" customHeight="1">
      <c r="A302" s="1"/>
      <c r="B302" s="1" t="s">
        <v>58</v>
      </c>
      <c r="C302" s="1" t="s">
        <v>59</v>
      </c>
      <c r="D302" s="1" t="s">
        <v>3628</v>
      </c>
      <c r="E302" s="1" t="s">
        <v>3629</v>
      </c>
      <c r="F302" s="1" t="s">
        <v>3630</v>
      </c>
      <c r="H302" s="2" t="s">
        <v>63</v>
      </c>
      <c r="I302" s="2" t="s">
        <v>64</v>
      </c>
      <c r="J302" s="2" t="s">
        <v>63</v>
      </c>
      <c r="K302" s="2" t="s">
        <v>63</v>
      </c>
      <c r="L302" s="2" t="s">
        <v>65</v>
      </c>
      <c r="M302" s="1" t="s">
        <v>3631</v>
      </c>
      <c r="N302" s="1" t="s">
        <v>3632</v>
      </c>
      <c r="O302" s="2" t="s">
        <v>314</v>
      </c>
      <c r="Q302" s="2" t="s">
        <v>70</v>
      </c>
      <c r="R302" s="2" t="s">
        <v>509</v>
      </c>
      <c r="T302" s="2" t="s">
        <v>73</v>
      </c>
      <c r="U302" s="3">
        <v>6</v>
      </c>
      <c r="V302" s="3">
        <v>6</v>
      </c>
      <c r="W302" s="4" t="s">
        <v>3633</v>
      </c>
      <c r="X302" s="4" t="s">
        <v>3633</v>
      </c>
      <c r="Y302" s="4" t="s">
        <v>1454</v>
      </c>
      <c r="Z302" s="4" t="s">
        <v>1454</v>
      </c>
      <c r="AA302" s="3">
        <v>131</v>
      </c>
      <c r="AB302" s="3">
        <v>92</v>
      </c>
      <c r="AC302" s="3">
        <v>169</v>
      </c>
      <c r="AD302" s="3">
        <v>1</v>
      </c>
      <c r="AE302" s="3">
        <v>1</v>
      </c>
      <c r="AF302" s="3">
        <v>1</v>
      </c>
      <c r="AG302" s="3">
        <v>2</v>
      </c>
      <c r="AH302" s="3">
        <v>0</v>
      </c>
      <c r="AI302" s="3">
        <v>0</v>
      </c>
      <c r="AJ302" s="3">
        <v>1</v>
      </c>
      <c r="AK302" s="3">
        <v>2</v>
      </c>
      <c r="AL302" s="3">
        <v>0</v>
      </c>
      <c r="AM302" s="3">
        <v>1</v>
      </c>
      <c r="AN302" s="3">
        <v>0</v>
      </c>
      <c r="AO302" s="3">
        <v>0</v>
      </c>
      <c r="AP302" s="3">
        <v>0</v>
      </c>
      <c r="AQ302" s="3">
        <v>0</v>
      </c>
      <c r="AR302" s="2" t="s">
        <v>63</v>
      </c>
      <c r="AS302" s="2" t="s">
        <v>63</v>
      </c>
      <c r="AU302" s="5" t="str">
        <f>HYPERLINK("https://creighton-primo.hosted.exlibrisgroup.com/primo-explore/search?tab=default_tab&amp;search_scope=EVERYTHING&amp;vid=01CRU&amp;lang=en_US&amp;offset=0&amp;query=any,contains,991000795029702656","Catalog Record")</f>
        <v>Catalog Record</v>
      </c>
      <c r="AV302" s="5" t="str">
        <f>HYPERLINK("http://www.worldcat.org/oclc/40499429","WorldCat Record")</f>
        <v>WorldCat Record</v>
      </c>
      <c r="AW302" s="2" t="s">
        <v>3634</v>
      </c>
      <c r="AX302" s="2" t="s">
        <v>3635</v>
      </c>
      <c r="AY302" s="2" t="s">
        <v>3636</v>
      </c>
      <c r="AZ302" s="2" t="s">
        <v>3636</v>
      </c>
      <c r="BA302" s="2" t="s">
        <v>3637</v>
      </c>
      <c r="BB302" s="2" t="s">
        <v>81</v>
      </c>
      <c r="BD302" s="2" t="s">
        <v>3638</v>
      </c>
      <c r="BE302" s="2" t="s">
        <v>3639</v>
      </c>
      <c r="BF302" s="2" t="s">
        <v>3640</v>
      </c>
    </row>
    <row r="303" spans="1:58" ht="42" customHeight="1">
      <c r="A303" s="1"/>
      <c r="B303" s="1" t="s">
        <v>58</v>
      </c>
      <c r="C303" s="1" t="s">
        <v>59</v>
      </c>
      <c r="D303" s="1" t="s">
        <v>3641</v>
      </c>
      <c r="E303" s="1" t="s">
        <v>3642</v>
      </c>
      <c r="F303" s="1" t="s">
        <v>3643</v>
      </c>
      <c r="H303" s="2" t="s">
        <v>63</v>
      </c>
      <c r="I303" s="2" t="s">
        <v>64</v>
      </c>
      <c r="J303" s="2" t="s">
        <v>63</v>
      </c>
      <c r="K303" s="2" t="s">
        <v>63</v>
      </c>
      <c r="L303" s="2" t="s">
        <v>65</v>
      </c>
      <c r="N303" s="1" t="s">
        <v>3644</v>
      </c>
      <c r="O303" s="2" t="s">
        <v>136</v>
      </c>
      <c r="Q303" s="2" t="s">
        <v>70</v>
      </c>
      <c r="R303" s="2" t="s">
        <v>509</v>
      </c>
      <c r="T303" s="2" t="s">
        <v>73</v>
      </c>
      <c r="U303" s="3">
        <v>2</v>
      </c>
      <c r="V303" s="3">
        <v>2</v>
      </c>
      <c r="W303" s="4" t="s">
        <v>3645</v>
      </c>
      <c r="X303" s="4" t="s">
        <v>3645</v>
      </c>
      <c r="Y303" s="4" t="s">
        <v>3108</v>
      </c>
      <c r="Z303" s="4" t="s">
        <v>3108</v>
      </c>
      <c r="AA303" s="3">
        <v>148</v>
      </c>
      <c r="AB303" s="3">
        <v>105</v>
      </c>
      <c r="AC303" s="3">
        <v>222</v>
      </c>
      <c r="AD303" s="3">
        <v>2</v>
      </c>
      <c r="AE303" s="3">
        <v>2</v>
      </c>
      <c r="AF303" s="3">
        <v>5</v>
      </c>
      <c r="AG303" s="3">
        <v>13</v>
      </c>
      <c r="AH303" s="3">
        <v>0</v>
      </c>
      <c r="AI303" s="3">
        <v>5</v>
      </c>
      <c r="AJ303" s="3">
        <v>4</v>
      </c>
      <c r="AK303" s="3">
        <v>6</v>
      </c>
      <c r="AL303" s="3">
        <v>2</v>
      </c>
      <c r="AM303" s="3">
        <v>7</v>
      </c>
      <c r="AN303" s="3">
        <v>1</v>
      </c>
      <c r="AO303" s="3">
        <v>1</v>
      </c>
      <c r="AP303" s="3">
        <v>0</v>
      </c>
      <c r="AQ303" s="3">
        <v>0</v>
      </c>
      <c r="AR303" s="2" t="s">
        <v>63</v>
      </c>
      <c r="AS303" s="2" t="s">
        <v>76</v>
      </c>
      <c r="AT303" s="5" t="str">
        <f>HYPERLINK("http://catalog.hathitrust.org/Record/004421382","HathiTrust Record")</f>
        <v>HathiTrust Record</v>
      </c>
      <c r="AU303" s="5" t="str">
        <f>HYPERLINK("https://creighton-primo.hosted.exlibrisgroup.com/primo-explore/search?tab=default_tab&amp;search_scope=EVERYTHING&amp;vid=01CRU&amp;lang=en_US&amp;offset=0&amp;query=any,contains,991000976489702656","Catalog Record")</f>
        <v>Catalog Record</v>
      </c>
      <c r="AV303" s="5" t="str">
        <f>HYPERLINK("http://www.worldcat.org/oclc/8284716","WorldCat Record")</f>
        <v>WorldCat Record</v>
      </c>
      <c r="AW303" s="2" t="s">
        <v>3646</v>
      </c>
      <c r="AX303" s="2" t="s">
        <v>3647</v>
      </c>
      <c r="AY303" s="2" t="s">
        <v>3648</v>
      </c>
      <c r="AZ303" s="2" t="s">
        <v>3648</v>
      </c>
      <c r="BA303" s="2" t="s">
        <v>3649</v>
      </c>
      <c r="BB303" s="2" t="s">
        <v>81</v>
      </c>
      <c r="BD303" s="2" t="s">
        <v>3650</v>
      </c>
      <c r="BE303" s="2" t="s">
        <v>3651</v>
      </c>
      <c r="BF303" s="2" t="s">
        <v>3652</v>
      </c>
    </row>
    <row r="304" spans="1:58" ht="42" customHeight="1">
      <c r="A304" s="1"/>
      <c r="B304" s="1" t="s">
        <v>58</v>
      </c>
      <c r="C304" s="1" t="s">
        <v>59</v>
      </c>
      <c r="D304" s="1" t="s">
        <v>3653</v>
      </c>
      <c r="E304" s="1" t="s">
        <v>3654</v>
      </c>
      <c r="F304" s="1" t="s">
        <v>3655</v>
      </c>
      <c r="H304" s="2" t="s">
        <v>63</v>
      </c>
      <c r="I304" s="2" t="s">
        <v>64</v>
      </c>
      <c r="J304" s="2" t="s">
        <v>63</v>
      </c>
      <c r="K304" s="2" t="s">
        <v>63</v>
      </c>
      <c r="L304" s="2" t="s">
        <v>65</v>
      </c>
      <c r="M304" s="1" t="s">
        <v>3656</v>
      </c>
      <c r="N304" s="1" t="s">
        <v>3657</v>
      </c>
      <c r="O304" s="2" t="s">
        <v>1935</v>
      </c>
      <c r="Q304" s="2" t="s">
        <v>70</v>
      </c>
      <c r="R304" s="2" t="s">
        <v>729</v>
      </c>
      <c r="T304" s="2" t="s">
        <v>73</v>
      </c>
      <c r="U304" s="3">
        <v>3</v>
      </c>
      <c r="V304" s="3">
        <v>3</v>
      </c>
      <c r="W304" s="4" t="s">
        <v>2212</v>
      </c>
      <c r="X304" s="4" t="s">
        <v>2212</v>
      </c>
      <c r="Y304" s="4" t="s">
        <v>3108</v>
      </c>
      <c r="Z304" s="4" t="s">
        <v>3108</v>
      </c>
      <c r="AA304" s="3">
        <v>216</v>
      </c>
      <c r="AB304" s="3">
        <v>163</v>
      </c>
      <c r="AC304" s="3">
        <v>164</v>
      </c>
      <c r="AD304" s="3">
        <v>3</v>
      </c>
      <c r="AE304" s="3">
        <v>3</v>
      </c>
      <c r="AF304" s="3">
        <v>5</v>
      </c>
      <c r="AG304" s="3">
        <v>5</v>
      </c>
      <c r="AH304" s="3">
        <v>0</v>
      </c>
      <c r="AI304" s="3">
        <v>0</v>
      </c>
      <c r="AJ304" s="3">
        <v>1</v>
      </c>
      <c r="AK304" s="3">
        <v>1</v>
      </c>
      <c r="AL304" s="3">
        <v>2</v>
      </c>
      <c r="AM304" s="3">
        <v>2</v>
      </c>
      <c r="AN304" s="3">
        <v>2</v>
      </c>
      <c r="AO304" s="3">
        <v>2</v>
      </c>
      <c r="AP304" s="3">
        <v>0</v>
      </c>
      <c r="AQ304" s="3">
        <v>0</v>
      </c>
      <c r="AR304" s="2" t="s">
        <v>63</v>
      </c>
      <c r="AS304" s="2" t="s">
        <v>76</v>
      </c>
      <c r="AT304" s="5" t="str">
        <f>HYPERLINK("http://catalog.hathitrust.org/Record/000137210","HathiTrust Record")</f>
        <v>HathiTrust Record</v>
      </c>
      <c r="AU304" s="5" t="str">
        <f>HYPERLINK("https://creighton-primo.hosted.exlibrisgroup.com/primo-explore/search?tab=default_tab&amp;search_scope=EVERYTHING&amp;vid=01CRU&amp;lang=en_US&amp;offset=0&amp;query=any,contains,991000976529702656","Catalog Record")</f>
        <v>Catalog Record</v>
      </c>
      <c r="AV304" s="5" t="str">
        <f>HYPERLINK("http://www.worldcat.org/oclc/3892980","WorldCat Record")</f>
        <v>WorldCat Record</v>
      </c>
      <c r="AW304" s="2" t="s">
        <v>3658</v>
      </c>
      <c r="AX304" s="2" t="s">
        <v>3659</v>
      </c>
      <c r="AY304" s="2" t="s">
        <v>3660</v>
      </c>
      <c r="AZ304" s="2" t="s">
        <v>3660</v>
      </c>
      <c r="BA304" s="2" t="s">
        <v>3661</v>
      </c>
      <c r="BB304" s="2" t="s">
        <v>81</v>
      </c>
      <c r="BD304" s="2" t="s">
        <v>3662</v>
      </c>
      <c r="BE304" s="2" t="s">
        <v>3663</v>
      </c>
      <c r="BF304" s="2" t="s">
        <v>3664</v>
      </c>
    </row>
    <row r="305" spans="1:58" ht="42" customHeight="1">
      <c r="A305" s="1"/>
      <c r="B305" s="1" t="s">
        <v>58</v>
      </c>
      <c r="C305" s="1" t="s">
        <v>59</v>
      </c>
      <c r="D305" s="1" t="s">
        <v>3665</v>
      </c>
      <c r="E305" s="1" t="s">
        <v>3666</v>
      </c>
      <c r="F305" s="1" t="s">
        <v>3667</v>
      </c>
      <c r="H305" s="2" t="s">
        <v>63</v>
      </c>
      <c r="I305" s="2" t="s">
        <v>64</v>
      </c>
      <c r="J305" s="2" t="s">
        <v>63</v>
      </c>
      <c r="K305" s="2" t="s">
        <v>63</v>
      </c>
      <c r="L305" s="2" t="s">
        <v>65</v>
      </c>
      <c r="N305" s="1" t="s">
        <v>3668</v>
      </c>
      <c r="O305" s="2" t="s">
        <v>3669</v>
      </c>
      <c r="Q305" s="2" t="s">
        <v>70</v>
      </c>
      <c r="R305" s="2" t="s">
        <v>422</v>
      </c>
      <c r="S305" s="1" t="s">
        <v>2765</v>
      </c>
      <c r="T305" s="2" t="s">
        <v>73</v>
      </c>
      <c r="U305" s="3">
        <v>5</v>
      </c>
      <c r="V305" s="3">
        <v>5</v>
      </c>
      <c r="W305" s="4" t="s">
        <v>3670</v>
      </c>
      <c r="X305" s="4" t="s">
        <v>3670</v>
      </c>
      <c r="Y305" s="4" t="s">
        <v>1258</v>
      </c>
      <c r="Z305" s="4" t="s">
        <v>1258</v>
      </c>
      <c r="AA305" s="3">
        <v>243</v>
      </c>
      <c r="AB305" s="3">
        <v>181</v>
      </c>
      <c r="AC305" s="3">
        <v>183</v>
      </c>
      <c r="AD305" s="3">
        <v>1</v>
      </c>
      <c r="AE305" s="3">
        <v>1</v>
      </c>
      <c r="AF305" s="3">
        <v>4</v>
      </c>
      <c r="AG305" s="3">
        <v>4</v>
      </c>
      <c r="AH305" s="3">
        <v>2</v>
      </c>
      <c r="AI305" s="3">
        <v>2</v>
      </c>
      <c r="AJ305" s="3">
        <v>1</v>
      </c>
      <c r="AK305" s="3">
        <v>1</v>
      </c>
      <c r="AL305" s="3">
        <v>4</v>
      </c>
      <c r="AM305" s="3">
        <v>4</v>
      </c>
      <c r="AN305" s="3">
        <v>0</v>
      </c>
      <c r="AO305" s="3">
        <v>0</v>
      </c>
      <c r="AP305" s="3">
        <v>0</v>
      </c>
      <c r="AQ305" s="3">
        <v>0</v>
      </c>
      <c r="AR305" s="2" t="s">
        <v>63</v>
      </c>
      <c r="AS305" s="2" t="s">
        <v>76</v>
      </c>
      <c r="AT305" s="5" t="str">
        <f>HYPERLINK("http://catalog.hathitrust.org/Record/000728152","HathiTrust Record")</f>
        <v>HathiTrust Record</v>
      </c>
      <c r="AU305" s="5" t="str">
        <f>HYPERLINK("https://creighton-primo.hosted.exlibrisgroup.com/primo-explore/search?tab=default_tab&amp;search_scope=EVERYTHING&amp;vid=01CRU&amp;lang=en_US&amp;offset=0&amp;query=any,contains,991000976589702656","Catalog Record")</f>
        <v>Catalog Record</v>
      </c>
      <c r="AV305" s="5" t="str">
        <f>HYPERLINK("http://www.worldcat.org/oclc/2091664","WorldCat Record")</f>
        <v>WorldCat Record</v>
      </c>
      <c r="AW305" s="2" t="s">
        <v>3671</v>
      </c>
      <c r="AX305" s="2" t="s">
        <v>3672</v>
      </c>
      <c r="AY305" s="2" t="s">
        <v>3673</v>
      </c>
      <c r="AZ305" s="2" t="s">
        <v>3673</v>
      </c>
      <c r="BA305" s="2" t="s">
        <v>3674</v>
      </c>
      <c r="BB305" s="2" t="s">
        <v>81</v>
      </c>
      <c r="BD305" s="2" t="s">
        <v>3675</v>
      </c>
      <c r="BE305" s="2" t="s">
        <v>3676</v>
      </c>
      <c r="BF305" s="2" t="s">
        <v>3677</v>
      </c>
    </row>
    <row r="306" spans="1:58" ht="42" customHeight="1">
      <c r="A306" s="1"/>
      <c r="B306" s="1" t="s">
        <v>58</v>
      </c>
      <c r="C306" s="1" t="s">
        <v>59</v>
      </c>
      <c r="D306" s="1" t="s">
        <v>3678</v>
      </c>
      <c r="E306" s="1" t="s">
        <v>3679</v>
      </c>
      <c r="F306" s="1" t="s">
        <v>3680</v>
      </c>
      <c r="G306" s="2" t="s">
        <v>617</v>
      </c>
      <c r="H306" s="2" t="s">
        <v>76</v>
      </c>
      <c r="I306" s="2" t="s">
        <v>64</v>
      </c>
      <c r="J306" s="2" t="s">
        <v>63</v>
      </c>
      <c r="K306" s="2" t="s">
        <v>63</v>
      </c>
      <c r="L306" s="2" t="s">
        <v>65</v>
      </c>
      <c r="N306" s="1" t="s">
        <v>3681</v>
      </c>
      <c r="O306" s="2" t="s">
        <v>3682</v>
      </c>
      <c r="Q306" s="2" t="s">
        <v>70</v>
      </c>
      <c r="R306" s="2" t="s">
        <v>422</v>
      </c>
      <c r="T306" s="2" t="s">
        <v>73</v>
      </c>
      <c r="U306" s="3">
        <v>0</v>
      </c>
      <c r="V306" s="3">
        <v>16</v>
      </c>
      <c r="X306" s="4" t="s">
        <v>2261</v>
      </c>
      <c r="Y306" s="4" t="s">
        <v>3683</v>
      </c>
      <c r="Z306" s="4" t="s">
        <v>3683</v>
      </c>
      <c r="AA306" s="3">
        <v>553</v>
      </c>
      <c r="AB306" s="3">
        <v>438</v>
      </c>
      <c r="AC306" s="3">
        <v>440</v>
      </c>
      <c r="AD306" s="3">
        <v>3</v>
      </c>
      <c r="AE306" s="3">
        <v>3</v>
      </c>
      <c r="AF306" s="3">
        <v>14</v>
      </c>
      <c r="AG306" s="3">
        <v>14</v>
      </c>
      <c r="AH306" s="3">
        <v>3</v>
      </c>
      <c r="AI306" s="3">
        <v>3</v>
      </c>
      <c r="AJ306" s="3">
        <v>4</v>
      </c>
      <c r="AK306" s="3">
        <v>4</v>
      </c>
      <c r="AL306" s="3">
        <v>9</v>
      </c>
      <c r="AM306" s="3">
        <v>9</v>
      </c>
      <c r="AN306" s="3">
        <v>2</v>
      </c>
      <c r="AO306" s="3">
        <v>2</v>
      </c>
      <c r="AP306" s="3">
        <v>0</v>
      </c>
      <c r="AQ306" s="3">
        <v>0</v>
      </c>
      <c r="AR306" s="2" t="s">
        <v>63</v>
      </c>
      <c r="AS306" s="2" t="s">
        <v>76</v>
      </c>
      <c r="AT306" s="5" t="str">
        <f>HYPERLINK("http://catalog.hathitrust.org/Record/001555637","HathiTrust Record")</f>
        <v>HathiTrust Record</v>
      </c>
      <c r="AU306" s="5" t="str">
        <f>HYPERLINK("https://creighton-primo.hosted.exlibrisgroup.com/primo-explore/search?tab=default_tab&amp;search_scope=EVERYTHING&amp;vid=01CRU&amp;lang=en_US&amp;offset=0&amp;query=any,contains,991000963519702656","Catalog Record")</f>
        <v>Catalog Record</v>
      </c>
      <c r="AV306" s="5" t="str">
        <f>HYPERLINK("http://www.worldcat.org/oclc/77896","WorldCat Record")</f>
        <v>WorldCat Record</v>
      </c>
      <c r="AW306" s="2" t="s">
        <v>3684</v>
      </c>
      <c r="AX306" s="2" t="s">
        <v>3685</v>
      </c>
      <c r="AY306" s="2" t="s">
        <v>3686</v>
      </c>
      <c r="AZ306" s="2" t="s">
        <v>3686</v>
      </c>
      <c r="BA306" s="2" t="s">
        <v>3687</v>
      </c>
      <c r="BB306" s="2" t="s">
        <v>81</v>
      </c>
      <c r="BE306" s="2" t="s">
        <v>3688</v>
      </c>
      <c r="BF306" s="2" t="s">
        <v>3689</v>
      </c>
    </row>
    <row r="307" spans="1:58" ht="42" customHeight="1">
      <c r="A307" s="1"/>
      <c r="B307" s="1" t="s">
        <v>58</v>
      </c>
      <c r="C307" s="1" t="s">
        <v>59</v>
      </c>
      <c r="D307" s="1" t="s">
        <v>3678</v>
      </c>
      <c r="E307" s="1" t="s">
        <v>3679</v>
      </c>
      <c r="F307" s="1" t="s">
        <v>3680</v>
      </c>
      <c r="G307" s="2" t="s">
        <v>3690</v>
      </c>
      <c r="H307" s="2" t="s">
        <v>76</v>
      </c>
      <c r="I307" s="2" t="s">
        <v>64</v>
      </c>
      <c r="J307" s="2" t="s">
        <v>63</v>
      </c>
      <c r="K307" s="2" t="s">
        <v>63</v>
      </c>
      <c r="L307" s="2" t="s">
        <v>65</v>
      </c>
      <c r="N307" s="1" t="s">
        <v>3681</v>
      </c>
      <c r="O307" s="2" t="s">
        <v>3682</v>
      </c>
      <c r="Q307" s="2" t="s">
        <v>70</v>
      </c>
      <c r="R307" s="2" t="s">
        <v>422</v>
      </c>
      <c r="T307" s="2" t="s">
        <v>73</v>
      </c>
      <c r="U307" s="3">
        <v>5</v>
      </c>
      <c r="V307" s="3">
        <v>16</v>
      </c>
      <c r="W307" s="4" t="s">
        <v>3670</v>
      </c>
      <c r="X307" s="4" t="s">
        <v>2261</v>
      </c>
      <c r="Y307" s="4" t="s">
        <v>3683</v>
      </c>
      <c r="Z307" s="4" t="s">
        <v>3683</v>
      </c>
      <c r="AA307" s="3">
        <v>553</v>
      </c>
      <c r="AB307" s="3">
        <v>438</v>
      </c>
      <c r="AC307" s="3">
        <v>440</v>
      </c>
      <c r="AD307" s="3">
        <v>3</v>
      </c>
      <c r="AE307" s="3">
        <v>3</v>
      </c>
      <c r="AF307" s="3">
        <v>14</v>
      </c>
      <c r="AG307" s="3">
        <v>14</v>
      </c>
      <c r="AH307" s="3">
        <v>3</v>
      </c>
      <c r="AI307" s="3">
        <v>3</v>
      </c>
      <c r="AJ307" s="3">
        <v>4</v>
      </c>
      <c r="AK307" s="3">
        <v>4</v>
      </c>
      <c r="AL307" s="3">
        <v>9</v>
      </c>
      <c r="AM307" s="3">
        <v>9</v>
      </c>
      <c r="AN307" s="3">
        <v>2</v>
      </c>
      <c r="AO307" s="3">
        <v>2</v>
      </c>
      <c r="AP307" s="3">
        <v>0</v>
      </c>
      <c r="AQ307" s="3">
        <v>0</v>
      </c>
      <c r="AR307" s="2" t="s">
        <v>63</v>
      </c>
      <c r="AS307" s="2" t="s">
        <v>76</v>
      </c>
      <c r="AT307" s="5" t="str">
        <f>HYPERLINK("http://catalog.hathitrust.org/Record/001555637","HathiTrust Record")</f>
        <v>HathiTrust Record</v>
      </c>
      <c r="AU307" s="5" t="str">
        <f>HYPERLINK("https://creighton-primo.hosted.exlibrisgroup.com/primo-explore/search?tab=default_tab&amp;search_scope=EVERYTHING&amp;vid=01CRU&amp;lang=en_US&amp;offset=0&amp;query=any,contains,991000963519702656","Catalog Record")</f>
        <v>Catalog Record</v>
      </c>
      <c r="AV307" s="5" t="str">
        <f>HYPERLINK("http://www.worldcat.org/oclc/77896","WorldCat Record")</f>
        <v>WorldCat Record</v>
      </c>
      <c r="AW307" s="2" t="s">
        <v>3684</v>
      </c>
      <c r="AX307" s="2" t="s">
        <v>3685</v>
      </c>
      <c r="AY307" s="2" t="s">
        <v>3686</v>
      </c>
      <c r="AZ307" s="2" t="s">
        <v>3686</v>
      </c>
      <c r="BA307" s="2" t="s">
        <v>3687</v>
      </c>
      <c r="BB307" s="2" t="s">
        <v>81</v>
      </c>
      <c r="BE307" s="2" t="s">
        <v>3691</v>
      </c>
      <c r="BF307" s="2" t="s">
        <v>3692</v>
      </c>
    </row>
    <row r="308" spans="1:58" ht="42" customHeight="1">
      <c r="A308" s="1"/>
      <c r="B308" s="1" t="s">
        <v>58</v>
      </c>
      <c r="C308" s="1" t="s">
        <v>59</v>
      </c>
      <c r="D308" s="1" t="s">
        <v>3678</v>
      </c>
      <c r="E308" s="1" t="s">
        <v>3679</v>
      </c>
      <c r="F308" s="1" t="s">
        <v>3680</v>
      </c>
      <c r="G308" s="2" t="s">
        <v>3693</v>
      </c>
      <c r="H308" s="2" t="s">
        <v>76</v>
      </c>
      <c r="I308" s="2" t="s">
        <v>64</v>
      </c>
      <c r="J308" s="2" t="s">
        <v>63</v>
      </c>
      <c r="K308" s="2" t="s">
        <v>63</v>
      </c>
      <c r="L308" s="2" t="s">
        <v>65</v>
      </c>
      <c r="N308" s="1" t="s">
        <v>3681</v>
      </c>
      <c r="O308" s="2" t="s">
        <v>3682</v>
      </c>
      <c r="Q308" s="2" t="s">
        <v>70</v>
      </c>
      <c r="R308" s="2" t="s">
        <v>422</v>
      </c>
      <c r="T308" s="2" t="s">
        <v>73</v>
      </c>
      <c r="U308" s="3">
        <v>0</v>
      </c>
      <c r="V308" s="3">
        <v>16</v>
      </c>
      <c r="X308" s="4" t="s">
        <v>2261</v>
      </c>
      <c r="Y308" s="4" t="s">
        <v>3683</v>
      </c>
      <c r="Z308" s="4" t="s">
        <v>3683</v>
      </c>
      <c r="AA308" s="3">
        <v>553</v>
      </c>
      <c r="AB308" s="3">
        <v>438</v>
      </c>
      <c r="AC308" s="3">
        <v>440</v>
      </c>
      <c r="AD308" s="3">
        <v>3</v>
      </c>
      <c r="AE308" s="3">
        <v>3</v>
      </c>
      <c r="AF308" s="3">
        <v>14</v>
      </c>
      <c r="AG308" s="3">
        <v>14</v>
      </c>
      <c r="AH308" s="3">
        <v>3</v>
      </c>
      <c r="AI308" s="3">
        <v>3</v>
      </c>
      <c r="AJ308" s="3">
        <v>4</v>
      </c>
      <c r="AK308" s="3">
        <v>4</v>
      </c>
      <c r="AL308" s="3">
        <v>9</v>
      </c>
      <c r="AM308" s="3">
        <v>9</v>
      </c>
      <c r="AN308" s="3">
        <v>2</v>
      </c>
      <c r="AO308" s="3">
        <v>2</v>
      </c>
      <c r="AP308" s="3">
        <v>0</v>
      </c>
      <c r="AQ308" s="3">
        <v>0</v>
      </c>
      <c r="AR308" s="2" t="s">
        <v>63</v>
      </c>
      <c r="AS308" s="2" t="s">
        <v>76</v>
      </c>
      <c r="AT308" s="5" t="str">
        <f>HYPERLINK("http://catalog.hathitrust.org/Record/001555637","HathiTrust Record")</f>
        <v>HathiTrust Record</v>
      </c>
      <c r="AU308" s="5" t="str">
        <f>HYPERLINK("https://creighton-primo.hosted.exlibrisgroup.com/primo-explore/search?tab=default_tab&amp;search_scope=EVERYTHING&amp;vid=01CRU&amp;lang=en_US&amp;offset=0&amp;query=any,contains,991000963519702656","Catalog Record")</f>
        <v>Catalog Record</v>
      </c>
      <c r="AV308" s="5" t="str">
        <f>HYPERLINK("http://www.worldcat.org/oclc/77896","WorldCat Record")</f>
        <v>WorldCat Record</v>
      </c>
      <c r="AW308" s="2" t="s">
        <v>3684</v>
      </c>
      <c r="AX308" s="2" t="s">
        <v>3685</v>
      </c>
      <c r="AY308" s="2" t="s">
        <v>3686</v>
      </c>
      <c r="AZ308" s="2" t="s">
        <v>3686</v>
      </c>
      <c r="BA308" s="2" t="s">
        <v>3687</v>
      </c>
      <c r="BB308" s="2" t="s">
        <v>81</v>
      </c>
      <c r="BE308" s="2" t="s">
        <v>3694</v>
      </c>
      <c r="BF308" s="2" t="s">
        <v>3695</v>
      </c>
    </row>
    <row r="309" spans="1:58" ht="42" customHeight="1">
      <c r="A309" s="1"/>
      <c r="B309" s="1" t="s">
        <v>58</v>
      </c>
      <c r="C309" s="1" t="s">
        <v>59</v>
      </c>
      <c r="D309" s="1" t="s">
        <v>3678</v>
      </c>
      <c r="E309" s="1" t="s">
        <v>3679</v>
      </c>
      <c r="F309" s="1" t="s">
        <v>3680</v>
      </c>
      <c r="G309" s="2" t="s">
        <v>622</v>
      </c>
      <c r="H309" s="2" t="s">
        <v>76</v>
      </c>
      <c r="I309" s="2" t="s">
        <v>64</v>
      </c>
      <c r="J309" s="2" t="s">
        <v>63</v>
      </c>
      <c r="K309" s="2" t="s">
        <v>63</v>
      </c>
      <c r="L309" s="2" t="s">
        <v>65</v>
      </c>
      <c r="N309" s="1" t="s">
        <v>3681</v>
      </c>
      <c r="O309" s="2" t="s">
        <v>3682</v>
      </c>
      <c r="Q309" s="2" t="s">
        <v>70</v>
      </c>
      <c r="R309" s="2" t="s">
        <v>422</v>
      </c>
      <c r="T309" s="2" t="s">
        <v>73</v>
      </c>
      <c r="U309" s="3">
        <v>1</v>
      </c>
      <c r="V309" s="3">
        <v>16</v>
      </c>
      <c r="X309" s="4" t="s">
        <v>2261</v>
      </c>
      <c r="Y309" s="4" t="s">
        <v>3683</v>
      </c>
      <c r="Z309" s="4" t="s">
        <v>3683</v>
      </c>
      <c r="AA309" s="3">
        <v>553</v>
      </c>
      <c r="AB309" s="3">
        <v>438</v>
      </c>
      <c r="AC309" s="3">
        <v>440</v>
      </c>
      <c r="AD309" s="3">
        <v>3</v>
      </c>
      <c r="AE309" s="3">
        <v>3</v>
      </c>
      <c r="AF309" s="3">
        <v>14</v>
      </c>
      <c r="AG309" s="3">
        <v>14</v>
      </c>
      <c r="AH309" s="3">
        <v>3</v>
      </c>
      <c r="AI309" s="3">
        <v>3</v>
      </c>
      <c r="AJ309" s="3">
        <v>4</v>
      </c>
      <c r="AK309" s="3">
        <v>4</v>
      </c>
      <c r="AL309" s="3">
        <v>9</v>
      </c>
      <c r="AM309" s="3">
        <v>9</v>
      </c>
      <c r="AN309" s="3">
        <v>2</v>
      </c>
      <c r="AO309" s="3">
        <v>2</v>
      </c>
      <c r="AP309" s="3">
        <v>0</v>
      </c>
      <c r="AQ309" s="3">
        <v>0</v>
      </c>
      <c r="AR309" s="2" t="s">
        <v>63</v>
      </c>
      <c r="AS309" s="2" t="s">
        <v>76</v>
      </c>
      <c r="AT309" s="5" t="str">
        <f>HYPERLINK("http://catalog.hathitrust.org/Record/001555637","HathiTrust Record")</f>
        <v>HathiTrust Record</v>
      </c>
      <c r="AU309" s="5" t="str">
        <f>HYPERLINK("https://creighton-primo.hosted.exlibrisgroup.com/primo-explore/search?tab=default_tab&amp;search_scope=EVERYTHING&amp;vid=01CRU&amp;lang=en_US&amp;offset=0&amp;query=any,contains,991000963519702656","Catalog Record")</f>
        <v>Catalog Record</v>
      </c>
      <c r="AV309" s="5" t="str">
        <f>HYPERLINK("http://www.worldcat.org/oclc/77896","WorldCat Record")</f>
        <v>WorldCat Record</v>
      </c>
      <c r="AW309" s="2" t="s">
        <v>3684</v>
      </c>
      <c r="AX309" s="2" t="s">
        <v>3685</v>
      </c>
      <c r="AY309" s="2" t="s">
        <v>3686</v>
      </c>
      <c r="AZ309" s="2" t="s">
        <v>3686</v>
      </c>
      <c r="BA309" s="2" t="s">
        <v>3687</v>
      </c>
      <c r="BB309" s="2" t="s">
        <v>81</v>
      </c>
      <c r="BE309" s="2" t="s">
        <v>3696</v>
      </c>
      <c r="BF309" s="2" t="s">
        <v>3697</v>
      </c>
    </row>
    <row r="310" spans="1:58" ht="42" customHeight="1">
      <c r="A310" s="1"/>
      <c r="B310" s="1" t="s">
        <v>58</v>
      </c>
      <c r="C310" s="1" t="s">
        <v>59</v>
      </c>
      <c r="D310" s="1" t="s">
        <v>3678</v>
      </c>
      <c r="E310" s="1" t="s">
        <v>3679</v>
      </c>
      <c r="F310" s="1" t="s">
        <v>3680</v>
      </c>
      <c r="G310" s="2" t="s">
        <v>3698</v>
      </c>
      <c r="H310" s="2" t="s">
        <v>76</v>
      </c>
      <c r="I310" s="2" t="s">
        <v>64</v>
      </c>
      <c r="J310" s="2" t="s">
        <v>63</v>
      </c>
      <c r="K310" s="2" t="s">
        <v>63</v>
      </c>
      <c r="L310" s="2" t="s">
        <v>65</v>
      </c>
      <c r="N310" s="1" t="s">
        <v>3681</v>
      </c>
      <c r="O310" s="2" t="s">
        <v>3682</v>
      </c>
      <c r="Q310" s="2" t="s">
        <v>70</v>
      </c>
      <c r="R310" s="2" t="s">
        <v>422</v>
      </c>
      <c r="T310" s="2" t="s">
        <v>73</v>
      </c>
      <c r="U310" s="3">
        <v>1</v>
      </c>
      <c r="V310" s="3">
        <v>16</v>
      </c>
      <c r="W310" s="4" t="s">
        <v>3699</v>
      </c>
      <c r="X310" s="4" t="s">
        <v>2261</v>
      </c>
      <c r="Y310" s="4" t="s">
        <v>3683</v>
      </c>
      <c r="Z310" s="4" t="s">
        <v>3683</v>
      </c>
      <c r="AA310" s="3">
        <v>553</v>
      </c>
      <c r="AB310" s="3">
        <v>438</v>
      </c>
      <c r="AC310" s="3">
        <v>440</v>
      </c>
      <c r="AD310" s="3">
        <v>3</v>
      </c>
      <c r="AE310" s="3">
        <v>3</v>
      </c>
      <c r="AF310" s="3">
        <v>14</v>
      </c>
      <c r="AG310" s="3">
        <v>14</v>
      </c>
      <c r="AH310" s="3">
        <v>3</v>
      </c>
      <c r="AI310" s="3">
        <v>3</v>
      </c>
      <c r="AJ310" s="3">
        <v>4</v>
      </c>
      <c r="AK310" s="3">
        <v>4</v>
      </c>
      <c r="AL310" s="3">
        <v>9</v>
      </c>
      <c r="AM310" s="3">
        <v>9</v>
      </c>
      <c r="AN310" s="3">
        <v>2</v>
      </c>
      <c r="AO310" s="3">
        <v>2</v>
      </c>
      <c r="AP310" s="3">
        <v>0</v>
      </c>
      <c r="AQ310" s="3">
        <v>0</v>
      </c>
      <c r="AR310" s="2" t="s">
        <v>63</v>
      </c>
      <c r="AS310" s="2" t="s">
        <v>76</v>
      </c>
      <c r="AT310" s="5" t="str">
        <f>HYPERLINK("http://catalog.hathitrust.org/Record/001555637","HathiTrust Record")</f>
        <v>HathiTrust Record</v>
      </c>
      <c r="AU310" s="5" t="str">
        <f>HYPERLINK("https://creighton-primo.hosted.exlibrisgroup.com/primo-explore/search?tab=default_tab&amp;search_scope=EVERYTHING&amp;vid=01CRU&amp;lang=en_US&amp;offset=0&amp;query=any,contains,991000963519702656","Catalog Record")</f>
        <v>Catalog Record</v>
      </c>
      <c r="AV310" s="5" t="str">
        <f>HYPERLINK("http://www.worldcat.org/oclc/77896","WorldCat Record")</f>
        <v>WorldCat Record</v>
      </c>
      <c r="AW310" s="2" t="s">
        <v>3684</v>
      </c>
      <c r="AX310" s="2" t="s">
        <v>3685</v>
      </c>
      <c r="AY310" s="2" t="s">
        <v>3686</v>
      </c>
      <c r="AZ310" s="2" t="s">
        <v>3686</v>
      </c>
      <c r="BA310" s="2" t="s">
        <v>3687</v>
      </c>
      <c r="BB310" s="2" t="s">
        <v>81</v>
      </c>
      <c r="BE310" s="2" t="s">
        <v>3700</v>
      </c>
      <c r="BF310" s="2" t="s">
        <v>3701</v>
      </c>
    </row>
    <row r="311" spans="1:58" ht="42" customHeight="1">
      <c r="A311" s="1"/>
      <c r="B311" s="1" t="s">
        <v>58</v>
      </c>
      <c r="C311" s="1" t="s">
        <v>59</v>
      </c>
      <c r="D311" s="1" t="s">
        <v>3678</v>
      </c>
      <c r="E311" s="1" t="s">
        <v>3679</v>
      </c>
      <c r="F311" s="1" t="s">
        <v>3680</v>
      </c>
      <c r="G311" s="2" t="s">
        <v>178</v>
      </c>
      <c r="H311" s="2" t="s">
        <v>76</v>
      </c>
      <c r="I311" s="2" t="s">
        <v>64</v>
      </c>
      <c r="J311" s="2" t="s">
        <v>63</v>
      </c>
      <c r="K311" s="2" t="s">
        <v>63</v>
      </c>
      <c r="L311" s="2" t="s">
        <v>65</v>
      </c>
      <c r="N311" s="1" t="s">
        <v>3681</v>
      </c>
      <c r="O311" s="2" t="s">
        <v>3682</v>
      </c>
      <c r="Q311" s="2" t="s">
        <v>70</v>
      </c>
      <c r="R311" s="2" t="s">
        <v>422</v>
      </c>
      <c r="T311" s="2" t="s">
        <v>73</v>
      </c>
      <c r="U311" s="3">
        <v>6</v>
      </c>
      <c r="V311" s="3">
        <v>16</v>
      </c>
      <c r="W311" s="4" t="s">
        <v>2261</v>
      </c>
      <c r="X311" s="4" t="s">
        <v>2261</v>
      </c>
      <c r="Y311" s="4" t="s">
        <v>3683</v>
      </c>
      <c r="Z311" s="4" t="s">
        <v>3683</v>
      </c>
      <c r="AA311" s="3">
        <v>553</v>
      </c>
      <c r="AB311" s="3">
        <v>438</v>
      </c>
      <c r="AC311" s="3">
        <v>440</v>
      </c>
      <c r="AD311" s="3">
        <v>3</v>
      </c>
      <c r="AE311" s="3">
        <v>3</v>
      </c>
      <c r="AF311" s="3">
        <v>14</v>
      </c>
      <c r="AG311" s="3">
        <v>14</v>
      </c>
      <c r="AH311" s="3">
        <v>3</v>
      </c>
      <c r="AI311" s="3">
        <v>3</v>
      </c>
      <c r="AJ311" s="3">
        <v>4</v>
      </c>
      <c r="AK311" s="3">
        <v>4</v>
      </c>
      <c r="AL311" s="3">
        <v>9</v>
      </c>
      <c r="AM311" s="3">
        <v>9</v>
      </c>
      <c r="AN311" s="3">
        <v>2</v>
      </c>
      <c r="AO311" s="3">
        <v>2</v>
      </c>
      <c r="AP311" s="3">
        <v>0</v>
      </c>
      <c r="AQ311" s="3">
        <v>0</v>
      </c>
      <c r="AR311" s="2" t="s">
        <v>63</v>
      </c>
      <c r="AS311" s="2" t="s">
        <v>76</v>
      </c>
      <c r="AT311" s="5" t="str">
        <f>HYPERLINK("http://catalog.hathitrust.org/Record/001555637","HathiTrust Record")</f>
        <v>HathiTrust Record</v>
      </c>
      <c r="AU311" s="5" t="str">
        <f>HYPERLINK("https://creighton-primo.hosted.exlibrisgroup.com/primo-explore/search?tab=default_tab&amp;search_scope=EVERYTHING&amp;vid=01CRU&amp;lang=en_US&amp;offset=0&amp;query=any,contains,991000963519702656","Catalog Record")</f>
        <v>Catalog Record</v>
      </c>
      <c r="AV311" s="5" t="str">
        <f>HYPERLINK("http://www.worldcat.org/oclc/77896","WorldCat Record")</f>
        <v>WorldCat Record</v>
      </c>
      <c r="AW311" s="2" t="s">
        <v>3684</v>
      </c>
      <c r="AX311" s="2" t="s">
        <v>3685</v>
      </c>
      <c r="AY311" s="2" t="s">
        <v>3686</v>
      </c>
      <c r="AZ311" s="2" t="s">
        <v>3686</v>
      </c>
      <c r="BA311" s="2" t="s">
        <v>3687</v>
      </c>
      <c r="BB311" s="2" t="s">
        <v>81</v>
      </c>
      <c r="BE311" s="2" t="s">
        <v>3702</v>
      </c>
      <c r="BF311" s="2" t="s">
        <v>3703</v>
      </c>
    </row>
    <row r="312" spans="1:58" ht="42" customHeight="1">
      <c r="A312" s="1"/>
      <c r="B312" s="1" t="s">
        <v>58</v>
      </c>
      <c r="C312" s="1" t="s">
        <v>59</v>
      </c>
      <c r="D312" s="1" t="s">
        <v>3678</v>
      </c>
      <c r="E312" s="1" t="s">
        <v>3679</v>
      </c>
      <c r="F312" s="1" t="s">
        <v>3680</v>
      </c>
      <c r="G312" s="2" t="s">
        <v>184</v>
      </c>
      <c r="H312" s="2" t="s">
        <v>76</v>
      </c>
      <c r="I312" s="2" t="s">
        <v>64</v>
      </c>
      <c r="J312" s="2" t="s">
        <v>63</v>
      </c>
      <c r="K312" s="2" t="s">
        <v>63</v>
      </c>
      <c r="L312" s="2" t="s">
        <v>65</v>
      </c>
      <c r="N312" s="1" t="s">
        <v>3681</v>
      </c>
      <c r="O312" s="2" t="s">
        <v>3682</v>
      </c>
      <c r="Q312" s="2" t="s">
        <v>70</v>
      </c>
      <c r="R312" s="2" t="s">
        <v>422</v>
      </c>
      <c r="T312" s="2" t="s">
        <v>73</v>
      </c>
      <c r="U312" s="3">
        <v>3</v>
      </c>
      <c r="V312" s="3">
        <v>16</v>
      </c>
      <c r="X312" s="4" t="s">
        <v>2261</v>
      </c>
      <c r="Y312" s="4" t="s">
        <v>3683</v>
      </c>
      <c r="Z312" s="4" t="s">
        <v>3683</v>
      </c>
      <c r="AA312" s="3">
        <v>553</v>
      </c>
      <c r="AB312" s="3">
        <v>438</v>
      </c>
      <c r="AC312" s="3">
        <v>440</v>
      </c>
      <c r="AD312" s="3">
        <v>3</v>
      </c>
      <c r="AE312" s="3">
        <v>3</v>
      </c>
      <c r="AF312" s="3">
        <v>14</v>
      </c>
      <c r="AG312" s="3">
        <v>14</v>
      </c>
      <c r="AH312" s="3">
        <v>3</v>
      </c>
      <c r="AI312" s="3">
        <v>3</v>
      </c>
      <c r="AJ312" s="3">
        <v>4</v>
      </c>
      <c r="AK312" s="3">
        <v>4</v>
      </c>
      <c r="AL312" s="3">
        <v>9</v>
      </c>
      <c r="AM312" s="3">
        <v>9</v>
      </c>
      <c r="AN312" s="3">
        <v>2</v>
      </c>
      <c r="AO312" s="3">
        <v>2</v>
      </c>
      <c r="AP312" s="3">
        <v>0</v>
      </c>
      <c r="AQ312" s="3">
        <v>0</v>
      </c>
      <c r="AR312" s="2" t="s">
        <v>63</v>
      </c>
      <c r="AS312" s="2" t="s">
        <v>76</v>
      </c>
      <c r="AT312" s="5" t="str">
        <f>HYPERLINK("http://catalog.hathitrust.org/Record/001555637","HathiTrust Record")</f>
        <v>HathiTrust Record</v>
      </c>
      <c r="AU312" s="5" t="str">
        <f>HYPERLINK("https://creighton-primo.hosted.exlibrisgroup.com/primo-explore/search?tab=default_tab&amp;search_scope=EVERYTHING&amp;vid=01CRU&amp;lang=en_US&amp;offset=0&amp;query=any,contains,991000963519702656","Catalog Record")</f>
        <v>Catalog Record</v>
      </c>
      <c r="AV312" s="5" t="str">
        <f>HYPERLINK("http://www.worldcat.org/oclc/77896","WorldCat Record")</f>
        <v>WorldCat Record</v>
      </c>
      <c r="AW312" s="2" t="s">
        <v>3684</v>
      </c>
      <c r="AX312" s="2" t="s">
        <v>3685</v>
      </c>
      <c r="AY312" s="2" t="s">
        <v>3686</v>
      </c>
      <c r="AZ312" s="2" t="s">
        <v>3686</v>
      </c>
      <c r="BA312" s="2" t="s">
        <v>3687</v>
      </c>
      <c r="BB312" s="2" t="s">
        <v>81</v>
      </c>
      <c r="BE312" s="2" t="s">
        <v>3704</v>
      </c>
      <c r="BF312" s="2" t="s">
        <v>3705</v>
      </c>
    </row>
    <row r="313" spans="1:58" ht="42" customHeight="1">
      <c r="A313" s="1"/>
      <c r="B313" s="1" t="s">
        <v>58</v>
      </c>
      <c r="C313" s="1" t="s">
        <v>59</v>
      </c>
      <c r="D313" s="1" t="s">
        <v>3678</v>
      </c>
      <c r="E313" s="1" t="s">
        <v>3679</v>
      </c>
      <c r="F313" s="1" t="s">
        <v>3680</v>
      </c>
      <c r="G313" s="2" t="s">
        <v>193</v>
      </c>
      <c r="H313" s="2" t="s">
        <v>76</v>
      </c>
      <c r="I313" s="2" t="s">
        <v>64</v>
      </c>
      <c r="J313" s="2" t="s">
        <v>63</v>
      </c>
      <c r="K313" s="2" t="s">
        <v>63</v>
      </c>
      <c r="L313" s="2" t="s">
        <v>65</v>
      </c>
      <c r="N313" s="1" t="s">
        <v>3681</v>
      </c>
      <c r="O313" s="2" t="s">
        <v>3682</v>
      </c>
      <c r="Q313" s="2" t="s">
        <v>70</v>
      </c>
      <c r="R313" s="2" t="s">
        <v>422</v>
      </c>
      <c r="T313" s="2" t="s">
        <v>73</v>
      </c>
      <c r="U313" s="3">
        <v>0</v>
      </c>
      <c r="V313" s="3">
        <v>16</v>
      </c>
      <c r="X313" s="4" t="s">
        <v>2261</v>
      </c>
      <c r="Y313" s="4" t="s">
        <v>3683</v>
      </c>
      <c r="Z313" s="4" t="s">
        <v>3683</v>
      </c>
      <c r="AA313" s="3">
        <v>553</v>
      </c>
      <c r="AB313" s="3">
        <v>438</v>
      </c>
      <c r="AC313" s="3">
        <v>440</v>
      </c>
      <c r="AD313" s="3">
        <v>3</v>
      </c>
      <c r="AE313" s="3">
        <v>3</v>
      </c>
      <c r="AF313" s="3">
        <v>14</v>
      </c>
      <c r="AG313" s="3">
        <v>14</v>
      </c>
      <c r="AH313" s="3">
        <v>3</v>
      </c>
      <c r="AI313" s="3">
        <v>3</v>
      </c>
      <c r="AJ313" s="3">
        <v>4</v>
      </c>
      <c r="AK313" s="3">
        <v>4</v>
      </c>
      <c r="AL313" s="3">
        <v>9</v>
      </c>
      <c r="AM313" s="3">
        <v>9</v>
      </c>
      <c r="AN313" s="3">
        <v>2</v>
      </c>
      <c r="AO313" s="3">
        <v>2</v>
      </c>
      <c r="AP313" s="3">
        <v>0</v>
      </c>
      <c r="AQ313" s="3">
        <v>0</v>
      </c>
      <c r="AR313" s="2" t="s">
        <v>63</v>
      </c>
      <c r="AS313" s="2" t="s">
        <v>76</v>
      </c>
      <c r="AT313" s="5" t="str">
        <f>HYPERLINK("http://catalog.hathitrust.org/Record/001555637","HathiTrust Record")</f>
        <v>HathiTrust Record</v>
      </c>
      <c r="AU313" s="5" t="str">
        <f>HYPERLINK("https://creighton-primo.hosted.exlibrisgroup.com/primo-explore/search?tab=default_tab&amp;search_scope=EVERYTHING&amp;vid=01CRU&amp;lang=en_US&amp;offset=0&amp;query=any,contains,991000963519702656","Catalog Record")</f>
        <v>Catalog Record</v>
      </c>
      <c r="AV313" s="5" t="str">
        <f>HYPERLINK("http://www.worldcat.org/oclc/77896","WorldCat Record")</f>
        <v>WorldCat Record</v>
      </c>
      <c r="AW313" s="2" t="s">
        <v>3684</v>
      </c>
      <c r="AX313" s="2" t="s">
        <v>3685</v>
      </c>
      <c r="AY313" s="2" t="s">
        <v>3686</v>
      </c>
      <c r="AZ313" s="2" t="s">
        <v>3686</v>
      </c>
      <c r="BA313" s="2" t="s">
        <v>3687</v>
      </c>
      <c r="BB313" s="2" t="s">
        <v>81</v>
      </c>
      <c r="BE313" s="2" t="s">
        <v>3706</v>
      </c>
      <c r="BF313" s="2" t="s">
        <v>3707</v>
      </c>
    </row>
    <row r="314" spans="1:58" ht="42" customHeight="1">
      <c r="A314" s="1"/>
      <c r="B314" s="1" t="s">
        <v>58</v>
      </c>
      <c r="C314" s="1" t="s">
        <v>59</v>
      </c>
      <c r="D314" s="1" t="s">
        <v>3708</v>
      </c>
      <c r="E314" s="1" t="s">
        <v>3709</v>
      </c>
      <c r="F314" s="1" t="s">
        <v>3710</v>
      </c>
      <c r="G314" s="2" t="s">
        <v>178</v>
      </c>
      <c r="H314" s="2" t="s">
        <v>76</v>
      </c>
      <c r="I314" s="2" t="s">
        <v>64</v>
      </c>
      <c r="J314" s="2" t="s">
        <v>63</v>
      </c>
      <c r="K314" s="2" t="s">
        <v>63</v>
      </c>
      <c r="L314" s="2" t="s">
        <v>65</v>
      </c>
      <c r="N314" s="1" t="s">
        <v>3711</v>
      </c>
      <c r="O314" s="2" t="s">
        <v>215</v>
      </c>
      <c r="Q314" s="2" t="s">
        <v>70</v>
      </c>
      <c r="R314" s="2" t="s">
        <v>1310</v>
      </c>
      <c r="T314" s="2" t="s">
        <v>73</v>
      </c>
      <c r="U314" s="3">
        <v>5</v>
      </c>
      <c r="V314" s="3">
        <v>10</v>
      </c>
      <c r="W314" s="4" t="s">
        <v>3712</v>
      </c>
      <c r="X314" s="4" t="s">
        <v>3712</v>
      </c>
      <c r="Y314" s="4" t="s">
        <v>3108</v>
      </c>
      <c r="Z314" s="4" t="s">
        <v>3108</v>
      </c>
      <c r="AA314" s="3">
        <v>213</v>
      </c>
      <c r="AB314" s="3">
        <v>171</v>
      </c>
      <c r="AC314" s="3">
        <v>171</v>
      </c>
      <c r="AD314" s="3">
        <v>2</v>
      </c>
      <c r="AE314" s="3">
        <v>2</v>
      </c>
      <c r="AF314" s="3">
        <v>3</v>
      </c>
      <c r="AG314" s="3">
        <v>3</v>
      </c>
      <c r="AH314" s="3">
        <v>0</v>
      </c>
      <c r="AI314" s="3">
        <v>0</v>
      </c>
      <c r="AJ314" s="3">
        <v>1</v>
      </c>
      <c r="AK314" s="3">
        <v>1</v>
      </c>
      <c r="AL314" s="3">
        <v>2</v>
      </c>
      <c r="AM314" s="3">
        <v>2</v>
      </c>
      <c r="AN314" s="3">
        <v>1</v>
      </c>
      <c r="AO314" s="3">
        <v>1</v>
      </c>
      <c r="AP314" s="3">
        <v>0</v>
      </c>
      <c r="AQ314" s="3">
        <v>0</v>
      </c>
      <c r="AR314" s="2" t="s">
        <v>63</v>
      </c>
      <c r="AS314" s="2" t="s">
        <v>76</v>
      </c>
      <c r="AT314" s="5" t="str">
        <f>HYPERLINK("http://catalog.hathitrust.org/Record/000340821","HathiTrust Record")</f>
        <v>HathiTrust Record</v>
      </c>
      <c r="AU314" s="5" t="str">
        <f>HYPERLINK("https://creighton-primo.hosted.exlibrisgroup.com/primo-explore/search?tab=default_tab&amp;search_scope=EVERYTHING&amp;vid=01CRU&amp;lang=en_US&amp;offset=0&amp;query=any,contains,991000976629702656","Catalog Record")</f>
        <v>Catalog Record</v>
      </c>
      <c r="AV314" s="5" t="str">
        <f>HYPERLINK("http://www.worldcat.org/oclc/10483513","WorldCat Record")</f>
        <v>WorldCat Record</v>
      </c>
      <c r="AW314" s="2" t="s">
        <v>3713</v>
      </c>
      <c r="AX314" s="2" t="s">
        <v>3714</v>
      </c>
      <c r="AY314" s="2" t="s">
        <v>3715</v>
      </c>
      <c r="AZ314" s="2" t="s">
        <v>3715</v>
      </c>
      <c r="BA314" s="2" t="s">
        <v>3716</v>
      </c>
      <c r="BB314" s="2" t="s">
        <v>81</v>
      </c>
      <c r="BD314" s="2" t="s">
        <v>3717</v>
      </c>
      <c r="BE314" s="2" t="s">
        <v>3718</v>
      </c>
      <c r="BF314" s="2" t="s">
        <v>3719</v>
      </c>
    </row>
    <row r="315" spans="1:58" ht="42" customHeight="1">
      <c r="A315" s="1"/>
      <c r="B315" s="1" t="s">
        <v>58</v>
      </c>
      <c r="C315" s="1" t="s">
        <v>59</v>
      </c>
      <c r="D315" s="1" t="s">
        <v>3708</v>
      </c>
      <c r="E315" s="1" t="s">
        <v>3709</v>
      </c>
      <c r="F315" s="1" t="s">
        <v>3710</v>
      </c>
      <c r="G315" s="2" t="s">
        <v>165</v>
      </c>
      <c r="H315" s="2" t="s">
        <v>76</v>
      </c>
      <c r="I315" s="2" t="s">
        <v>64</v>
      </c>
      <c r="J315" s="2" t="s">
        <v>63</v>
      </c>
      <c r="K315" s="2" t="s">
        <v>63</v>
      </c>
      <c r="L315" s="2" t="s">
        <v>65</v>
      </c>
      <c r="N315" s="1" t="s">
        <v>3711</v>
      </c>
      <c r="O315" s="2" t="s">
        <v>215</v>
      </c>
      <c r="Q315" s="2" t="s">
        <v>70</v>
      </c>
      <c r="R315" s="2" t="s">
        <v>1310</v>
      </c>
      <c r="T315" s="2" t="s">
        <v>73</v>
      </c>
      <c r="U315" s="3">
        <v>5</v>
      </c>
      <c r="V315" s="3">
        <v>10</v>
      </c>
      <c r="W315" s="4" t="s">
        <v>3712</v>
      </c>
      <c r="X315" s="4" t="s">
        <v>3712</v>
      </c>
      <c r="Y315" s="4" t="s">
        <v>3108</v>
      </c>
      <c r="Z315" s="4" t="s">
        <v>3108</v>
      </c>
      <c r="AA315" s="3">
        <v>213</v>
      </c>
      <c r="AB315" s="3">
        <v>171</v>
      </c>
      <c r="AC315" s="3">
        <v>171</v>
      </c>
      <c r="AD315" s="3">
        <v>2</v>
      </c>
      <c r="AE315" s="3">
        <v>2</v>
      </c>
      <c r="AF315" s="3">
        <v>3</v>
      </c>
      <c r="AG315" s="3">
        <v>3</v>
      </c>
      <c r="AH315" s="3">
        <v>0</v>
      </c>
      <c r="AI315" s="3">
        <v>0</v>
      </c>
      <c r="AJ315" s="3">
        <v>1</v>
      </c>
      <c r="AK315" s="3">
        <v>1</v>
      </c>
      <c r="AL315" s="3">
        <v>2</v>
      </c>
      <c r="AM315" s="3">
        <v>2</v>
      </c>
      <c r="AN315" s="3">
        <v>1</v>
      </c>
      <c r="AO315" s="3">
        <v>1</v>
      </c>
      <c r="AP315" s="3">
        <v>0</v>
      </c>
      <c r="AQ315" s="3">
        <v>0</v>
      </c>
      <c r="AR315" s="2" t="s">
        <v>63</v>
      </c>
      <c r="AS315" s="2" t="s">
        <v>76</v>
      </c>
      <c r="AT315" s="5" t="str">
        <f>HYPERLINK("http://catalog.hathitrust.org/Record/000340821","HathiTrust Record")</f>
        <v>HathiTrust Record</v>
      </c>
      <c r="AU315" s="5" t="str">
        <f>HYPERLINK("https://creighton-primo.hosted.exlibrisgroup.com/primo-explore/search?tab=default_tab&amp;search_scope=EVERYTHING&amp;vid=01CRU&amp;lang=en_US&amp;offset=0&amp;query=any,contains,991000976629702656","Catalog Record")</f>
        <v>Catalog Record</v>
      </c>
      <c r="AV315" s="5" t="str">
        <f>HYPERLINK("http://www.worldcat.org/oclc/10483513","WorldCat Record")</f>
        <v>WorldCat Record</v>
      </c>
      <c r="AW315" s="2" t="s">
        <v>3713</v>
      </c>
      <c r="AX315" s="2" t="s">
        <v>3714</v>
      </c>
      <c r="AY315" s="2" t="s">
        <v>3715</v>
      </c>
      <c r="AZ315" s="2" t="s">
        <v>3715</v>
      </c>
      <c r="BA315" s="2" t="s">
        <v>3716</v>
      </c>
      <c r="BB315" s="2" t="s">
        <v>81</v>
      </c>
      <c r="BD315" s="2" t="s">
        <v>3717</v>
      </c>
      <c r="BE315" s="2" t="s">
        <v>3720</v>
      </c>
      <c r="BF315" s="2" t="s">
        <v>3721</v>
      </c>
    </row>
    <row r="316" spans="1:58" ht="42" customHeight="1">
      <c r="A316" s="1"/>
      <c r="B316" s="1" t="s">
        <v>58</v>
      </c>
      <c r="C316" s="1" t="s">
        <v>59</v>
      </c>
      <c r="D316" s="1" t="s">
        <v>3722</v>
      </c>
      <c r="E316" s="1" t="s">
        <v>3723</v>
      </c>
      <c r="F316" s="1" t="s">
        <v>3724</v>
      </c>
      <c r="H316" s="2" t="s">
        <v>63</v>
      </c>
      <c r="I316" s="2" t="s">
        <v>64</v>
      </c>
      <c r="J316" s="2" t="s">
        <v>63</v>
      </c>
      <c r="K316" s="2" t="s">
        <v>63</v>
      </c>
      <c r="L316" s="2" t="s">
        <v>65</v>
      </c>
      <c r="N316" s="1" t="s">
        <v>3725</v>
      </c>
      <c r="O316" s="2" t="s">
        <v>908</v>
      </c>
      <c r="Q316" s="2" t="s">
        <v>70</v>
      </c>
      <c r="R316" s="2" t="s">
        <v>408</v>
      </c>
      <c r="T316" s="2" t="s">
        <v>73</v>
      </c>
      <c r="U316" s="3">
        <v>3</v>
      </c>
      <c r="V316" s="3">
        <v>3</v>
      </c>
      <c r="W316" s="4" t="s">
        <v>3726</v>
      </c>
      <c r="X316" s="4" t="s">
        <v>3726</v>
      </c>
      <c r="Y316" s="4" t="s">
        <v>3346</v>
      </c>
      <c r="Z316" s="4" t="s">
        <v>3346</v>
      </c>
      <c r="AA316" s="3">
        <v>78</v>
      </c>
      <c r="AB316" s="3">
        <v>58</v>
      </c>
      <c r="AC316" s="3">
        <v>82</v>
      </c>
      <c r="AD316" s="3">
        <v>1</v>
      </c>
      <c r="AE316" s="3">
        <v>1</v>
      </c>
      <c r="AF316" s="3">
        <v>1</v>
      </c>
      <c r="AG316" s="3">
        <v>2</v>
      </c>
      <c r="AH316" s="3">
        <v>0</v>
      </c>
      <c r="AI316" s="3">
        <v>1</v>
      </c>
      <c r="AJ316" s="3">
        <v>1</v>
      </c>
      <c r="AK316" s="3">
        <v>1</v>
      </c>
      <c r="AL316" s="3">
        <v>0</v>
      </c>
      <c r="AM316" s="3">
        <v>1</v>
      </c>
      <c r="AN316" s="3">
        <v>0</v>
      </c>
      <c r="AO316" s="3">
        <v>0</v>
      </c>
      <c r="AP316" s="3">
        <v>0</v>
      </c>
      <c r="AQ316" s="3">
        <v>0</v>
      </c>
      <c r="AR316" s="2" t="s">
        <v>63</v>
      </c>
      <c r="AS316" s="2" t="s">
        <v>76</v>
      </c>
      <c r="AT316" s="5" t="str">
        <f>HYPERLINK("http://catalog.hathitrust.org/Record/002606083","HathiTrust Record")</f>
        <v>HathiTrust Record</v>
      </c>
      <c r="AU316" s="5" t="str">
        <f>HYPERLINK("https://creighton-primo.hosted.exlibrisgroup.com/primo-explore/search?tab=default_tab&amp;search_scope=EVERYTHING&amp;vid=01CRU&amp;lang=en_US&amp;offset=0&amp;query=any,contains,991001511089702656","Catalog Record")</f>
        <v>Catalog Record</v>
      </c>
      <c r="AV316" s="5" t="str">
        <f>HYPERLINK("http://www.worldcat.org/oclc/25872396","WorldCat Record")</f>
        <v>WorldCat Record</v>
      </c>
      <c r="AW316" s="2" t="s">
        <v>3727</v>
      </c>
      <c r="AX316" s="2" t="s">
        <v>3728</v>
      </c>
      <c r="AY316" s="2" t="s">
        <v>3729</v>
      </c>
      <c r="AZ316" s="2" t="s">
        <v>3729</v>
      </c>
      <c r="BA316" s="2" t="s">
        <v>3730</v>
      </c>
      <c r="BB316" s="2" t="s">
        <v>81</v>
      </c>
      <c r="BD316" s="2" t="s">
        <v>3731</v>
      </c>
      <c r="BE316" s="2" t="s">
        <v>3732</v>
      </c>
      <c r="BF316" s="2" t="s">
        <v>3733</v>
      </c>
    </row>
    <row r="317" spans="1:58" ht="42" customHeight="1">
      <c r="A317" s="1"/>
      <c r="B317" s="1" t="s">
        <v>58</v>
      </c>
      <c r="C317" s="1" t="s">
        <v>59</v>
      </c>
      <c r="D317" s="1" t="s">
        <v>3734</v>
      </c>
      <c r="E317" s="1" t="s">
        <v>3735</v>
      </c>
      <c r="F317" s="1" t="s">
        <v>3736</v>
      </c>
      <c r="G317" s="2" t="s">
        <v>372</v>
      </c>
      <c r="H317" s="2" t="s">
        <v>63</v>
      </c>
      <c r="I317" s="2" t="s">
        <v>64</v>
      </c>
      <c r="J317" s="2" t="s">
        <v>63</v>
      </c>
      <c r="K317" s="2" t="s">
        <v>63</v>
      </c>
      <c r="L317" s="2" t="s">
        <v>65</v>
      </c>
      <c r="N317" s="1" t="s">
        <v>2107</v>
      </c>
      <c r="O317" s="2" t="s">
        <v>757</v>
      </c>
      <c r="Q317" s="2" t="s">
        <v>70</v>
      </c>
      <c r="R317" s="2" t="s">
        <v>107</v>
      </c>
      <c r="S317" s="1" t="s">
        <v>3737</v>
      </c>
      <c r="T317" s="2" t="s">
        <v>73</v>
      </c>
      <c r="U317" s="3">
        <v>4</v>
      </c>
      <c r="V317" s="3">
        <v>4</v>
      </c>
      <c r="W317" s="4" t="s">
        <v>3738</v>
      </c>
      <c r="X317" s="4" t="s">
        <v>3738</v>
      </c>
      <c r="Y317" s="4" t="s">
        <v>3108</v>
      </c>
      <c r="Z317" s="4" t="s">
        <v>3108</v>
      </c>
      <c r="AA317" s="3">
        <v>224</v>
      </c>
      <c r="AB317" s="3">
        <v>171</v>
      </c>
      <c r="AC317" s="3">
        <v>173</v>
      </c>
      <c r="AD317" s="3">
        <v>2</v>
      </c>
      <c r="AE317" s="3">
        <v>2</v>
      </c>
      <c r="AF317" s="3">
        <v>7</v>
      </c>
      <c r="AG317" s="3">
        <v>7</v>
      </c>
      <c r="AH317" s="3">
        <v>1</v>
      </c>
      <c r="AI317" s="3">
        <v>1</v>
      </c>
      <c r="AJ317" s="3">
        <v>5</v>
      </c>
      <c r="AK317" s="3">
        <v>5</v>
      </c>
      <c r="AL317" s="3">
        <v>2</v>
      </c>
      <c r="AM317" s="3">
        <v>2</v>
      </c>
      <c r="AN317" s="3">
        <v>1</v>
      </c>
      <c r="AO317" s="3">
        <v>1</v>
      </c>
      <c r="AP317" s="3">
        <v>0</v>
      </c>
      <c r="AQ317" s="3">
        <v>0</v>
      </c>
      <c r="AR317" s="2" t="s">
        <v>63</v>
      </c>
      <c r="AS317" s="2" t="s">
        <v>76</v>
      </c>
      <c r="AT317" s="5" t="str">
        <f>HYPERLINK("http://catalog.hathitrust.org/Record/000237506","HathiTrust Record")</f>
        <v>HathiTrust Record</v>
      </c>
      <c r="AU317" s="5" t="str">
        <f>HYPERLINK("https://creighton-primo.hosted.exlibrisgroup.com/primo-explore/search?tab=default_tab&amp;search_scope=EVERYTHING&amp;vid=01CRU&amp;lang=en_US&amp;offset=0&amp;query=any,contains,991000976669702656","Catalog Record")</f>
        <v>Catalog Record</v>
      </c>
      <c r="AV317" s="5" t="str">
        <f>HYPERLINK("http://www.worldcat.org/oclc/8171782","WorldCat Record")</f>
        <v>WorldCat Record</v>
      </c>
      <c r="AW317" s="2" t="s">
        <v>3739</v>
      </c>
      <c r="AX317" s="2" t="s">
        <v>3740</v>
      </c>
      <c r="AY317" s="2" t="s">
        <v>3741</v>
      </c>
      <c r="AZ317" s="2" t="s">
        <v>3741</v>
      </c>
      <c r="BA317" s="2" t="s">
        <v>3742</v>
      </c>
      <c r="BB317" s="2" t="s">
        <v>81</v>
      </c>
      <c r="BD317" s="2" t="s">
        <v>3743</v>
      </c>
      <c r="BE317" s="2" t="s">
        <v>3744</v>
      </c>
      <c r="BF317" s="2" t="s">
        <v>3745</v>
      </c>
    </row>
    <row r="318" spans="1:58" ht="42" customHeight="1">
      <c r="A318" s="1"/>
      <c r="B318" s="1" t="s">
        <v>58</v>
      </c>
      <c r="C318" s="1" t="s">
        <v>59</v>
      </c>
      <c r="D318" s="1" t="s">
        <v>3746</v>
      </c>
      <c r="E318" s="1" t="s">
        <v>3747</v>
      </c>
      <c r="F318" s="1" t="s">
        <v>3748</v>
      </c>
      <c r="G318" s="2" t="s">
        <v>3749</v>
      </c>
      <c r="H318" s="2" t="s">
        <v>63</v>
      </c>
      <c r="I318" s="2" t="s">
        <v>64</v>
      </c>
      <c r="J318" s="2" t="s">
        <v>63</v>
      </c>
      <c r="K318" s="2" t="s">
        <v>63</v>
      </c>
      <c r="L318" s="2" t="s">
        <v>65</v>
      </c>
      <c r="N318" s="1" t="s">
        <v>3750</v>
      </c>
      <c r="O318" s="2" t="s">
        <v>215</v>
      </c>
      <c r="Q318" s="2" t="s">
        <v>70</v>
      </c>
      <c r="R318" s="2" t="s">
        <v>107</v>
      </c>
      <c r="S318" s="1" t="s">
        <v>3751</v>
      </c>
      <c r="T318" s="2" t="s">
        <v>73</v>
      </c>
      <c r="U318" s="3">
        <v>4</v>
      </c>
      <c r="V318" s="3">
        <v>4</v>
      </c>
      <c r="W318" s="4" t="s">
        <v>3752</v>
      </c>
      <c r="X318" s="4" t="s">
        <v>3752</v>
      </c>
      <c r="Y318" s="4" t="s">
        <v>3108</v>
      </c>
      <c r="Z318" s="4" t="s">
        <v>3108</v>
      </c>
      <c r="AA318" s="3">
        <v>239</v>
      </c>
      <c r="AB318" s="3">
        <v>180</v>
      </c>
      <c r="AC318" s="3">
        <v>182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1</v>
      </c>
      <c r="AQ318" s="3">
        <v>1</v>
      </c>
      <c r="AR318" s="2" t="s">
        <v>63</v>
      </c>
      <c r="AS318" s="2" t="s">
        <v>76</v>
      </c>
      <c r="AT318" s="5" t="str">
        <f>HYPERLINK("http://catalog.hathitrust.org/Record/000344924","HathiTrust Record")</f>
        <v>HathiTrust Record</v>
      </c>
      <c r="AU318" s="5" t="str">
        <f>HYPERLINK("https://creighton-primo.hosted.exlibrisgroup.com/primo-explore/search?tab=default_tab&amp;search_scope=EVERYTHING&amp;vid=01CRU&amp;lang=en_US&amp;offset=0&amp;query=any,contains,991000976929702656","Catalog Record")</f>
        <v>Catalog Record</v>
      </c>
      <c r="AV318" s="5" t="str">
        <f>HYPERLINK("http://www.worldcat.org/oclc/11623198","WorldCat Record")</f>
        <v>WorldCat Record</v>
      </c>
      <c r="AW318" s="2" t="s">
        <v>3753</v>
      </c>
      <c r="AX318" s="2" t="s">
        <v>3754</v>
      </c>
      <c r="AY318" s="2" t="s">
        <v>3755</v>
      </c>
      <c r="AZ318" s="2" t="s">
        <v>3755</v>
      </c>
      <c r="BA318" s="2" t="s">
        <v>3756</v>
      </c>
      <c r="BB318" s="2" t="s">
        <v>81</v>
      </c>
      <c r="BD318" s="2" t="s">
        <v>3757</v>
      </c>
      <c r="BE318" s="2" t="s">
        <v>3758</v>
      </c>
      <c r="BF318" s="2" t="s">
        <v>3759</v>
      </c>
    </row>
    <row r="319" spans="1:58" ht="42" customHeight="1">
      <c r="A319" s="1"/>
      <c r="B319" s="1" t="s">
        <v>58</v>
      </c>
      <c r="C319" s="1" t="s">
        <v>59</v>
      </c>
      <c r="D319" s="1" t="s">
        <v>3760</v>
      </c>
      <c r="E319" s="1" t="s">
        <v>3761</v>
      </c>
      <c r="F319" s="1" t="s">
        <v>3762</v>
      </c>
      <c r="H319" s="2" t="s">
        <v>63</v>
      </c>
      <c r="I319" s="2" t="s">
        <v>64</v>
      </c>
      <c r="J319" s="2" t="s">
        <v>63</v>
      </c>
      <c r="K319" s="2" t="s">
        <v>63</v>
      </c>
      <c r="L319" s="2" t="s">
        <v>65</v>
      </c>
      <c r="M319" s="1" t="s">
        <v>3763</v>
      </c>
      <c r="N319" s="1" t="s">
        <v>3764</v>
      </c>
      <c r="O319" s="2" t="s">
        <v>591</v>
      </c>
      <c r="Q319" s="2" t="s">
        <v>70</v>
      </c>
      <c r="R319" s="2" t="s">
        <v>509</v>
      </c>
      <c r="T319" s="2" t="s">
        <v>73</v>
      </c>
      <c r="U319" s="3">
        <v>8</v>
      </c>
      <c r="V319" s="3">
        <v>8</v>
      </c>
      <c r="W319" s="4" t="s">
        <v>3765</v>
      </c>
      <c r="X319" s="4" t="s">
        <v>3765</v>
      </c>
      <c r="Y319" s="4" t="s">
        <v>3766</v>
      </c>
      <c r="Z319" s="4" t="s">
        <v>3766</v>
      </c>
      <c r="AA319" s="3">
        <v>317</v>
      </c>
      <c r="AB319" s="3">
        <v>204</v>
      </c>
      <c r="AC319" s="3">
        <v>211</v>
      </c>
      <c r="AD319" s="3">
        <v>2</v>
      </c>
      <c r="AE319" s="3">
        <v>2</v>
      </c>
      <c r="AF319" s="3">
        <v>6</v>
      </c>
      <c r="AG319" s="3">
        <v>6</v>
      </c>
      <c r="AH319" s="3">
        <v>1</v>
      </c>
      <c r="AI319" s="3">
        <v>1</v>
      </c>
      <c r="AJ319" s="3">
        <v>1</v>
      </c>
      <c r="AK319" s="3">
        <v>1</v>
      </c>
      <c r="AL319" s="3">
        <v>3</v>
      </c>
      <c r="AM319" s="3">
        <v>3</v>
      </c>
      <c r="AN319" s="3">
        <v>1</v>
      </c>
      <c r="AO319" s="3">
        <v>1</v>
      </c>
      <c r="AP319" s="3">
        <v>0</v>
      </c>
      <c r="AQ319" s="3">
        <v>0</v>
      </c>
      <c r="AR319" s="2" t="s">
        <v>63</v>
      </c>
      <c r="AS319" s="2" t="s">
        <v>76</v>
      </c>
      <c r="AT319" s="5" t="str">
        <f>HYPERLINK("http://catalog.hathitrust.org/Record/001556650","HathiTrust Record")</f>
        <v>HathiTrust Record</v>
      </c>
      <c r="AU319" s="5" t="str">
        <f>HYPERLINK("https://creighton-primo.hosted.exlibrisgroup.com/primo-explore/search?tab=default_tab&amp;search_scope=EVERYTHING&amp;vid=01CRU&amp;lang=en_US&amp;offset=0&amp;query=any,contains,991000976999702656","Catalog Record")</f>
        <v>Catalog Record</v>
      </c>
      <c r="AV319" s="5" t="str">
        <f>HYPERLINK("http://www.worldcat.org/oclc/897415","WorldCat Record")</f>
        <v>WorldCat Record</v>
      </c>
      <c r="AW319" s="2" t="s">
        <v>3767</v>
      </c>
      <c r="AX319" s="2" t="s">
        <v>3768</v>
      </c>
      <c r="AY319" s="2" t="s">
        <v>3769</v>
      </c>
      <c r="AZ319" s="2" t="s">
        <v>3769</v>
      </c>
      <c r="BA319" s="2" t="s">
        <v>3770</v>
      </c>
      <c r="BB319" s="2" t="s">
        <v>81</v>
      </c>
      <c r="BD319" s="2" t="s">
        <v>3771</v>
      </c>
      <c r="BE319" s="2" t="s">
        <v>3772</v>
      </c>
      <c r="BF319" s="2" t="s">
        <v>3773</v>
      </c>
    </row>
    <row r="320" spans="1:58" ht="42" customHeight="1">
      <c r="A320" s="1"/>
      <c r="B320" s="1" t="s">
        <v>58</v>
      </c>
      <c r="C320" s="1" t="s">
        <v>59</v>
      </c>
      <c r="D320" s="1" t="s">
        <v>3774</v>
      </c>
      <c r="E320" s="1" t="s">
        <v>3775</v>
      </c>
      <c r="F320" s="1" t="s">
        <v>3776</v>
      </c>
      <c r="H320" s="2" t="s">
        <v>63</v>
      </c>
      <c r="I320" s="2" t="s">
        <v>64</v>
      </c>
      <c r="J320" s="2" t="s">
        <v>63</v>
      </c>
      <c r="K320" s="2" t="s">
        <v>63</v>
      </c>
      <c r="L320" s="2" t="s">
        <v>65</v>
      </c>
      <c r="M320" s="1" t="s">
        <v>3777</v>
      </c>
      <c r="N320" s="1" t="s">
        <v>3778</v>
      </c>
      <c r="O320" s="2" t="s">
        <v>728</v>
      </c>
      <c r="Q320" s="2" t="s">
        <v>70</v>
      </c>
      <c r="R320" s="2" t="s">
        <v>168</v>
      </c>
      <c r="T320" s="2" t="s">
        <v>73</v>
      </c>
      <c r="U320" s="3">
        <v>4</v>
      </c>
      <c r="V320" s="3">
        <v>4</v>
      </c>
      <c r="W320" s="4" t="s">
        <v>3738</v>
      </c>
      <c r="X320" s="4" t="s">
        <v>3738</v>
      </c>
      <c r="Y320" s="4" t="s">
        <v>3779</v>
      </c>
      <c r="Z320" s="4" t="s">
        <v>3779</v>
      </c>
      <c r="AA320" s="3">
        <v>144</v>
      </c>
      <c r="AB320" s="3">
        <v>113</v>
      </c>
      <c r="AC320" s="3">
        <v>115</v>
      </c>
      <c r="AD320" s="3">
        <v>1</v>
      </c>
      <c r="AE320" s="3">
        <v>1</v>
      </c>
      <c r="AF320" s="3">
        <v>3</v>
      </c>
      <c r="AG320" s="3">
        <v>3</v>
      </c>
      <c r="AH320" s="3">
        <v>1</v>
      </c>
      <c r="AI320" s="3">
        <v>1</v>
      </c>
      <c r="AJ320" s="3">
        <v>1</v>
      </c>
      <c r="AK320" s="3">
        <v>1</v>
      </c>
      <c r="AL320" s="3">
        <v>2</v>
      </c>
      <c r="AM320" s="3">
        <v>2</v>
      </c>
      <c r="AN320" s="3">
        <v>0</v>
      </c>
      <c r="AO320" s="3">
        <v>0</v>
      </c>
      <c r="AP320" s="3">
        <v>0</v>
      </c>
      <c r="AQ320" s="3">
        <v>0</v>
      </c>
      <c r="AR320" s="2" t="s">
        <v>63</v>
      </c>
      <c r="AS320" s="2" t="s">
        <v>76</v>
      </c>
      <c r="AT320" s="5" t="str">
        <f>HYPERLINK("http://catalog.hathitrust.org/Record/000017640","HathiTrust Record")</f>
        <v>HathiTrust Record</v>
      </c>
      <c r="AU320" s="5" t="str">
        <f>HYPERLINK("https://creighton-primo.hosted.exlibrisgroup.com/primo-explore/search?tab=default_tab&amp;search_scope=EVERYTHING&amp;vid=01CRU&amp;lang=en_US&amp;offset=0&amp;query=any,contains,991001109329702656","Catalog Record")</f>
        <v>Catalog Record</v>
      </c>
      <c r="AV320" s="5" t="str">
        <f>HYPERLINK("http://www.worldcat.org/oclc/4591309","WorldCat Record")</f>
        <v>WorldCat Record</v>
      </c>
      <c r="AW320" s="2" t="s">
        <v>3780</v>
      </c>
      <c r="AX320" s="2" t="s">
        <v>3781</v>
      </c>
      <c r="AY320" s="2" t="s">
        <v>3782</v>
      </c>
      <c r="AZ320" s="2" t="s">
        <v>3782</v>
      </c>
      <c r="BA320" s="2" t="s">
        <v>3783</v>
      </c>
      <c r="BB320" s="2" t="s">
        <v>81</v>
      </c>
      <c r="BD320" s="2" t="s">
        <v>3784</v>
      </c>
      <c r="BE320" s="2" t="s">
        <v>3785</v>
      </c>
      <c r="BF320" s="2" t="s">
        <v>3786</v>
      </c>
    </row>
    <row r="321" spans="1:58" ht="42" customHeight="1">
      <c r="A321" s="1"/>
      <c r="B321" s="1" t="s">
        <v>58</v>
      </c>
      <c r="C321" s="1" t="s">
        <v>59</v>
      </c>
      <c r="D321" s="1" t="s">
        <v>3787</v>
      </c>
      <c r="E321" s="1" t="s">
        <v>3788</v>
      </c>
      <c r="F321" s="1" t="s">
        <v>3789</v>
      </c>
      <c r="H321" s="2" t="s">
        <v>63</v>
      </c>
      <c r="I321" s="2" t="s">
        <v>64</v>
      </c>
      <c r="J321" s="2" t="s">
        <v>63</v>
      </c>
      <c r="K321" s="2" t="s">
        <v>63</v>
      </c>
      <c r="L321" s="2" t="s">
        <v>65</v>
      </c>
      <c r="M321" s="1" t="s">
        <v>3790</v>
      </c>
      <c r="N321" s="1" t="s">
        <v>3791</v>
      </c>
      <c r="O321" s="2" t="s">
        <v>1285</v>
      </c>
      <c r="Q321" s="2" t="s">
        <v>70</v>
      </c>
      <c r="R321" s="2" t="s">
        <v>509</v>
      </c>
      <c r="S321" s="1" t="s">
        <v>3792</v>
      </c>
      <c r="T321" s="2" t="s">
        <v>73</v>
      </c>
      <c r="U321" s="3">
        <v>1</v>
      </c>
      <c r="V321" s="3">
        <v>1</v>
      </c>
      <c r="W321" s="4" t="s">
        <v>3793</v>
      </c>
      <c r="X321" s="4" t="s">
        <v>3793</v>
      </c>
      <c r="Y321" s="4" t="s">
        <v>798</v>
      </c>
      <c r="Z321" s="4" t="s">
        <v>798</v>
      </c>
      <c r="AA321" s="3">
        <v>346</v>
      </c>
      <c r="AB321" s="3">
        <v>240</v>
      </c>
      <c r="AC321" s="3">
        <v>245</v>
      </c>
      <c r="AD321" s="3">
        <v>2</v>
      </c>
      <c r="AE321" s="3">
        <v>2</v>
      </c>
      <c r="AF321" s="3">
        <v>8</v>
      </c>
      <c r="AG321" s="3">
        <v>8</v>
      </c>
      <c r="AH321" s="3">
        <v>1</v>
      </c>
      <c r="AI321" s="3">
        <v>1</v>
      </c>
      <c r="AJ321" s="3">
        <v>3</v>
      </c>
      <c r="AK321" s="3">
        <v>3</v>
      </c>
      <c r="AL321" s="3">
        <v>5</v>
      </c>
      <c r="AM321" s="3">
        <v>5</v>
      </c>
      <c r="AN321" s="3">
        <v>1</v>
      </c>
      <c r="AO321" s="3">
        <v>1</v>
      </c>
      <c r="AP321" s="3">
        <v>0</v>
      </c>
      <c r="AQ321" s="3">
        <v>0</v>
      </c>
      <c r="AR321" s="2" t="s">
        <v>63</v>
      </c>
      <c r="AS321" s="2" t="s">
        <v>63</v>
      </c>
      <c r="AU321" s="5" t="str">
        <f>HYPERLINK("https://creighton-primo.hosted.exlibrisgroup.com/primo-explore/search?tab=default_tab&amp;search_scope=EVERYTHING&amp;vid=01CRU&amp;lang=en_US&amp;offset=0&amp;query=any,contains,991000977059702656","Catalog Record")</f>
        <v>Catalog Record</v>
      </c>
      <c r="AV321" s="5" t="str">
        <f>HYPERLINK("http://www.worldcat.org/oclc/447572","WorldCat Record")</f>
        <v>WorldCat Record</v>
      </c>
      <c r="AW321" s="2" t="s">
        <v>3794</v>
      </c>
      <c r="AX321" s="2" t="s">
        <v>3795</v>
      </c>
      <c r="AY321" s="2" t="s">
        <v>3796</v>
      </c>
      <c r="AZ321" s="2" t="s">
        <v>3796</v>
      </c>
      <c r="BA321" s="2" t="s">
        <v>3797</v>
      </c>
      <c r="BB321" s="2" t="s">
        <v>81</v>
      </c>
      <c r="BD321" s="2" t="s">
        <v>3798</v>
      </c>
      <c r="BE321" s="2" t="s">
        <v>3799</v>
      </c>
      <c r="BF321" s="2" t="s">
        <v>3800</v>
      </c>
    </row>
    <row r="322" spans="1:58" ht="42" customHeight="1">
      <c r="A322" s="1"/>
      <c r="B322" s="1" t="s">
        <v>58</v>
      </c>
      <c r="C322" s="1" t="s">
        <v>59</v>
      </c>
      <c r="D322" s="1" t="s">
        <v>3801</v>
      </c>
      <c r="E322" s="1" t="s">
        <v>3802</v>
      </c>
      <c r="F322" s="1" t="s">
        <v>3803</v>
      </c>
      <c r="H322" s="2" t="s">
        <v>63</v>
      </c>
      <c r="I322" s="2" t="s">
        <v>64</v>
      </c>
      <c r="J322" s="2" t="s">
        <v>63</v>
      </c>
      <c r="K322" s="2" t="s">
        <v>63</v>
      </c>
      <c r="L322" s="2" t="s">
        <v>65</v>
      </c>
      <c r="N322" s="1" t="s">
        <v>3804</v>
      </c>
      <c r="O322" s="2" t="s">
        <v>632</v>
      </c>
      <c r="Q322" s="2" t="s">
        <v>70</v>
      </c>
      <c r="R322" s="2" t="s">
        <v>422</v>
      </c>
      <c r="T322" s="2" t="s">
        <v>73</v>
      </c>
      <c r="U322" s="3">
        <v>7</v>
      </c>
      <c r="V322" s="3">
        <v>7</v>
      </c>
      <c r="W322" s="4" t="s">
        <v>3805</v>
      </c>
      <c r="X322" s="4" t="s">
        <v>3805</v>
      </c>
      <c r="Y322" s="4" t="s">
        <v>3806</v>
      </c>
      <c r="Z322" s="4" t="s">
        <v>3806</v>
      </c>
      <c r="AA322" s="3">
        <v>145</v>
      </c>
      <c r="AB322" s="3">
        <v>98</v>
      </c>
      <c r="AC322" s="3">
        <v>103</v>
      </c>
      <c r="AD322" s="3">
        <v>1</v>
      </c>
      <c r="AE322" s="3">
        <v>1</v>
      </c>
      <c r="AF322" s="3">
        <v>1</v>
      </c>
      <c r="AG322" s="3">
        <v>1</v>
      </c>
      <c r="AH322" s="3">
        <v>0</v>
      </c>
      <c r="AI322" s="3">
        <v>0</v>
      </c>
      <c r="AJ322" s="3">
        <v>1</v>
      </c>
      <c r="AK322" s="3">
        <v>1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2" t="s">
        <v>63</v>
      </c>
      <c r="AS322" s="2" t="s">
        <v>63</v>
      </c>
      <c r="AU322" s="5" t="str">
        <f>HYPERLINK("https://creighton-primo.hosted.exlibrisgroup.com/primo-explore/search?tab=default_tab&amp;search_scope=EVERYTHING&amp;vid=01CRU&amp;lang=en_US&amp;offset=0&amp;query=any,contains,991000550289702656","Catalog Record")</f>
        <v>Catalog Record</v>
      </c>
      <c r="AV322" s="5" t="str">
        <f>HYPERLINK("http://www.worldcat.org/oclc/25554679","WorldCat Record")</f>
        <v>WorldCat Record</v>
      </c>
      <c r="AW322" s="2" t="s">
        <v>3807</v>
      </c>
      <c r="AX322" s="2" t="s">
        <v>3808</v>
      </c>
      <c r="AY322" s="2" t="s">
        <v>3809</v>
      </c>
      <c r="AZ322" s="2" t="s">
        <v>3809</v>
      </c>
      <c r="BA322" s="2" t="s">
        <v>3810</v>
      </c>
      <c r="BB322" s="2" t="s">
        <v>81</v>
      </c>
      <c r="BD322" s="2" t="s">
        <v>3811</v>
      </c>
      <c r="BE322" s="2" t="s">
        <v>3812</v>
      </c>
      <c r="BF322" s="2" t="s">
        <v>3813</v>
      </c>
    </row>
    <row r="323" spans="1:58" ht="42" customHeight="1">
      <c r="A323" s="1"/>
      <c r="B323" s="1" t="s">
        <v>58</v>
      </c>
      <c r="C323" s="1" t="s">
        <v>59</v>
      </c>
      <c r="D323" s="1" t="s">
        <v>3814</v>
      </c>
      <c r="E323" s="1" t="s">
        <v>3815</v>
      </c>
      <c r="F323" s="1" t="s">
        <v>3816</v>
      </c>
      <c r="H323" s="2" t="s">
        <v>63</v>
      </c>
      <c r="I323" s="2" t="s">
        <v>64</v>
      </c>
      <c r="J323" s="2" t="s">
        <v>63</v>
      </c>
      <c r="K323" s="2" t="s">
        <v>63</v>
      </c>
      <c r="L323" s="2" t="s">
        <v>65</v>
      </c>
      <c r="M323" s="1" t="s">
        <v>3817</v>
      </c>
      <c r="N323" s="1" t="s">
        <v>3818</v>
      </c>
      <c r="O323" s="2" t="s">
        <v>136</v>
      </c>
      <c r="Q323" s="2" t="s">
        <v>70</v>
      </c>
      <c r="R323" s="2" t="s">
        <v>360</v>
      </c>
      <c r="T323" s="2" t="s">
        <v>73</v>
      </c>
      <c r="U323" s="3">
        <v>2</v>
      </c>
      <c r="V323" s="3">
        <v>2</v>
      </c>
      <c r="W323" s="4" t="s">
        <v>3819</v>
      </c>
      <c r="X323" s="4" t="s">
        <v>3819</v>
      </c>
      <c r="Y323" s="4" t="s">
        <v>3108</v>
      </c>
      <c r="Z323" s="4" t="s">
        <v>3108</v>
      </c>
      <c r="AA323" s="3">
        <v>161</v>
      </c>
      <c r="AB323" s="3">
        <v>157</v>
      </c>
      <c r="AC323" s="3">
        <v>165</v>
      </c>
      <c r="AD323" s="3">
        <v>1</v>
      </c>
      <c r="AE323" s="3">
        <v>1</v>
      </c>
      <c r="AF323" s="3">
        <v>3</v>
      </c>
      <c r="AG323" s="3">
        <v>3</v>
      </c>
      <c r="AH323" s="3">
        <v>1</v>
      </c>
      <c r="AI323" s="3">
        <v>1</v>
      </c>
      <c r="AJ323" s="3">
        <v>1</v>
      </c>
      <c r="AK323" s="3">
        <v>1</v>
      </c>
      <c r="AL323" s="3">
        <v>1</v>
      </c>
      <c r="AM323" s="3">
        <v>1</v>
      </c>
      <c r="AN323" s="3">
        <v>0</v>
      </c>
      <c r="AO323" s="3">
        <v>0</v>
      </c>
      <c r="AP323" s="3">
        <v>0</v>
      </c>
      <c r="AQ323" s="3">
        <v>0</v>
      </c>
      <c r="AR323" s="2" t="s">
        <v>63</v>
      </c>
      <c r="AS323" s="2" t="s">
        <v>76</v>
      </c>
      <c r="AT323" s="5" t="str">
        <f>HYPERLINK("http://catalog.hathitrust.org/Record/000147056","HathiTrust Record")</f>
        <v>HathiTrust Record</v>
      </c>
      <c r="AU323" s="5" t="str">
        <f>HYPERLINK("https://creighton-primo.hosted.exlibrisgroup.com/primo-explore/search?tab=default_tab&amp;search_scope=EVERYTHING&amp;vid=01CRU&amp;lang=en_US&amp;offset=0&amp;query=any,contains,991000977099702656","Catalog Record")</f>
        <v>Catalog Record</v>
      </c>
      <c r="AV323" s="5" t="str">
        <f>HYPERLINK("http://www.worldcat.org/oclc/8315916","WorldCat Record")</f>
        <v>WorldCat Record</v>
      </c>
      <c r="AW323" s="2" t="s">
        <v>3820</v>
      </c>
      <c r="AX323" s="2" t="s">
        <v>3821</v>
      </c>
      <c r="AY323" s="2" t="s">
        <v>3822</v>
      </c>
      <c r="AZ323" s="2" t="s">
        <v>3822</v>
      </c>
      <c r="BA323" s="2" t="s">
        <v>3823</v>
      </c>
      <c r="BB323" s="2" t="s">
        <v>81</v>
      </c>
      <c r="BE323" s="2" t="s">
        <v>3824</v>
      </c>
      <c r="BF323" s="2" t="s">
        <v>3825</v>
      </c>
    </row>
    <row r="324" spans="1:58" ht="42" customHeight="1">
      <c r="A324" s="1"/>
      <c r="B324" s="1" t="s">
        <v>58</v>
      </c>
      <c r="C324" s="1" t="s">
        <v>59</v>
      </c>
      <c r="D324" s="1" t="s">
        <v>3826</v>
      </c>
      <c r="E324" s="1" t="s">
        <v>3827</v>
      </c>
      <c r="F324" s="1" t="s">
        <v>3828</v>
      </c>
      <c r="H324" s="2" t="s">
        <v>63</v>
      </c>
      <c r="I324" s="2" t="s">
        <v>64</v>
      </c>
      <c r="J324" s="2" t="s">
        <v>63</v>
      </c>
      <c r="K324" s="2" t="s">
        <v>63</v>
      </c>
      <c r="L324" s="2" t="s">
        <v>65</v>
      </c>
      <c r="N324" s="1" t="s">
        <v>3829</v>
      </c>
      <c r="O324" s="2" t="s">
        <v>713</v>
      </c>
      <c r="Q324" s="2" t="s">
        <v>70</v>
      </c>
      <c r="R324" s="2" t="s">
        <v>408</v>
      </c>
      <c r="T324" s="2" t="s">
        <v>73</v>
      </c>
      <c r="U324" s="3">
        <v>2</v>
      </c>
      <c r="V324" s="3">
        <v>2</v>
      </c>
      <c r="W324" s="4" t="s">
        <v>3830</v>
      </c>
      <c r="X324" s="4" t="s">
        <v>3830</v>
      </c>
      <c r="Y324" s="4" t="s">
        <v>3108</v>
      </c>
      <c r="Z324" s="4" t="s">
        <v>3108</v>
      </c>
      <c r="AA324" s="3">
        <v>105</v>
      </c>
      <c r="AB324" s="3">
        <v>81</v>
      </c>
      <c r="AC324" s="3">
        <v>106</v>
      </c>
      <c r="AD324" s="3">
        <v>1</v>
      </c>
      <c r="AE324" s="3">
        <v>1</v>
      </c>
      <c r="AF324" s="3">
        <v>2</v>
      </c>
      <c r="AG324" s="3">
        <v>3</v>
      </c>
      <c r="AH324" s="3">
        <v>0</v>
      </c>
      <c r="AI324" s="3">
        <v>1</v>
      </c>
      <c r="AJ324" s="3">
        <v>1</v>
      </c>
      <c r="AK324" s="3">
        <v>1</v>
      </c>
      <c r="AL324" s="3">
        <v>1</v>
      </c>
      <c r="AM324" s="3">
        <v>2</v>
      </c>
      <c r="AN324" s="3">
        <v>0</v>
      </c>
      <c r="AO324" s="3">
        <v>0</v>
      </c>
      <c r="AP324" s="3">
        <v>0</v>
      </c>
      <c r="AQ324" s="3">
        <v>0</v>
      </c>
      <c r="AR324" s="2" t="s">
        <v>63</v>
      </c>
      <c r="AS324" s="2" t="s">
        <v>76</v>
      </c>
      <c r="AT324" s="5" t="str">
        <f>HYPERLINK("http://catalog.hathitrust.org/Record/006247958","HathiTrust Record")</f>
        <v>HathiTrust Record</v>
      </c>
      <c r="AU324" s="5" t="str">
        <f>HYPERLINK("https://creighton-primo.hosted.exlibrisgroup.com/primo-explore/search?tab=default_tab&amp;search_scope=EVERYTHING&amp;vid=01CRU&amp;lang=en_US&amp;offset=0&amp;query=any,contains,991001266739702656","Catalog Record")</f>
        <v>Catalog Record</v>
      </c>
      <c r="AV324" s="5" t="str">
        <f>HYPERLINK("http://www.worldcat.org/oclc/15016409","WorldCat Record")</f>
        <v>WorldCat Record</v>
      </c>
      <c r="AW324" s="2" t="s">
        <v>3831</v>
      </c>
      <c r="AX324" s="2" t="s">
        <v>3832</v>
      </c>
      <c r="AY324" s="2" t="s">
        <v>3833</v>
      </c>
      <c r="AZ324" s="2" t="s">
        <v>3833</v>
      </c>
      <c r="BA324" s="2" t="s">
        <v>3834</v>
      </c>
      <c r="BB324" s="2" t="s">
        <v>81</v>
      </c>
      <c r="BD324" s="2" t="s">
        <v>3835</v>
      </c>
      <c r="BE324" s="2" t="s">
        <v>3836</v>
      </c>
      <c r="BF324" s="2" t="s">
        <v>3837</v>
      </c>
    </row>
    <row r="325" spans="1:58" ht="42" customHeight="1">
      <c r="A325" s="1"/>
      <c r="B325" s="1" t="s">
        <v>58</v>
      </c>
      <c r="C325" s="1" t="s">
        <v>59</v>
      </c>
      <c r="D325" s="1" t="s">
        <v>3838</v>
      </c>
      <c r="E325" s="1" t="s">
        <v>3839</v>
      </c>
      <c r="F325" s="1" t="s">
        <v>3840</v>
      </c>
      <c r="H325" s="2" t="s">
        <v>63</v>
      </c>
      <c r="I325" s="2" t="s">
        <v>64</v>
      </c>
      <c r="J325" s="2" t="s">
        <v>63</v>
      </c>
      <c r="K325" s="2" t="s">
        <v>63</v>
      </c>
      <c r="L325" s="2" t="s">
        <v>65</v>
      </c>
      <c r="N325" s="1" t="s">
        <v>3841</v>
      </c>
      <c r="O325" s="2" t="s">
        <v>757</v>
      </c>
      <c r="Q325" s="2" t="s">
        <v>70</v>
      </c>
      <c r="R325" s="2" t="s">
        <v>107</v>
      </c>
      <c r="T325" s="2" t="s">
        <v>73</v>
      </c>
      <c r="U325" s="3">
        <v>4</v>
      </c>
      <c r="V325" s="3">
        <v>4</v>
      </c>
      <c r="W325" s="4" t="s">
        <v>3053</v>
      </c>
      <c r="X325" s="4" t="s">
        <v>3053</v>
      </c>
      <c r="Y325" s="4" t="s">
        <v>3108</v>
      </c>
      <c r="Z325" s="4" t="s">
        <v>3108</v>
      </c>
      <c r="AA325" s="3">
        <v>145</v>
      </c>
      <c r="AB325" s="3">
        <v>115</v>
      </c>
      <c r="AC325" s="3">
        <v>122</v>
      </c>
      <c r="AD325" s="3">
        <v>1</v>
      </c>
      <c r="AE325" s="3">
        <v>1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2" t="s">
        <v>63</v>
      </c>
      <c r="AS325" s="2" t="s">
        <v>76</v>
      </c>
      <c r="AT325" s="5" t="str">
        <f>HYPERLINK("http://catalog.hathitrust.org/Record/000269740","HathiTrust Record")</f>
        <v>HathiTrust Record</v>
      </c>
      <c r="AU325" s="5" t="str">
        <f>HYPERLINK("https://creighton-primo.hosted.exlibrisgroup.com/primo-explore/search?tab=default_tab&amp;search_scope=EVERYTHING&amp;vid=01CRU&amp;lang=en_US&amp;offset=0&amp;query=any,contains,991000977219702656","Catalog Record")</f>
        <v>Catalog Record</v>
      </c>
      <c r="AV325" s="5" t="str">
        <f>HYPERLINK("http://www.worldcat.org/oclc/7577294","WorldCat Record")</f>
        <v>WorldCat Record</v>
      </c>
      <c r="AW325" s="2" t="s">
        <v>3842</v>
      </c>
      <c r="AX325" s="2" t="s">
        <v>3843</v>
      </c>
      <c r="AY325" s="2" t="s">
        <v>3844</v>
      </c>
      <c r="AZ325" s="2" t="s">
        <v>3844</v>
      </c>
      <c r="BA325" s="2" t="s">
        <v>3845</v>
      </c>
      <c r="BB325" s="2" t="s">
        <v>81</v>
      </c>
      <c r="BD325" s="2" t="s">
        <v>3846</v>
      </c>
      <c r="BE325" s="2" t="s">
        <v>3847</v>
      </c>
      <c r="BF325" s="2" t="s">
        <v>3848</v>
      </c>
    </row>
    <row r="326" spans="1:58" ht="42" customHeight="1">
      <c r="A326" s="1"/>
      <c r="B326" s="1" t="s">
        <v>58</v>
      </c>
      <c r="C326" s="1" t="s">
        <v>59</v>
      </c>
      <c r="D326" s="1" t="s">
        <v>3849</v>
      </c>
      <c r="E326" s="1" t="s">
        <v>3850</v>
      </c>
      <c r="F326" s="1" t="s">
        <v>3851</v>
      </c>
      <c r="H326" s="2" t="s">
        <v>63</v>
      </c>
      <c r="I326" s="2" t="s">
        <v>64</v>
      </c>
      <c r="J326" s="2" t="s">
        <v>63</v>
      </c>
      <c r="K326" s="2" t="s">
        <v>63</v>
      </c>
      <c r="L326" s="2" t="s">
        <v>65</v>
      </c>
      <c r="M326" s="1" t="s">
        <v>3852</v>
      </c>
      <c r="N326" s="1" t="s">
        <v>3853</v>
      </c>
      <c r="O326" s="2" t="s">
        <v>863</v>
      </c>
      <c r="Q326" s="2" t="s">
        <v>70</v>
      </c>
      <c r="R326" s="2" t="s">
        <v>92</v>
      </c>
      <c r="T326" s="2" t="s">
        <v>73</v>
      </c>
      <c r="U326" s="3">
        <v>6</v>
      </c>
      <c r="V326" s="3">
        <v>6</v>
      </c>
      <c r="W326" s="4" t="s">
        <v>3854</v>
      </c>
      <c r="X326" s="4" t="s">
        <v>3854</v>
      </c>
      <c r="Y326" s="4" t="s">
        <v>3371</v>
      </c>
      <c r="Z326" s="4" t="s">
        <v>3371</v>
      </c>
      <c r="AA326" s="3">
        <v>204</v>
      </c>
      <c r="AB326" s="3">
        <v>174</v>
      </c>
      <c r="AC326" s="3">
        <v>279</v>
      </c>
      <c r="AD326" s="3">
        <v>1</v>
      </c>
      <c r="AE326" s="3">
        <v>1</v>
      </c>
      <c r="AF326" s="3">
        <v>2</v>
      </c>
      <c r="AG326" s="3">
        <v>2</v>
      </c>
      <c r="AH326" s="3">
        <v>1</v>
      </c>
      <c r="AI326" s="3">
        <v>1</v>
      </c>
      <c r="AJ326" s="3">
        <v>1</v>
      </c>
      <c r="AK326" s="3">
        <v>1</v>
      </c>
      <c r="AL326" s="3">
        <v>2</v>
      </c>
      <c r="AM326" s="3">
        <v>2</v>
      </c>
      <c r="AN326" s="3">
        <v>0</v>
      </c>
      <c r="AO326" s="3">
        <v>0</v>
      </c>
      <c r="AP326" s="3">
        <v>0</v>
      </c>
      <c r="AQ326" s="3">
        <v>0</v>
      </c>
      <c r="AR326" s="2" t="s">
        <v>63</v>
      </c>
      <c r="AS326" s="2" t="s">
        <v>76</v>
      </c>
      <c r="AT326" s="5" t="str">
        <f>HYPERLINK("http://catalog.hathitrust.org/Record/000905312","HathiTrust Record")</f>
        <v>HathiTrust Record</v>
      </c>
      <c r="AU326" s="5" t="str">
        <f>HYPERLINK("https://creighton-primo.hosted.exlibrisgroup.com/primo-explore/search?tab=default_tab&amp;search_scope=EVERYTHING&amp;vid=01CRU&amp;lang=en_US&amp;offset=0&amp;query=any,contains,991001299449702656","Catalog Record")</f>
        <v>Catalog Record</v>
      </c>
      <c r="AV326" s="5" t="str">
        <f>HYPERLINK("http://www.worldcat.org/oclc/17547956","WorldCat Record")</f>
        <v>WorldCat Record</v>
      </c>
      <c r="AW326" s="2" t="s">
        <v>3855</v>
      </c>
      <c r="AX326" s="2" t="s">
        <v>3856</v>
      </c>
      <c r="AY326" s="2" t="s">
        <v>3857</v>
      </c>
      <c r="AZ326" s="2" t="s">
        <v>3857</v>
      </c>
      <c r="BA326" s="2" t="s">
        <v>3858</v>
      </c>
      <c r="BB326" s="2" t="s">
        <v>81</v>
      </c>
      <c r="BD326" s="2" t="s">
        <v>3859</v>
      </c>
      <c r="BE326" s="2" t="s">
        <v>3860</v>
      </c>
      <c r="BF326" s="2" t="s">
        <v>3861</v>
      </c>
    </row>
    <row r="327" spans="1:58" ht="42" customHeight="1">
      <c r="A327" s="1"/>
      <c r="B327" s="1" t="s">
        <v>58</v>
      </c>
      <c r="C327" s="1" t="s">
        <v>59</v>
      </c>
      <c r="D327" s="1" t="s">
        <v>3862</v>
      </c>
      <c r="E327" s="1" t="s">
        <v>3863</v>
      </c>
      <c r="F327" s="1" t="s">
        <v>3864</v>
      </c>
      <c r="H327" s="2" t="s">
        <v>63</v>
      </c>
      <c r="I327" s="2" t="s">
        <v>64</v>
      </c>
      <c r="J327" s="2" t="s">
        <v>63</v>
      </c>
      <c r="K327" s="2" t="s">
        <v>63</v>
      </c>
      <c r="L327" s="2" t="s">
        <v>65</v>
      </c>
      <c r="M327" s="1" t="s">
        <v>3865</v>
      </c>
      <c r="N327" s="1" t="s">
        <v>3866</v>
      </c>
      <c r="O327" s="2" t="s">
        <v>68</v>
      </c>
      <c r="Q327" s="2" t="s">
        <v>70</v>
      </c>
      <c r="R327" s="2" t="s">
        <v>422</v>
      </c>
      <c r="T327" s="2" t="s">
        <v>73</v>
      </c>
      <c r="U327" s="3">
        <v>8</v>
      </c>
      <c r="V327" s="3">
        <v>8</v>
      </c>
      <c r="W327" s="4" t="s">
        <v>1123</v>
      </c>
      <c r="X327" s="4" t="s">
        <v>1123</v>
      </c>
      <c r="Y327" s="4" t="s">
        <v>3867</v>
      </c>
      <c r="Z327" s="4" t="s">
        <v>3867</v>
      </c>
      <c r="AA327" s="3">
        <v>248</v>
      </c>
      <c r="AB327" s="3">
        <v>194</v>
      </c>
      <c r="AC327" s="3">
        <v>194</v>
      </c>
      <c r="AD327" s="3">
        <v>3</v>
      </c>
      <c r="AE327" s="3">
        <v>3</v>
      </c>
      <c r="AF327" s="3">
        <v>5</v>
      </c>
      <c r="AG327" s="3">
        <v>5</v>
      </c>
      <c r="AH327" s="3">
        <v>1</v>
      </c>
      <c r="AI327" s="3">
        <v>1</v>
      </c>
      <c r="AJ327" s="3">
        <v>1</v>
      </c>
      <c r="AK327" s="3">
        <v>1</v>
      </c>
      <c r="AL327" s="3">
        <v>1</v>
      </c>
      <c r="AM327" s="3">
        <v>1</v>
      </c>
      <c r="AN327" s="3">
        <v>2</v>
      </c>
      <c r="AO327" s="3">
        <v>2</v>
      </c>
      <c r="AP327" s="3">
        <v>0</v>
      </c>
      <c r="AQ327" s="3">
        <v>0</v>
      </c>
      <c r="AR327" s="2" t="s">
        <v>63</v>
      </c>
      <c r="AS327" s="2" t="s">
        <v>63</v>
      </c>
      <c r="AU327" s="5" t="str">
        <f>HYPERLINK("https://creighton-primo.hosted.exlibrisgroup.com/primo-explore/search?tab=default_tab&amp;search_scope=EVERYTHING&amp;vid=01CRU&amp;lang=en_US&amp;offset=0&amp;query=any,contains,991000647249702656","Catalog Record")</f>
        <v>Catalog Record</v>
      </c>
      <c r="AV327" s="5" t="str">
        <f>HYPERLINK("http://www.worldcat.org/oclc/28678598","WorldCat Record")</f>
        <v>WorldCat Record</v>
      </c>
      <c r="AW327" s="2" t="s">
        <v>3868</v>
      </c>
      <c r="AX327" s="2" t="s">
        <v>3869</v>
      </c>
      <c r="AY327" s="2" t="s">
        <v>3870</v>
      </c>
      <c r="AZ327" s="2" t="s">
        <v>3870</v>
      </c>
      <c r="BA327" s="2" t="s">
        <v>3871</v>
      </c>
      <c r="BB327" s="2" t="s">
        <v>81</v>
      </c>
      <c r="BD327" s="2" t="s">
        <v>3872</v>
      </c>
      <c r="BE327" s="2" t="s">
        <v>3873</v>
      </c>
      <c r="BF327" s="2" t="s">
        <v>3874</v>
      </c>
    </row>
    <row r="328" spans="1:58" ht="42" customHeight="1">
      <c r="A328" s="1"/>
      <c r="B328" s="1" t="s">
        <v>58</v>
      </c>
      <c r="C328" s="1" t="s">
        <v>59</v>
      </c>
      <c r="D328" s="1" t="s">
        <v>3875</v>
      </c>
      <c r="E328" s="1" t="s">
        <v>3876</v>
      </c>
      <c r="F328" s="1" t="s">
        <v>3877</v>
      </c>
      <c r="H328" s="2" t="s">
        <v>63</v>
      </c>
      <c r="I328" s="2" t="s">
        <v>64</v>
      </c>
      <c r="J328" s="2" t="s">
        <v>63</v>
      </c>
      <c r="K328" s="2" t="s">
        <v>63</v>
      </c>
      <c r="L328" s="2" t="s">
        <v>65</v>
      </c>
      <c r="N328" s="1" t="s">
        <v>1033</v>
      </c>
      <c r="O328" s="2" t="s">
        <v>1034</v>
      </c>
      <c r="Q328" s="2" t="s">
        <v>70</v>
      </c>
      <c r="R328" s="2" t="s">
        <v>71</v>
      </c>
      <c r="T328" s="2" t="s">
        <v>73</v>
      </c>
      <c r="U328" s="3">
        <v>3</v>
      </c>
      <c r="V328" s="3">
        <v>3</v>
      </c>
      <c r="W328" s="4" t="s">
        <v>3878</v>
      </c>
      <c r="X328" s="4" t="s">
        <v>3878</v>
      </c>
      <c r="Y328" s="4" t="s">
        <v>3878</v>
      </c>
      <c r="Z328" s="4" t="s">
        <v>3878</v>
      </c>
      <c r="AA328" s="3">
        <v>161</v>
      </c>
      <c r="AB328" s="3">
        <v>112</v>
      </c>
      <c r="AC328" s="3">
        <v>207</v>
      </c>
      <c r="AD328" s="3">
        <v>2</v>
      </c>
      <c r="AE328" s="3">
        <v>4</v>
      </c>
      <c r="AF328" s="3">
        <v>4</v>
      </c>
      <c r="AG328" s="3">
        <v>8</v>
      </c>
      <c r="AH328" s="3">
        <v>1</v>
      </c>
      <c r="AI328" s="3">
        <v>2</v>
      </c>
      <c r="AJ328" s="3">
        <v>1</v>
      </c>
      <c r="AK328" s="3">
        <v>2</v>
      </c>
      <c r="AL328" s="3">
        <v>2</v>
      </c>
      <c r="AM328" s="3">
        <v>2</v>
      </c>
      <c r="AN328" s="3">
        <v>1</v>
      </c>
      <c r="AO328" s="3">
        <v>3</v>
      </c>
      <c r="AP328" s="3">
        <v>0</v>
      </c>
      <c r="AQ328" s="3">
        <v>0</v>
      </c>
      <c r="AR328" s="2" t="s">
        <v>63</v>
      </c>
      <c r="AS328" s="2" t="s">
        <v>76</v>
      </c>
      <c r="AT328" s="5" t="str">
        <f>HYPERLINK("http://catalog.hathitrust.org/Record/003108414","HathiTrust Record")</f>
        <v>HathiTrust Record</v>
      </c>
      <c r="AU328" s="5" t="str">
        <f>HYPERLINK("https://creighton-primo.hosted.exlibrisgroup.com/primo-explore/search?tab=default_tab&amp;search_scope=EVERYTHING&amp;vid=01CRU&amp;lang=en_US&amp;offset=0&amp;query=any,contains,991001243849702656","Catalog Record")</f>
        <v>Catalog Record</v>
      </c>
      <c r="AV328" s="5" t="str">
        <f>HYPERLINK("http://www.worldcat.org/oclc/34721864","WorldCat Record")</f>
        <v>WorldCat Record</v>
      </c>
      <c r="AW328" s="2" t="s">
        <v>3879</v>
      </c>
      <c r="AX328" s="2" t="s">
        <v>3880</v>
      </c>
      <c r="AY328" s="2" t="s">
        <v>3881</v>
      </c>
      <c r="AZ328" s="2" t="s">
        <v>3881</v>
      </c>
      <c r="BA328" s="2" t="s">
        <v>3882</v>
      </c>
      <c r="BB328" s="2" t="s">
        <v>81</v>
      </c>
      <c r="BD328" s="2" t="s">
        <v>3883</v>
      </c>
      <c r="BE328" s="2" t="s">
        <v>3884</v>
      </c>
      <c r="BF328" s="2" t="s">
        <v>3885</v>
      </c>
    </row>
    <row r="329" spans="1:58" ht="42" customHeight="1">
      <c r="A329" s="1"/>
      <c r="B329" s="1" t="s">
        <v>58</v>
      </c>
      <c r="C329" s="1" t="s">
        <v>59</v>
      </c>
      <c r="D329" s="1" t="s">
        <v>3886</v>
      </c>
      <c r="E329" s="1" t="s">
        <v>3887</v>
      </c>
      <c r="F329" s="1" t="s">
        <v>3888</v>
      </c>
      <c r="H329" s="2" t="s">
        <v>63</v>
      </c>
      <c r="I329" s="2" t="s">
        <v>64</v>
      </c>
      <c r="J329" s="2" t="s">
        <v>63</v>
      </c>
      <c r="K329" s="2" t="s">
        <v>63</v>
      </c>
      <c r="L329" s="2" t="s">
        <v>65</v>
      </c>
      <c r="N329" s="1" t="s">
        <v>3889</v>
      </c>
      <c r="O329" s="2" t="s">
        <v>894</v>
      </c>
      <c r="Q329" s="2" t="s">
        <v>70</v>
      </c>
      <c r="R329" s="2" t="s">
        <v>168</v>
      </c>
      <c r="T329" s="2" t="s">
        <v>73</v>
      </c>
      <c r="U329" s="3">
        <v>5</v>
      </c>
      <c r="V329" s="3">
        <v>5</v>
      </c>
      <c r="W329" s="4" t="s">
        <v>3890</v>
      </c>
      <c r="X329" s="4" t="s">
        <v>3890</v>
      </c>
      <c r="Y329" s="4" t="s">
        <v>3891</v>
      </c>
      <c r="Z329" s="4" t="s">
        <v>3891</v>
      </c>
      <c r="AA329" s="3">
        <v>142</v>
      </c>
      <c r="AB329" s="3">
        <v>117</v>
      </c>
      <c r="AC329" s="3">
        <v>145</v>
      </c>
      <c r="AD329" s="3">
        <v>1</v>
      </c>
      <c r="AE329" s="3">
        <v>1</v>
      </c>
      <c r="AF329" s="3">
        <v>4</v>
      </c>
      <c r="AG329" s="3">
        <v>5</v>
      </c>
      <c r="AH329" s="3">
        <v>4</v>
      </c>
      <c r="AI329" s="3">
        <v>5</v>
      </c>
      <c r="AJ329" s="3">
        <v>2</v>
      </c>
      <c r="AK329" s="3">
        <v>2</v>
      </c>
      <c r="AL329" s="3">
        <v>1</v>
      </c>
      <c r="AM329" s="3">
        <v>2</v>
      </c>
      <c r="AN329" s="3">
        <v>0</v>
      </c>
      <c r="AO329" s="3">
        <v>0</v>
      </c>
      <c r="AP329" s="3">
        <v>0</v>
      </c>
      <c r="AQ329" s="3">
        <v>0</v>
      </c>
      <c r="AR329" s="2" t="s">
        <v>63</v>
      </c>
      <c r="AS329" s="2" t="s">
        <v>76</v>
      </c>
      <c r="AT329" s="5" t="str">
        <f>HYPERLINK("http://catalog.hathitrust.org/Record/000135406","HathiTrust Record")</f>
        <v>HathiTrust Record</v>
      </c>
      <c r="AU329" s="5" t="str">
        <f>HYPERLINK("https://creighton-primo.hosted.exlibrisgroup.com/primo-explore/search?tab=default_tab&amp;search_scope=EVERYTHING&amp;vid=01CRU&amp;lang=en_US&amp;offset=0&amp;query=any,contains,991000977269702656","Catalog Record")</f>
        <v>Catalog Record</v>
      </c>
      <c r="AV329" s="5" t="str">
        <f>HYPERLINK("http://www.worldcat.org/oclc/3844173","WorldCat Record")</f>
        <v>WorldCat Record</v>
      </c>
      <c r="AW329" s="2" t="s">
        <v>3892</v>
      </c>
      <c r="AX329" s="2" t="s">
        <v>3893</v>
      </c>
      <c r="AY329" s="2" t="s">
        <v>3894</v>
      </c>
      <c r="AZ329" s="2" t="s">
        <v>3894</v>
      </c>
      <c r="BA329" s="2" t="s">
        <v>3895</v>
      </c>
      <c r="BB329" s="2" t="s">
        <v>81</v>
      </c>
      <c r="BD329" s="2" t="s">
        <v>3896</v>
      </c>
      <c r="BE329" s="2" t="s">
        <v>3897</v>
      </c>
      <c r="BF329" s="2" t="s">
        <v>3898</v>
      </c>
    </row>
    <row r="330" spans="1:58" ht="42" customHeight="1">
      <c r="A330" s="1"/>
      <c r="B330" s="1" t="s">
        <v>58</v>
      </c>
      <c r="C330" s="1" t="s">
        <v>59</v>
      </c>
      <c r="D330" s="1" t="s">
        <v>3899</v>
      </c>
      <c r="E330" s="1" t="s">
        <v>3900</v>
      </c>
      <c r="F330" s="1" t="s">
        <v>3901</v>
      </c>
      <c r="H330" s="2" t="s">
        <v>63</v>
      </c>
      <c r="I330" s="2" t="s">
        <v>64</v>
      </c>
      <c r="J330" s="2" t="s">
        <v>63</v>
      </c>
      <c r="K330" s="2" t="s">
        <v>63</v>
      </c>
      <c r="L330" s="2" t="s">
        <v>65</v>
      </c>
      <c r="N330" s="1" t="s">
        <v>3902</v>
      </c>
      <c r="O330" s="2" t="s">
        <v>494</v>
      </c>
      <c r="Q330" s="2" t="s">
        <v>70</v>
      </c>
      <c r="R330" s="2" t="s">
        <v>698</v>
      </c>
      <c r="T330" s="2" t="s">
        <v>73</v>
      </c>
      <c r="U330" s="3">
        <v>1</v>
      </c>
      <c r="V330" s="3">
        <v>1</v>
      </c>
      <c r="W330" s="4" t="s">
        <v>2986</v>
      </c>
      <c r="X330" s="4" t="s">
        <v>2986</v>
      </c>
      <c r="Y330" s="4" t="s">
        <v>3903</v>
      </c>
      <c r="Z330" s="4" t="s">
        <v>3903</v>
      </c>
      <c r="AA330" s="3">
        <v>116</v>
      </c>
      <c r="AB330" s="3">
        <v>60</v>
      </c>
      <c r="AC330" s="3">
        <v>166</v>
      </c>
      <c r="AD330" s="3">
        <v>1</v>
      </c>
      <c r="AE330" s="3">
        <v>2</v>
      </c>
      <c r="AF330" s="3">
        <v>1</v>
      </c>
      <c r="AG330" s="3">
        <v>4</v>
      </c>
      <c r="AH330" s="3">
        <v>1</v>
      </c>
      <c r="AI330" s="3">
        <v>2</v>
      </c>
      <c r="AJ330" s="3">
        <v>0</v>
      </c>
      <c r="AK330" s="3">
        <v>0</v>
      </c>
      <c r="AL330" s="3">
        <v>0</v>
      </c>
      <c r="AM330" s="3">
        <v>1</v>
      </c>
      <c r="AN330" s="3">
        <v>0</v>
      </c>
      <c r="AO330" s="3">
        <v>1</v>
      </c>
      <c r="AP330" s="3">
        <v>0</v>
      </c>
      <c r="AQ330" s="3">
        <v>0</v>
      </c>
      <c r="AR330" s="2" t="s">
        <v>63</v>
      </c>
      <c r="AS330" s="2" t="s">
        <v>76</v>
      </c>
      <c r="AT330" s="5" t="str">
        <f>HYPERLINK("http://catalog.hathitrust.org/Record/004376900","HathiTrust Record")</f>
        <v>HathiTrust Record</v>
      </c>
      <c r="AU330" s="5" t="str">
        <f>HYPERLINK("https://creighton-primo.hosted.exlibrisgroup.com/primo-explore/search?tab=default_tab&amp;search_scope=EVERYTHING&amp;vid=01CRU&amp;lang=en_US&amp;offset=0&amp;query=any,contains,991000433789702656","Catalog Record")</f>
        <v>Catalog Record</v>
      </c>
      <c r="AV330" s="5" t="str">
        <f>HYPERLINK("http://www.worldcat.org/oclc/52746661","WorldCat Record")</f>
        <v>WorldCat Record</v>
      </c>
      <c r="AW330" s="2" t="s">
        <v>3904</v>
      </c>
      <c r="AX330" s="2" t="s">
        <v>3905</v>
      </c>
      <c r="AY330" s="2" t="s">
        <v>3906</v>
      </c>
      <c r="AZ330" s="2" t="s">
        <v>3906</v>
      </c>
      <c r="BA330" s="2" t="s">
        <v>3907</v>
      </c>
      <c r="BB330" s="2" t="s">
        <v>81</v>
      </c>
      <c r="BD330" s="2" t="s">
        <v>3908</v>
      </c>
      <c r="BE330" s="2" t="s">
        <v>3909</v>
      </c>
      <c r="BF330" s="2" t="s">
        <v>3910</v>
      </c>
    </row>
    <row r="331" spans="1:58" ht="42" customHeight="1">
      <c r="A331" s="1"/>
      <c r="B331" s="1" t="s">
        <v>58</v>
      </c>
      <c r="C331" s="1" t="s">
        <v>59</v>
      </c>
      <c r="D331" s="1" t="s">
        <v>3911</v>
      </c>
      <c r="E331" s="1" t="s">
        <v>3912</v>
      </c>
      <c r="F331" s="1" t="s">
        <v>3913</v>
      </c>
      <c r="H331" s="2" t="s">
        <v>63</v>
      </c>
      <c r="I331" s="2" t="s">
        <v>64</v>
      </c>
      <c r="J331" s="2" t="s">
        <v>63</v>
      </c>
      <c r="K331" s="2" t="s">
        <v>76</v>
      </c>
      <c r="L331" s="2" t="s">
        <v>64</v>
      </c>
      <c r="N331" s="1" t="s">
        <v>3914</v>
      </c>
      <c r="O331" s="2" t="s">
        <v>359</v>
      </c>
      <c r="P331" s="1" t="s">
        <v>245</v>
      </c>
      <c r="Q331" s="2" t="s">
        <v>70</v>
      </c>
      <c r="R331" s="2" t="s">
        <v>246</v>
      </c>
      <c r="T331" s="2" t="s">
        <v>73</v>
      </c>
      <c r="U331" s="3">
        <v>6</v>
      </c>
      <c r="V331" s="3">
        <v>6</v>
      </c>
      <c r="W331" s="4" t="s">
        <v>3915</v>
      </c>
      <c r="X331" s="4" t="s">
        <v>3915</v>
      </c>
      <c r="Y331" s="4" t="s">
        <v>3916</v>
      </c>
      <c r="Z331" s="4" t="s">
        <v>3916</v>
      </c>
      <c r="AA331" s="3">
        <v>269</v>
      </c>
      <c r="AB331" s="3">
        <v>202</v>
      </c>
      <c r="AC331" s="3">
        <v>673</v>
      </c>
      <c r="AD331" s="3">
        <v>1</v>
      </c>
      <c r="AE331" s="3">
        <v>3</v>
      </c>
      <c r="AF331" s="3">
        <v>4</v>
      </c>
      <c r="AG331" s="3">
        <v>18</v>
      </c>
      <c r="AH331" s="3">
        <v>2</v>
      </c>
      <c r="AI331" s="3">
        <v>6</v>
      </c>
      <c r="AJ331" s="3">
        <v>2</v>
      </c>
      <c r="AK331" s="3">
        <v>3</v>
      </c>
      <c r="AL331" s="3">
        <v>0</v>
      </c>
      <c r="AM331" s="3">
        <v>8</v>
      </c>
      <c r="AN331" s="3">
        <v>0</v>
      </c>
      <c r="AO331" s="3">
        <v>2</v>
      </c>
      <c r="AP331" s="3">
        <v>0</v>
      </c>
      <c r="AQ331" s="3">
        <v>0</v>
      </c>
      <c r="AR331" s="2" t="s">
        <v>63</v>
      </c>
      <c r="AS331" s="2" t="s">
        <v>63</v>
      </c>
      <c r="AU331" s="5" t="str">
        <f>HYPERLINK("https://creighton-primo.hosted.exlibrisgroup.com/primo-explore/search?tab=default_tab&amp;search_scope=EVERYTHING&amp;vid=01CRU&amp;lang=en_US&amp;offset=0&amp;query=any,contains,991000595609702656","Catalog Record")</f>
        <v>Catalog Record</v>
      </c>
      <c r="AV331" s="5" t="str">
        <f>HYPERLINK("http://www.worldcat.org/oclc/40075804","WorldCat Record")</f>
        <v>WorldCat Record</v>
      </c>
      <c r="AW331" s="2" t="s">
        <v>3917</v>
      </c>
      <c r="AX331" s="2" t="s">
        <v>3918</v>
      </c>
      <c r="AY331" s="2" t="s">
        <v>3919</v>
      </c>
      <c r="AZ331" s="2" t="s">
        <v>3919</v>
      </c>
      <c r="BA331" s="2" t="s">
        <v>3920</v>
      </c>
      <c r="BB331" s="2" t="s">
        <v>81</v>
      </c>
      <c r="BD331" s="2" t="s">
        <v>3921</v>
      </c>
      <c r="BE331" s="2" t="s">
        <v>3922</v>
      </c>
      <c r="BF331" s="2" t="s">
        <v>3923</v>
      </c>
    </row>
    <row r="332" spans="1:58" ht="42" customHeight="1">
      <c r="A332" s="1"/>
      <c r="B332" s="1" t="s">
        <v>58</v>
      </c>
      <c r="C332" s="1" t="s">
        <v>59</v>
      </c>
      <c r="D332" s="1" t="s">
        <v>3924</v>
      </c>
      <c r="E332" s="1" t="s">
        <v>3925</v>
      </c>
      <c r="F332" s="1" t="s">
        <v>3926</v>
      </c>
      <c r="H332" s="2" t="s">
        <v>63</v>
      </c>
      <c r="I332" s="2" t="s">
        <v>64</v>
      </c>
      <c r="J332" s="2" t="s">
        <v>63</v>
      </c>
      <c r="K332" s="2" t="s">
        <v>76</v>
      </c>
      <c r="L332" s="2" t="s">
        <v>64</v>
      </c>
      <c r="N332" s="1" t="s">
        <v>3927</v>
      </c>
      <c r="O332" s="2" t="s">
        <v>494</v>
      </c>
      <c r="P332" s="1" t="s">
        <v>69</v>
      </c>
      <c r="Q332" s="2" t="s">
        <v>70</v>
      </c>
      <c r="R332" s="2" t="s">
        <v>246</v>
      </c>
      <c r="T332" s="2" t="s">
        <v>73</v>
      </c>
      <c r="U332" s="3">
        <v>4</v>
      </c>
      <c r="V332" s="3">
        <v>4</v>
      </c>
      <c r="W332" s="4" t="s">
        <v>2986</v>
      </c>
      <c r="X332" s="4" t="s">
        <v>2986</v>
      </c>
      <c r="Y332" s="4" t="s">
        <v>3928</v>
      </c>
      <c r="Z332" s="4" t="s">
        <v>3928</v>
      </c>
      <c r="AA332" s="3">
        <v>275</v>
      </c>
      <c r="AB332" s="3">
        <v>202</v>
      </c>
      <c r="AC332" s="3">
        <v>673</v>
      </c>
      <c r="AD332" s="3">
        <v>1</v>
      </c>
      <c r="AE332" s="3">
        <v>3</v>
      </c>
      <c r="AF332" s="3">
        <v>8</v>
      </c>
      <c r="AG332" s="3">
        <v>18</v>
      </c>
      <c r="AH332" s="3">
        <v>3</v>
      </c>
      <c r="AI332" s="3">
        <v>6</v>
      </c>
      <c r="AJ332" s="3">
        <v>2</v>
      </c>
      <c r="AK332" s="3">
        <v>3</v>
      </c>
      <c r="AL332" s="3">
        <v>4</v>
      </c>
      <c r="AM332" s="3">
        <v>8</v>
      </c>
      <c r="AN332" s="3">
        <v>0</v>
      </c>
      <c r="AO332" s="3">
        <v>2</v>
      </c>
      <c r="AP332" s="3">
        <v>0</v>
      </c>
      <c r="AQ332" s="3">
        <v>0</v>
      </c>
      <c r="AR332" s="2" t="s">
        <v>63</v>
      </c>
      <c r="AS332" s="2" t="s">
        <v>63</v>
      </c>
      <c r="AU332" s="5" t="str">
        <f>HYPERLINK("https://creighton-primo.hosted.exlibrisgroup.com/primo-explore/search?tab=default_tab&amp;search_scope=EVERYTHING&amp;vid=01CRU&amp;lang=en_US&amp;offset=0&amp;query=any,contains,991000363459702656","Catalog Record")</f>
        <v>Catalog Record</v>
      </c>
      <c r="AV332" s="5" t="str">
        <f>HYPERLINK("http://www.worldcat.org/oclc/51811284","WorldCat Record")</f>
        <v>WorldCat Record</v>
      </c>
      <c r="AW332" s="2" t="s">
        <v>3917</v>
      </c>
      <c r="AX332" s="2" t="s">
        <v>3929</v>
      </c>
      <c r="AY332" s="2" t="s">
        <v>3930</v>
      </c>
      <c r="AZ332" s="2" t="s">
        <v>3930</v>
      </c>
      <c r="BA332" s="2" t="s">
        <v>3931</v>
      </c>
      <c r="BB332" s="2" t="s">
        <v>81</v>
      </c>
      <c r="BD332" s="2" t="s">
        <v>3932</v>
      </c>
      <c r="BE332" s="2" t="s">
        <v>3933</v>
      </c>
      <c r="BF332" s="2" t="s">
        <v>3934</v>
      </c>
    </row>
    <row r="333" spans="1:58" ht="42" customHeight="1">
      <c r="A333" s="1"/>
      <c r="B333" s="1" t="s">
        <v>58</v>
      </c>
      <c r="C333" s="1" t="s">
        <v>59</v>
      </c>
      <c r="D333" s="1" t="s">
        <v>3935</v>
      </c>
      <c r="E333" s="1" t="s">
        <v>3936</v>
      </c>
      <c r="F333" s="1" t="s">
        <v>3937</v>
      </c>
      <c r="G333" s="2" t="s">
        <v>165</v>
      </c>
      <c r="H333" s="2" t="s">
        <v>76</v>
      </c>
      <c r="I333" s="2" t="s">
        <v>64</v>
      </c>
      <c r="J333" s="2" t="s">
        <v>63</v>
      </c>
      <c r="K333" s="2" t="s">
        <v>63</v>
      </c>
      <c r="L333" s="2" t="s">
        <v>65</v>
      </c>
      <c r="M333" s="1" t="s">
        <v>3938</v>
      </c>
      <c r="N333" s="1" t="s">
        <v>3939</v>
      </c>
      <c r="O333" s="2" t="s">
        <v>3507</v>
      </c>
      <c r="Q333" s="2" t="s">
        <v>70</v>
      </c>
      <c r="R333" s="2" t="s">
        <v>729</v>
      </c>
      <c r="T333" s="2" t="s">
        <v>73</v>
      </c>
      <c r="U333" s="3">
        <v>2</v>
      </c>
      <c r="V333" s="3">
        <v>4</v>
      </c>
      <c r="W333" s="4" t="s">
        <v>1705</v>
      </c>
      <c r="X333" s="4" t="s">
        <v>3940</v>
      </c>
      <c r="Y333" s="4" t="s">
        <v>3108</v>
      </c>
      <c r="Z333" s="4" t="s">
        <v>3108</v>
      </c>
      <c r="AA333" s="3">
        <v>64</v>
      </c>
      <c r="AB333" s="3">
        <v>52</v>
      </c>
      <c r="AC333" s="3">
        <v>53</v>
      </c>
      <c r="AD333" s="3">
        <v>2</v>
      </c>
      <c r="AE333" s="3">
        <v>2</v>
      </c>
      <c r="AF333" s="3">
        <v>2</v>
      </c>
      <c r="AG333" s="3">
        <v>2</v>
      </c>
      <c r="AH333" s="3">
        <v>0</v>
      </c>
      <c r="AI333" s="3">
        <v>0</v>
      </c>
      <c r="AJ333" s="3">
        <v>1</v>
      </c>
      <c r="AK333" s="3">
        <v>1</v>
      </c>
      <c r="AL333" s="3">
        <v>1</v>
      </c>
      <c r="AM333" s="3">
        <v>1</v>
      </c>
      <c r="AN333" s="3">
        <v>1</v>
      </c>
      <c r="AO333" s="3">
        <v>1</v>
      </c>
      <c r="AP333" s="3">
        <v>0</v>
      </c>
      <c r="AQ333" s="3">
        <v>0</v>
      </c>
      <c r="AR333" s="2" t="s">
        <v>63</v>
      </c>
      <c r="AS333" s="2" t="s">
        <v>76</v>
      </c>
      <c r="AT333" s="5" t="str">
        <f>HYPERLINK("http://catalog.hathitrust.org/Record/000261507","HathiTrust Record")</f>
        <v>HathiTrust Record</v>
      </c>
      <c r="AU333" s="5" t="str">
        <f>HYPERLINK("https://creighton-primo.hosted.exlibrisgroup.com/primo-explore/search?tab=default_tab&amp;search_scope=EVERYTHING&amp;vid=01CRU&amp;lang=en_US&amp;offset=0&amp;query=any,contains,991000977329702656","Catalog Record")</f>
        <v>Catalog Record</v>
      </c>
      <c r="AV333" s="5" t="str">
        <f>HYPERLINK("http://www.worldcat.org/oclc/2360443","WorldCat Record")</f>
        <v>WorldCat Record</v>
      </c>
      <c r="AW333" s="2" t="s">
        <v>3941</v>
      </c>
      <c r="AX333" s="2" t="s">
        <v>3942</v>
      </c>
      <c r="AY333" s="2" t="s">
        <v>3943</v>
      </c>
      <c r="AZ333" s="2" t="s">
        <v>3943</v>
      </c>
      <c r="BA333" s="2" t="s">
        <v>3944</v>
      </c>
      <c r="BB333" s="2" t="s">
        <v>81</v>
      </c>
      <c r="BE333" s="2" t="s">
        <v>3945</v>
      </c>
      <c r="BF333" s="2" t="s">
        <v>3946</v>
      </c>
    </row>
    <row r="334" spans="1:58" ht="42" customHeight="1">
      <c r="A334" s="1"/>
      <c r="B334" s="1" t="s">
        <v>58</v>
      </c>
      <c r="C334" s="1" t="s">
        <v>59</v>
      </c>
      <c r="D334" s="1" t="s">
        <v>3935</v>
      </c>
      <c r="E334" s="1" t="s">
        <v>3936</v>
      </c>
      <c r="F334" s="1" t="s">
        <v>3937</v>
      </c>
      <c r="G334" s="2" t="s">
        <v>178</v>
      </c>
      <c r="H334" s="2" t="s">
        <v>76</v>
      </c>
      <c r="I334" s="2" t="s">
        <v>64</v>
      </c>
      <c r="J334" s="2" t="s">
        <v>63</v>
      </c>
      <c r="K334" s="2" t="s">
        <v>63</v>
      </c>
      <c r="L334" s="2" t="s">
        <v>65</v>
      </c>
      <c r="M334" s="1" t="s">
        <v>3938</v>
      </c>
      <c r="N334" s="1" t="s">
        <v>3939</v>
      </c>
      <c r="O334" s="2" t="s">
        <v>3507</v>
      </c>
      <c r="Q334" s="2" t="s">
        <v>70</v>
      </c>
      <c r="R334" s="2" t="s">
        <v>729</v>
      </c>
      <c r="T334" s="2" t="s">
        <v>73</v>
      </c>
      <c r="U334" s="3">
        <v>2</v>
      </c>
      <c r="V334" s="3">
        <v>4</v>
      </c>
      <c r="W334" s="4" t="s">
        <v>3940</v>
      </c>
      <c r="X334" s="4" t="s">
        <v>3940</v>
      </c>
      <c r="Y334" s="4" t="s">
        <v>3108</v>
      </c>
      <c r="Z334" s="4" t="s">
        <v>3108</v>
      </c>
      <c r="AA334" s="3">
        <v>64</v>
      </c>
      <c r="AB334" s="3">
        <v>52</v>
      </c>
      <c r="AC334" s="3">
        <v>53</v>
      </c>
      <c r="AD334" s="3">
        <v>2</v>
      </c>
      <c r="AE334" s="3">
        <v>2</v>
      </c>
      <c r="AF334" s="3">
        <v>2</v>
      </c>
      <c r="AG334" s="3">
        <v>2</v>
      </c>
      <c r="AH334" s="3">
        <v>0</v>
      </c>
      <c r="AI334" s="3">
        <v>0</v>
      </c>
      <c r="AJ334" s="3">
        <v>1</v>
      </c>
      <c r="AK334" s="3">
        <v>1</v>
      </c>
      <c r="AL334" s="3">
        <v>1</v>
      </c>
      <c r="AM334" s="3">
        <v>1</v>
      </c>
      <c r="AN334" s="3">
        <v>1</v>
      </c>
      <c r="AO334" s="3">
        <v>1</v>
      </c>
      <c r="AP334" s="3">
        <v>0</v>
      </c>
      <c r="AQ334" s="3">
        <v>0</v>
      </c>
      <c r="AR334" s="2" t="s">
        <v>63</v>
      </c>
      <c r="AS334" s="2" t="s">
        <v>76</v>
      </c>
      <c r="AT334" s="5" t="str">
        <f>HYPERLINK("http://catalog.hathitrust.org/Record/000261507","HathiTrust Record")</f>
        <v>HathiTrust Record</v>
      </c>
      <c r="AU334" s="5" t="str">
        <f>HYPERLINK("https://creighton-primo.hosted.exlibrisgroup.com/primo-explore/search?tab=default_tab&amp;search_scope=EVERYTHING&amp;vid=01CRU&amp;lang=en_US&amp;offset=0&amp;query=any,contains,991000977329702656","Catalog Record")</f>
        <v>Catalog Record</v>
      </c>
      <c r="AV334" s="5" t="str">
        <f>HYPERLINK("http://www.worldcat.org/oclc/2360443","WorldCat Record")</f>
        <v>WorldCat Record</v>
      </c>
      <c r="AW334" s="2" t="s">
        <v>3941</v>
      </c>
      <c r="AX334" s="2" t="s">
        <v>3942</v>
      </c>
      <c r="AY334" s="2" t="s">
        <v>3943</v>
      </c>
      <c r="AZ334" s="2" t="s">
        <v>3943</v>
      </c>
      <c r="BA334" s="2" t="s">
        <v>3944</v>
      </c>
      <c r="BB334" s="2" t="s">
        <v>81</v>
      </c>
      <c r="BE334" s="2" t="s">
        <v>3947</v>
      </c>
      <c r="BF334" s="2" t="s">
        <v>3948</v>
      </c>
    </row>
    <row r="335" spans="1:58" ht="42" customHeight="1">
      <c r="A335" s="1"/>
      <c r="B335" s="1" t="s">
        <v>58</v>
      </c>
      <c r="C335" s="1" t="s">
        <v>59</v>
      </c>
      <c r="D335" s="1" t="s">
        <v>3949</v>
      </c>
      <c r="E335" s="1" t="s">
        <v>3950</v>
      </c>
      <c r="F335" s="1" t="s">
        <v>3951</v>
      </c>
      <c r="H335" s="2" t="s">
        <v>63</v>
      </c>
      <c r="I335" s="2" t="s">
        <v>64</v>
      </c>
      <c r="J335" s="2" t="s">
        <v>63</v>
      </c>
      <c r="K335" s="2" t="s">
        <v>63</v>
      </c>
      <c r="L335" s="2" t="s">
        <v>65</v>
      </c>
      <c r="N335" s="1" t="s">
        <v>3952</v>
      </c>
      <c r="O335" s="2" t="s">
        <v>475</v>
      </c>
      <c r="Q335" s="2" t="s">
        <v>70</v>
      </c>
      <c r="R335" s="2" t="s">
        <v>422</v>
      </c>
      <c r="S335" s="1" t="s">
        <v>3953</v>
      </c>
      <c r="T335" s="2" t="s">
        <v>73</v>
      </c>
      <c r="U335" s="3">
        <v>3</v>
      </c>
      <c r="V335" s="3">
        <v>3</v>
      </c>
      <c r="W335" s="4" t="s">
        <v>3954</v>
      </c>
      <c r="X335" s="4" t="s">
        <v>3954</v>
      </c>
      <c r="Y335" s="4" t="s">
        <v>3955</v>
      </c>
      <c r="Z335" s="4" t="s">
        <v>3955</v>
      </c>
      <c r="AA335" s="3">
        <v>100</v>
      </c>
      <c r="AB335" s="3">
        <v>70</v>
      </c>
      <c r="AC335" s="3">
        <v>105</v>
      </c>
      <c r="AD335" s="3">
        <v>1</v>
      </c>
      <c r="AE335" s="3">
        <v>1</v>
      </c>
      <c r="AF335" s="3">
        <v>3</v>
      </c>
      <c r="AG335" s="3">
        <v>3</v>
      </c>
      <c r="AH335" s="3">
        <v>0</v>
      </c>
      <c r="AI335" s="3">
        <v>0</v>
      </c>
      <c r="AJ335" s="3">
        <v>1</v>
      </c>
      <c r="AK335" s="3">
        <v>1</v>
      </c>
      <c r="AL335" s="3">
        <v>2</v>
      </c>
      <c r="AM335" s="3">
        <v>2</v>
      </c>
      <c r="AN335" s="3">
        <v>0</v>
      </c>
      <c r="AO335" s="3">
        <v>0</v>
      </c>
      <c r="AP335" s="3">
        <v>0</v>
      </c>
      <c r="AQ335" s="3">
        <v>0</v>
      </c>
      <c r="AR335" s="2" t="s">
        <v>63</v>
      </c>
      <c r="AS335" s="2" t="s">
        <v>63</v>
      </c>
      <c r="AU335" s="5" t="str">
        <f>HYPERLINK("https://creighton-primo.hosted.exlibrisgroup.com/primo-explore/search?tab=default_tab&amp;search_scope=EVERYTHING&amp;vid=01CRU&amp;lang=en_US&amp;offset=0&amp;query=any,contains,991000350629702656","Catalog Record")</f>
        <v>Catalog Record</v>
      </c>
      <c r="AV335" s="5" t="str">
        <f>HYPERLINK("http://www.worldcat.org/oclc/48958620","WorldCat Record")</f>
        <v>WorldCat Record</v>
      </c>
      <c r="AW335" s="2" t="s">
        <v>3956</v>
      </c>
      <c r="AX335" s="2" t="s">
        <v>3957</v>
      </c>
      <c r="AY335" s="2" t="s">
        <v>3958</v>
      </c>
      <c r="AZ335" s="2" t="s">
        <v>3958</v>
      </c>
      <c r="BA335" s="2" t="s">
        <v>3959</v>
      </c>
      <c r="BB335" s="2" t="s">
        <v>81</v>
      </c>
      <c r="BD335" s="2" t="s">
        <v>3960</v>
      </c>
      <c r="BE335" s="2" t="s">
        <v>3961</v>
      </c>
      <c r="BF335" s="2" t="s">
        <v>3962</v>
      </c>
    </row>
    <row r="336" spans="1:58" ht="42" customHeight="1">
      <c r="A336" s="1"/>
      <c r="B336" s="1" t="s">
        <v>58</v>
      </c>
      <c r="C336" s="1" t="s">
        <v>59</v>
      </c>
      <c r="D336" s="1" t="s">
        <v>3963</v>
      </c>
      <c r="E336" s="1" t="s">
        <v>3964</v>
      </c>
      <c r="F336" s="1" t="s">
        <v>3965</v>
      </c>
      <c r="H336" s="2" t="s">
        <v>63</v>
      </c>
      <c r="I336" s="2" t="s">
        <v>64</v>
      </c>
      <c r="J336" s="2" t="s">
        <v>63</v>
      </c>
      <c r="K336" s="2" t="s">
        <v>63</v>
      </c>
      <c r="L336" s="2" t="s">
        <v>65</v>
      </c>
      <c r="N336" s="1" t="s">
        <v>679</v>
      </c>
      <c r="O336" s="2" t="s">
        <v>68</v>
      </c>
      <c r="Q336" s="2" t="s">
        <v>70</v>
      </c>
      <c r="R336" s="2" t="s">
        <v>509</v>
      </c>
      <c r="S336" s="1" t="s">
        <v>3966</v>
      </c>
      <c r="T336" s="2" t="s">
        <v>73</v>
      </c>
      <c r="U336" s="3">
        <v>2</v>
      </c>
      <c r="V336" s="3">
        <v>2</v>
      </c>
      <c r="W336" s="4" t="s">
        <v>3967</v>
      </c>
      <c r="X336" s="4" t="s">
        <v>3967</v>
      </c>
      <c r="Y336" s="4" t="s">
        <v>3968</v>
      </c>
      <c r="Z336" s="4" t="s">
        <v>3968</v>
      </c>
      <c r="AA336" s="3">
        <v>115</v>
      </c>
      <c r="AB336" s="3">
        <v>72</v>
      </c>
      <c r="AC336" s="3">
        <v>77</v>
      </c>
      <c r="AD336" s="3">
        <v>1</v>
      </c>
      <c r="AE336" s="3">
        <v>1</v>
      </c>
      <c r="AF336" s="3">
        <v>3</v>
      </c>
      <c r="AG336" s="3">
        <v>3</v>
      </c>
      <c r="AH336" s="3">
        <v>0</v>
      </c>
      <c r="AI336" s="3">
        <v>0</v>
      </c>
      <c r="AJ336" s="3">
        <v>2</v>
      </c>
      <c r="AK336" s="3">
        <v>2</v>
      </c>
      <c r="AL336" s="3">
        <v>1</v>
      </c>
      <c r="AM336" s="3">
        <v>1</v>
      </c>
      <c r="AN336" s="3">
        <v>0</v>
      </c>
      <c r="AO336" s="3">
        <v>0</v>
      </c>
      <c r="AP336" s="3">
        <v>0</v>
      </c>
      <c r="AQ336" s="3">
        <v>0</v>
      </c>
      <c r="AR336" s="2" t="s">
        <v>63</v>
      </c>
      <c r="AS336" s="2" t="s">
        <v>76</v>
      </c>
      <c r="AT336" s="5" t="str">
        <f>HYPERLINK("http://catalog.hathitrust.org/Record/002914602","HathiTrust Record")</f>
        <v>HathiTrust Record</v>
      </c>
      <c r="AU336" s="5" t="str">
        <f>HYPERLINK("https://creighton-primo.hosted.exlibrisgroup.com/primo-explore/search?tab=default_tab&amp;search_scope=EVERYTHING&amp;vid=01CRU&amp;lang=en_US&amp;offset=0&amp;query=any,contains,991001396509702656","Catalog Record")</f>
        <v>Catalog Record</v>
      </c>
      <c r="AV336" s="5" t="str">
        <f>HYPERLINK("http://www.worldcat.org/oclc/31249362","WorldCat Record")</f>
        <v>WorldCat Record</v>
      </c>
      <c r="AW336" s="2" t="s">
        <v>3969</v>
      </c>
      <c r="AX336" s="2" t="s">
        <v>3970</v>
      </c>
      <c r="AY336" s="2" t="s">
        <v>3971</v>
      </c>
      <c r="AZ336" s="2" t="s">
        <v>3971</v>
      </c>
      <c r="BA336" s="2" t="s">
        <v>3972</v>
      </c>
      <c r="BB336" s="2" t="s">
        <v>81</v>
      </c>
      <c r="BD336" s="2" t="s">
        <v>3973</v>
      </c>
      <c r="BE336" s="2" t="s">
        <v>3974</v>
      </c>
      <c r="BF336" s="2" t="s">
        <v>3975</v>
      </c>
    </row>
    <row r="337" spans="1:58" ht="42" customHeight="1">
      <c r="A337" s="1"/>
      <c r="B337" s="1" t="s">
        <v>58</v>
      </c>
      <c r="C337" s="1" t="s">
        <v>59</v>
      </c>
      <c r="D337" s="1" t="s">
        <v>3976</v>
      </c>
      <c r="E337" s="1" t="s">
        <v>3977</v>
      </c>
      <c r="F337" s="1" t="s">
        <v>3978</v>
      </c>
      <c r="H337" s="2" t="s">
        <v>63</v>
      </c>
      <c r="I337" s="2" t="s">
        <v>64</v>
      </c>
      <c r="J337" s="2" t="s">
        <v>63</v>
      </c>
      <c r="K337" s="2" t="s">
        <v>76</v>
      </c>
      <c r="L337" s="2" t="s">
        <v>65</v>
      </c>
      <c r="N337" s="1" t="s">
        <v>3979</v>
      </c>
      <c r="O337" s="2" t="s">
        <v>186</v>
      </c>
      <c r="P337" s="1" t="s">
        <v>231</v>
      </c>
      <c r="Q337" s="2" t="s">
        <v>70</v>
      </c>
      <c r="R337" s="2" t="s">
        <v>509</v>
      </c>
      <c r="T337" s="2" t="s">
        <v>73</v>
      </c>
      <c r="U337" s="3">
        <v>17</v>
      </c>
      <c r="V337" s="3">
        <v>17</v>
      </c>
      <c r="W337" s="4" t="s">
        <v>3980</v>
      </c>
      <c r="X337" s="4" t="s">
        <v>3980</v>
      </c>
      <c r="Y337" s="4" t="s">
        <v>2688</v>
      </c>
      <c r="Z337" s="4" t="s">
        <v>2688</v>
      </c>
      <c r="AA337" s="3">
        <v>100</v>
      </c>
      <c r="AB337" s="3">
        <v>43</v>
      </c>
      <c r="AC337" s="3">
        <v>127</v>
      </c>
      <c r="AD337" s="3">
        <v>1</v>
      </c>
      <c r="AE337" s="3">
        <v>1</v>
      </c>
      <c r="AF337" s="3">
        <v>1</v>
      </c>
      <c r="AG337" s="3">
        <v>2</v>
      </c>
      <c r="AH337" s="3">
        <v>1</v>
      </c>
      <c r="AI337" s="3">
        <v>1</v>
      </c>
      <c r="AJ337" s="3">
        <v>0</v>
      </c>
      <c r="AK337" s="3">
        <v>0</v>
      </c>
      <c r="AL337" s="3">
        <v>0</v>
      </c>
      <c r="AM337" s="3">
        <v>1</v>
      </c>
      <c r="AN337" s="3">
        <v>0</v>
      </c>
      <c r="AO337" s="3">
        <v>0</v>
      </c>
      <c r="AP337" s="3">
        <v>0</v>
      </c>
      <c r="AQ337" s="3">
        <v>0</v>
      </c>
      <c r="AR337" s="2" t="s">
        <v>63</v>
      </c>
      <c r="AS337" s="2" t="s">
        <v>63</v>
      </c>
      <c r="AU337" s="5" t="str">
        <f>HYPERLINK("https://creighton-primo.hosted.exlibrisgroup.com/primo-explore/search?tab=default_tab&amp;search_scope=EVERYTHING&amp;vid=01CRU&amp;lang=en_US&amp;offset=0&amp;query=any,contains,991001385359702656","Catalog Record")</f>
        <v>Catalog Record</v>
      </c>
      <c r="AV337" s="5" t="str">
        <f>HYPERLINK("http://www.worldcat.org/oclc/20897091","WorldCat Record")</f>
        <v>WorldCat Record</v>
      </c>
      <c r="AW337" s="2" t="s">
        <v>3981</v>
      </c>
      <c r="AX337" s="2" t="s">
        <v>3982</v>
      </c>
      <c r="AY337" s="2" t="s">
        <v>3983</v>
      </c>
      <c r="AZ337" s="2" t="s">
        <v>3983</v>
      </c>
      <c r="BA337" s="2" t="s">
        <v>3984</v>
      </c>
      <c r="BB337" s="2" t="s">
        <v>81</v>
      </c>
      <c r="BD337" s="2" t="s">
        <v>3985</v>
      </c>
      <c r="BE337" s="2" t="s">
        <v>3986</v>
      </c>
      <c r="BF337" s="2" t="s">
        <v>3987</v>
      </c>
    </row>
    <row r="338" spans="1:58" ht="42" customHeight="1">
      <c r="A338" s="1"/>
      <c r="B338" s="1" t="s">
        <v>58</v>
      </c>
      <c r="C338" s="1" t="s">
        <v>59</v>
      </c>
      <c r="D338" s="1" t="s">
        <v>3988</v>
      </c>
      <c r="E338" s="1" t="s">
        <v>3989</v>
      </c>
      <c r="F338" s="1" t="s">
        <v>3990</v>
      </c>
      <c r="H338" s="2" t="s">
        <v>63</v>
      </c>
      <c r="I338" s="2" t="s">
        <v>64</v>
      </c>
      <c r="J338" s="2" t="s">
        <v>63</v>
      </c>
      <c r="K338" s="2" t="s">
        <v>76</v>
      </c>
      <c r="L338" s="2" t="s">
        <v>65</v>
      </c>
      <c r="N338" s="1" t="s">
        <v>3991</v>
      </c>
      <c r="O338" s="2" t="s">
        <v>68</v>
      </c>
      <c r="P338" s="1" t="s">
        <v>245</v>
      </c>
      <c r="Q338" s="2" t="s">
        <v>70</v>
      </c>
      <c r="R338" s="2" t="s">
        <v>509</v>
      </c>
      <c r="T338" s="2" t="s">
        <v>73</v>
      </c>
      <c r="U338" s="3">
        <v>13</v>
      </c>
      <c r="V338" s="3">
        <v>13</v>
      </c>
      <c r="W338" s="4" t="s">
        <v>3992</v>
      </c>
      <c r="X338" s="4" t="s">
        <v>3992</v>
      </c>
      <c r="Y338" s="4" t="s">
        <v>3993</v>
      </c>
      <c r="Z338" s="4" t="s">
        <v>3993</v>
      </c>
      <c r="AA338" s="3">
        <v>127</v>
      </c>
      <c r="AB338" s="3">
        <v>64</v>
      </c>
      <c r="AC338" s="3">
        <v>127</v>
      </c>
      <c r="AD338" s="3">
        <v>1</v>
      </c>
      <c r="AE338" s="3">
        <v>1</v>
      </c>
      <c r="AF338" s="3">
        <v>0</v>
      </c>
      <c r="AG338" s="3">
        <v>2</v>
      </c>
      <c r="AH338" s="3">
        <v>0</v>
      </c>
      <c r="AI338" s="3">
        <v>1</v>
      </c>
      <c r="AJ338" s="3">
        <v>0</v>
      </c>
      <c r="AK338" s="3">
        <v>0</v>
      </c>
      <c r="AL338" s="3">
        <v>0</v>
      </c>
      <c r="AM338" s="3">
        <v>1</v>
      </c>
      <c r="AN338" s="3">
        <v>0</v>
      </c>
      <c r="AO338" s="3">
        <v>0</v>
      </c>
      <c r="AP338" s="3">
        <v>0</v>
      </c>
      <c r="AQ338" s="3">
        <v>0</v>
      </c>
      <c r="AR338" s="2" t="s">
        <v>63</v>
      </c>
      <c r="AS338" s="2" t="s">
        <v>63</v>
      </c>
      <c r="AU338" s="5" t="str">
        <f>HYPERLINK("https://creighton-primo.hosted.exlibrisgroup.com/primo-explore/search?tab=default_tab&amp;search_scope=EVERYTHING&amp;vid=01CRU&amp;lang=en_US&amp;offset=0&amp;query=any,contains,991001195049702656","Catalog Record")</f>
        <v>Catalog Record</v>
      </c>
      <c r="AV338" s="5" t="str">
        <f>HYPERLINK("http://www.worldcat.org/oclc/27978556","WorldCat Record")</f>
        <v>WorldCat Record</v>
      </c>
      <c r="AW338" s="2" t="s">
        <v>3981</v>
      </c>
      <c r="AX338" s="2" t="s">
        <v>3994</v>
      </c>
      <c r="AY338" s="2" t="s">
        <v>3995</v>
      </c>
      <c r="AZ338" s="2" t="s">
        <v>3995</v>
      </c>
      <c r="BA338" s="2" t="s">
        <v>3996</v>
      </c>
      <c r="BB338" s="2" t="s">
        <v>81</v>
      </c>
      <c r="BD338" s="2" t="s">
        <v>3997</v>
      </c>
      <c r="BE338" s="2" t="s">
        <v>3998</v>
      </c>
      <c r="BF338" s="2" t="s">
        <v>3999</v>
      </c>
    </row>
  </sheetData>
  <sheetProtection sheet="1" objects="1" scenario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276225</xdr:colOff>
                    <xdr:row>1</xdr:row>
                    <xdr:rowOff>9525</xdr:rowOff>
                  </from>
                  <to>
                    <xdr:col>3</xdr:col>
                    <xdr:colOff>95250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276225</xdr:colOff>
                    <xdr:row>2</xdr:row>
                    <xdr:rowOff>9525</xdr:rowOff>
                  </from>
                  <to>
                    <xdr:col>3</xdr:col>
                    <xdr:colOff>95250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276225</xdr:colOff>
                    <xdr:row>3</xdr:row>
                    <xdr:rowOff>9525</xdr:rowOff>
                  </from>
                  <to>
                    <xdr:col>3</xdr:col>
                    <xdr:colOff>95250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276225</xdr:colOff>
                    <xdr:row>4</xdr:row>
                    <xdr:rowOff>9525</xdr:rowOff>
                  </from>
                  <to>
                    <xdr:col>3</xdr:col>
                    <xdr:colOff>95250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276225</xdr:colOff>
                    <xdr:row>5</xdr:row>
                    <xdr:rowOff>9525</xdr:rowOff>
                  </from>
                  <to>
                    <xdr:col>3</xdr:col>
                    <xdr:colOff>95250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276225</xdr:colOff>
                    <xdr:row>6</xdr:row>
                    <xdr:rowOff>9525</xdr:rowOff>
                  </from>
                  <to>
                    <xdr:col>3</xdr:col>
                    <xdr:colOff>95250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276225</xdr:colOff>
                    <xdr:row>7</xdr:row>
                    <xdr:rowOff>9525</xdr:rowOff>
                  </from>
                  <to>
                    <xdr:col>3</xdr:col>
                    <xdr:colOff>95250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276225</xdr:colOff>
                    <xdr:row>8</xdr:row>
                    <xdr:rowOff>9525</xdr:rowOff>
                  </from>
                  <to>
                    <xdr:col>3</xdr:col>
                    <xdr:colOff>95250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276225</xdr:colOff>
                    <xdr:row>9</xdr:row>
                    <xdr:rowOff>9525</xdr:rowOff>
                  </from>
                  <to>
                    <xdr:col>3</xdr:col>
                    <xdr:colOff>95250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276225</xdr:colOff>
                    <xdr:row>10</xdr:row>
                    <xdr:rowOff>9525</xdr:rowOff>
                  </from>
                  <to>
                    <xdr:col>3</xdr:col>
                    <xdr:colOff>95250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276225</xdr:colOff>
                    <xdr:row>11</xdr:row>
                    <xdr:rowOff>9525</xdr:rowOff>
                  </from>
                  <to>
                    <xdr:col>3</xdr:col>
                    <xdr:colOff>95250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276225</xdr:colOff>
                    <xdr:row>12</xdr:row>
                    <xdr:rowOff>9525</xdr:rowOff>
                  </from>
                  <to>
                    <xdr:col>3</xdr:col>
                    <xdr:colOff>95250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276225</xdr:colOff>
                    <xdr:row>13</xdr:row>
                    <xdr:rowOff>9525</xdr:rowOff>
                  </from>
                  <to>
                    <xdr:col>3</xdr:col>
                    <xdr:colOff>95250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3</xdr:col>
                    <xdr:colOff>95250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9525</xdr:rowOff>
                  </from>
                  <to>
                    <xdr:col>3</xdr:col>
                    <xdr:colOff>95250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0</xdr:col>
                    <xdr:colOff>276225</xdr:colOff>
                    <xdr:row>16</xdr:row>
                    <xdr:rowOff>9525</xdr:rowOff>
                  </from>
                  <to>
                    <xdr:col>3</xdr:col>
                    <xdr:colOff>95250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0</xdr:col>
                    <xdr:colOff>276225</xdr:colOff>
                    <xdr:row>17</xdr:row>
                    <xdr:rowOff>9525</xdr:rowOff>
                  </from>
                  <to>
                    <xdr:col>3</xdr:col>
                    <xdr:colOff>95250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0</xdr:col>
                    <xdr:colOff>276225</xdr:colOff>
                    <xdr:row>18</xdr:row>
                    <xdr:rowOff>9525</xdr:rowOff>
                  </from>
                  <to>
                    <xdr:col>3</xdr:col>
                    <xdr:colOff>95250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0</xdr:col>
                    <xdr:colOff>276225</xdr:colOff>
                    <xdr:row>19</xdr:row>
                    <xdr:rowOff>9525</xdr:rowOff>
                  </from>
                  <to>
                    <xdr:col>3</xdr:col>
                    <xdr:colOff>95250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0</xdr:col>
                    <xdr:colOff>276225</xdr:colOff>
                    <xdr:row>20</xdr:row>
                    <xdr:rowOff>9525</xdr:rowOff>
                  </from>
                  <to>
                    <xdr:col>3</xdr:col>
                    <xdr:colOff>95250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0</xdr:col>
                    <xdr:colOff>276225</xdr:colOff>
                    <xdr:row>21</xdr:row>
                    <xdr:rowOff>9525</xdr:rowOff>
                  </from>
                  <to>
                    <xdr:col>3</xdr:col>
                    <xdr:colOff>95250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0</xdr:col>
                    <xdr:colOff>276225</xdr:colOff>
                    <xdr:row>22</xdr:row>
                    <xdr:rowOff>9525</xdr:rowOff>
                  </from>
                  <to>
                    <xdr:col>3</xdr:col>
                    <xdr:colOff>95250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0</xdr:col>
                    <xdr:colOff>276225</xdr:colOff>
                    <xdr:row>23</xdr:row>
                    <xdr:rowOff>9525</xdr:rowOff>
                  </from>
                  <to>
                    <xdr:col>3</xdr:col>
                    <xdr:colOff>95250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0</xdr:col>
                    <xdr:colOff>276225</xdr:colOff>
                    <xdr:row>24</xdr:row>
                    <xdr:rowOff>9525</xdr:rowOff>
                  </from>
                  <to>
                    <xdr:col>3</xdr:col>
                    <xdr:colOff>95250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0</xdr:col>
                    <xdr:colOff>276225</xdr:colOff>
                    <xdr:row>25</xdr:row>
                    <xdr:rowOff>9525</xdr:rowOff>
                  </from>
                  <to>
                    <xdr:col>3</xdr:col>
                    <xdr:colOff>95250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0</xdr:col>
                    <xdr:colOff>276225</xdr:colOff>
                    <xdr:row>26</xdr:row>
                    <xdr:rowOff>9525</xdr:rowOff>
                  </from>
                  <to>
                    <xdr:col>3</xdr:col>
                    <xdr:colOff>95250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0</xdr:col>
                    <xdr:colOff>276225</xdr:colOff>
                    <xdr:row>27</xdr:row>
                    <xdr:rowOff>9525</xdr:rowOff>
                  </from>
                  <to>
                    <xdr:col>3</xdr:col>
                    <xdr:colOff>95250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0</xdr:col>
                    <xdr:colOff>276225</xdr:colOff>
                    <xdr:row>28</xdr:row>
                    <xdr:rowOff>9525</xdr:rowOff>
                  </from>
                  <to>
                    <xdr:col>3</xdr:col>
                    <xdr:colOff>95250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0</xdr:col>
                    <xdr:colOff>276225</xdr:colOff>
                    <xdr:row>29</xdr:row>
                    <xdr:rowOff>9525</xdr:rowOff>
                  </from>
                  <to>
                    <xdr:col>3</xdr:col>
                    <xdr:colOff>95250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0</xdr:col>
                    <xdr:colOff>276225</xdr:colOff>
                    <xdr:row>30</xdr:row>
                    <xdr:rowOff>9525</xdr:rowOff>
                  </from>
                  <to>
                    <xdr:col>3</xdr:col>
                    <xdr:colOff>95250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0</xdr:col>
                    <xdr:colOff>276225</xdr:colOff>
                    <xdr:row>31</xdr:row>
                    <xdr:rowOff>9525</xdr:rowOff>
                  </from>
                  <to>
                    <xdr:col>3</xdr:col>
                    <xdr:colOff>95250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0</xdr:col>
                    <xdr:colOff>276225</xdr:colOff>
                    <xdr:row>32</xdr:row>
                    <xdr:rowOff>9525</xdr:rowOff>
                  </from>
                  <to>
                    <xdr:col>3</xdr:col>
                    <xdr:colOff>95250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0</xdr:col>
                    <xdr:colOff>276225</xdr:colOff>
                    <xdr:row>33</xdr:row>
                    <xdr:rowOff>9525</xdr:rowOff>
                  </from>
                  <to>
                    <xdr:col>3</xdr:col>
                    <xdr:colOff>95250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0</xdr:col>
                    <xdr:colOff>276225</xdr:colOff>
                    <xdr:row>34</xdr:row>
                    <xdr:rowOff>9525</xdr:rowOff>
                  </from>
                  <to>
                    <xdr:col>3</xdr:col>
                    <xdr:colOff>95250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0</xdr:col>
                    <xdr:colOff>276225</xdr:colOff>
                    <xdr:row>35</xdr:row>
                    <xdr:rowOff>9525</xdr:rowOff>
                  </from>
                  <to>
                    <xdr:col>3</xdr:col>
                    <xdr:colOff>95250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0</xdr:col>
                    <xdr:colOff>276225</xdr:colOff>
                    <xdr:row>36</xdr:row>
                    <xdr:rowOff>9525</xdr:rowOff>
                  </from>
                  <to>
                    <xdr:col>3</xdr:col>
                    <xdr:colOff>95250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0</xdr:col>
                    <xdr:colOff>276225</xdr:colOff>
                    <xdr:row>37</xdr:row>
                    <xdr:rowOff>9525</xdr:rowOff>
                  </from>
                  <to>
                    <xdr:col>3</xdr:col>
                    <xdr:colOff>95250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0</xdr:col>
                    <xdr:colOff>276225</xdr:colOff>
                    <xdr:row>38</xdr:row>
                    <xdr:rowOff>9525</xdr:rowOff>
                  </from>
                  <to>
                    <xdr:col>3</xdr:col>
                    <xdr:colOff>95250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0</xdr:col>
                    <xdr:colOff>276225</xdr:colOff>
                    <xdr:row>39</xdr:row>
                    <xdr:rowOff>9525</xdr:rowOff>
                  </from>
                  <to>
                    <xdr:col>3</xdr:col>
                    <xdr:colOff>95250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0</xdr:col>
                    <xdr:colOff>276225</xdr:colOff>
                    <xdr:row>40</xdr:row>
                    <xdr:rowOff>9525</xdr:rowOff>
                  </from>
                  <to>
                    <xdr:col>3</xdr:col>
                    <xdr:colOff>95250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0</xdr:col>
                    <xdr:colOff>276225</xdr:colOff>
                    <xdr:row>41</xdr:row>
                    <xdr:rowOff>9525</xdr:rowOff>
                  </from>
                  <to>
                    <xdr:col>3</xdr:col>
                    <xdr:colOff>95250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0</xdr:col>
                    <xdr:colOff>276225</xdr:colOff>
                    <xdr:row>42</xdr:row>
                    <xdr:rowOff>9525</xdr:rowOff>
                  </from>
                  <to>
                    <xdr:col>3</xdr:col>
                    <xdr:colOff>95250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0</xdr:col>
                    <xdr:colOff>276225</xdr:colOff>
                    <xdr:row>43</xdr:row>
                    <xdr:rowOff>9525</xdr:rowOff>
                  </from>
                  <to>
                    <xdr:col>3</xdr:col>
                    <xdr:colOff>95250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0</xdr:col>
                    <xdr:colOff>276225</xdr:colOff>
                    <xdr:row>44</xdr:row>
                    <xdr:rowOff>9525</xdr:rowOff>
                  </from>
                  <to>
                    <xdr:col>3</xdr:col>
                    <xdr:colOff>95250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0</xdr:col>
                    <xdr:colOff>276225</xdr:colOff>
                    <xdr:row>45</xdr:row>
                    <xdr:rowOff>9525</xdr:rowOff>
                  </from>
                  <to>
                    <xdr:col>3</xdr:col>
                    <xdr:colOff>95250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0</xdr:col>
                    <xdr:colOff>276225</xdr:colOff>
                    <xdr:row>46</xdr:row>
                    <xdr:rowOff>9525</xdr:rowOff>
                  </from>
                  <to>
                    <xdr:col>3</xdr:col>
                    <xdr:colOff>95250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0</xdr:col>
                    <xdr:colOff>276225</xdr:colOff>
                    <xdr:row>47</xdr:row>
                    <xdr:rowOff>9525</xdr:rowOff>
                  </from>
                  <to>
                    <xdr:col>3</xdr:col>
                    <xdr:colOff>95250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0</xdr:col>
                    <xdr:colOff>276225</xdr:colOff>
                    <xdr:row>48</xdr:row>
                    <xdr:rowOff>9525</xdr:rowOff>
                  </from>
                  <to>
                    <xdr:col>3</xdr:col>
                    <xdr:colOff>95250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0</xdr:col>
                    <xdr:colOff>276225</xdr:colOff>
                    <xdr:row>49</xdr:row>
                    <xdr:rowOff>9525</xdr:rowOff>
                  </from>
                  <to>
                    <xdr:col>3</xdr:col>
                    <xdr:colOff>95250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0</xdr:col>
                    <xdr:colOff>276225</xdr:colOff>
                    <xdr:row>50</xdr:row>
                    <xdr:rowOff>9525</xdr:rowOff>
                  </from>
                  <to>
                    <xdr:col>3</xdr:col>
                    <xdr:colOff>95250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0</xdr:col>
                    <xdr:colOff>276225</xdr:colOff>
                    <xdr:row>51</xdr:row>
                    <xdr:rowOff>9525</xdr:rowOff>
                  </from>
                  <to>
                    <xdr:col>3</xdr:col>
                    <xdr:colOff>95250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0</xdr:col>
                    <xdr:colOff>276225</xdr:colOff>
                    <xdr:row>52</xdr:row>
                    <xdr:rowOff>9525</xdr:rowOff>
                  </from>
                  <to>
                    <xdr:col>3</xdr:col>
                    <xdr:colOff>95250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0</xdr:col>
                    <xdr:colOff>276225</xdr:colOff>
                    <xdr:row>53</xdr:row>
                    <xdr:rowOff>9525</xdr:rowOff>
                  </from>
                  <to>
                    <xdr:col>3</xdr:col>
                    <xdr:colOff>95250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0</xdr:col>
                    <xdr:colOff>276225</xdr:colOff>
                    <xdr:row>54</xdr:row>
                    <xdr:rowOff>9525</xdr:rowOff>
                  </from>
                  <to>
                    <xdr:col>3</xdr:col>
                    <xdr:colOff>95250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0</xdr:col>
                    <xdr:colOff>276225</xdr:colOff>
                    <xdr:row>55</xdr:row>
                    <xdr:rowOff>9525</xdr:rowOff>
                  </from>
                  <to>
                    <xdr:col>3</xdr:col>
                    <xdr:colOff>95250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0</xdr:col>
                    <xdr:colOff>276225</xdr:colOff>
                    <xdr:row>56</xdr:row>
                    <xdr:rowOff>9525</xdr:rowOff>
                  </from>
                  <to>
                    <xdr:col>3</xdr:col>
                    <xdr:colOff>95250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0</xdr:col>
                    <xdr:colOff>276225</xdr:colOff>
                    <xdr:row>57</xdr:row>
                    <xdr:rowOff>9525</xdr:rowOff>
                  </from>
                  <to>
                    <xdr:col>3</xdr:col>
                    <xdr:colOff>95250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0</xdr:col>
                    <xdr:colOff>276225</xdr:colOff>
                    <xdr:row>58</xdr:row>
                    <xdr:rowOff>9525</xdr:rowOff>
                  </from>
                  <to>
                    <xdr:col>3</xdr:col>
                    <xdr:colOff>95250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0</xdr:col>
                    <xdr:colOff>276225</xdr:colOff>
                    <xdr:row>59</xdr:row>
                    <xdr:rowOff>9525</xdr:rowOff>
                  </from>
                  <to>
                    <xdr:col>3</xdr:col>
                    <xdr:colOff>95250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0</xdr:col>
                    <xdr:colOff>276225</xdr:colOff>
                    <xdr:row>60</xdr:row>
                    <xdr:rowOff>9525</xdr:rowOff>
                  </from>
                  <to>
                    <xdr:col>3</xdr:col>
                    <xdr:colOff>95250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0</xdr:col>
                    <xdr:colOff>276225</xdr:colOff>
                    <xdr:row>61</xdr:row>
                    <xdr:rowOff>9525</xdr:rowOff>
                  </from>
                  <to>
                    <xdr:col>3</xdr:col>
                    <xdr:colOff>95250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0</xdr:col>
                    <xdr:colOff>276225</xdr:colOff>
                    <xdr:row>62</xdr:row>
                    <xdr:rowOff>9525</xdr:rowOff>
                  </from>
                  <to>
                    <xdr:col>3</xdr:col>
                    <xdr:colOff>95250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0</xdr:col>
                    <xdr:colOff>276225</xdr:colOff>
                    <xdr:row>63</xdr:row>
                    <xdr:rowOff>9525</xdr:rowOff>
                  </from>
                  <to>
                    <xdr:col>3</xdr:col>
                    <xdr:colOff>95250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0</xdr:col>
                    <xdr:colOff>276225</xdr:colOff>
                    <xdr:row>64</xdr:row>
                    <xdr:rowOff>9525</xdr:rowOff>
                  </from>
                  <to>
                    <xdr:col>3</xdr:col>
                    <xdr:colOff>95250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0</xdr:col>
                    <xdr:colOff>276225</xdr:colOff>
                    <xdr:row>65</xdr:row>
                    <xdr:rowOff>9525</xdr:rowOff>
                  </from>
                  <to>
                    <xdr:col>3</xdr:col>
                    <xdr:colOff>95250</xdr:colOff>
                    <xdr:row>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0</xdr:col>
                    <xdr:colOff>276225</xdr:colOff>
                    <xdr:row>66</xdr:row>
                    <xdr:rowOff>9525</xdr:rowOff>
                  </from>
                  <to>
                    <xdr:col>3</xdr:col>
                    <xdr:colOff>95250</xdr:colOff>
                    <xdr:row>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0</xdr:col>
                    <xdr:colOff>276225</xdr:colOff>
                    <xdr:row>67</xdr:row>
                    <xdr:rowOff>9525</xdr:rowOff>
                  </from>
                  <to>
                    <xdr:col>3</xdr:col>
                    <xdr:colOff>95250</xdr:colOff>
                    <xdr:row>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0</xdr:col>
                    <xdr:colOff>276225</xdr:colOff>
                    <xdr:row>68</xdr:row>
                    <xdr:rowOff>9525</xdr:rowOff>
                  </from>
                  <to>
                    <xdr:col>3</xdr:col>
                    <xdr:colOff>95250</xdr:colOff>
                    <xdr:row>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0</xdr:col>
                    <xdr:colOff>276225</xdr:colOff>
                    <xdr:row>69</xdr:row>
                    <xdr:rowOff>9525</xdr:rowOff>
                  </from>
                  <to>
                    <xdr:col>3</xdr:col>
                    <xdr:colOff>95250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0</xdr:col>
                    <xdr:colOff>276225</xdr:colOff>
                    <xdr:row>70</xdr:row>
                    <xdr:rowOff>9525</xdr:rowOff>
                  </from>
                  <to>
                    <xdr:col>3</xdr:col>
                    <xdr:colOff>95250</xdr:colOff>
                    <xdr:row>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0</xdr:col>
                    <xdr:colOff>276225</xdr:colOff>
                    <xdr:row>71</xdr:row>
                    <xdr:rowOff>9525</xdr:rowOff>
                  </from>
                  <to>
                    <xdr:col>3</xdr:col>
                    <xdr:colOff>95250</xdr:colOff>
                    <xdr:row>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0</xdr:col>
                    <xdr:colOff>276225</xdr:colOff>
                    <xdr:row>72</xdr:row>
                    <xdr:rowOff>9525</xdr:rowOff>
                  </from>
                  <to>
                    <xdr:col>3</xdr:col>
                    <xdr:colOff>95250</xdr:colOff>
                    <xdr:row>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0</xdr:col>
                    <xdr:colOff>276225</xdr:colOff>
                    <xdr:row>73</xdr:row>
                    <xdr:rowOff>9525</xdr:rowOff>
                  </from>
                  <to>
                    <xdr:col>3</xdr:col>
                    <xdr:colOff>95250</xdr:colOff>
                    <xdr:row>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0</xdr:col>
                    <xdr:colOff>276225</xdr:colOff>
                    <xdr:row>74</xdr:row>
                    <xdr:rowOff>9525</xdr:rowOff>
                  </from>
                  <to>
                    <xdr:col>3</xdr:col>
                    <xdr:colOff>95250</xdr:colOff>
                    <xdr:row>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0</xdr:col>
                    <xdr:colOff>276225</xdr:colOff>
                    <xdr:row>75</xdr:row>
                    <xdr:rowOff>9525</xdr:rowOff>
                  </from>
                  <to>
                    <xdr:col>3</xdr:col>
                    <xdr:colOff>95250</xdr:colOff>
                    <xdr:row>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0</xdr:col>
                    <xdr:colOff>276225</xdr:colOff>
                    <xdr:row>76</xdr:row>
                    <xdr:rowOff>9525</xdr:rowOff>
                  </from>
                  <to>
                    <xdr:col>3</xdr:col>
                    <xdr:colOff>95250</xdr:colOff>
                    <xdr:row>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0</xdr:col>
                    <xdr:colOff>276225</xdr:colOff>
                    <xdr:row>77</xdr:row>
                    <xdr:rowOff>9525</xdr:rowOff>
                  </from>
                  <to>
                    <xdr:col>3</xdr:col>
                    <xdr:colOff>95250</xdr:colOff>
                    <xdr:row>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0</xdr:col>
                    <xdr:colOff>276225</xdr:colOff>
                    <xdr:row>78</xdr:row>
                    <xdr:rowOff>9525</xdr:rowOff>
                  </from>
                  <to>
                    <xdr:col>3</xdr:col>
                    <xdr:colOff>95250</xdr:colOff>
                    <xdr:row>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0</xdr:col>
                    <xdr:colOff>276225</xdr:colOff>
                    <xdr:row>79</xdr:row>
                    <xdr:rowOff>9525</xdr:rowOff>
                  </from>
                  <to>
                    <xdr:col>3</xdr:col>
                    <xdr:colOff>95250</xdr:colOff>
                    <xdr:row>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0</xdr:col>
                    <xdr:colOff>276225</xdr:colOff>
                    <xdr:row>80</xdr:row>
                    <xdr:rowOff>9525</xdr:rowOff>
                  </from>
                  <to>
                    <xdr:col>3</xdr:col>
                    <xdr:colOff>95250</xdr:colOff>
                    <xdr:row>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0</xdr:col>
                    <xdr:colOff>276225</xdr:colOff>
                    <xdr:row>81</xdr:row>
                    <xdr:rowOff>9525</xdr:rowOff>
                  </from>
                  <to>
                    <xdr:col>3</xdr:col>
                    <xdr:colOff>95250</xdr:colOff>
                    <xdr:row>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0</xdr:col>
                    <xdr:colOff>276225</xdr:colOff>
                    <xdr:row>82</xdr:row>
                    <xdr:rowOff>9525</xdr:rowOff>
                  </from>
                  <to>
                    <xdr:col>3</xdr:col>
                    <xdr:colOff>95250</xdr:colOff>
                    <xdr:row>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0</xdr:col>
                    <xdr:colOff>276225</xdr:colOff>
                    <xdr:row>83</xdr:row>
                    <xdr:rowOff>9525</xdr:rowOff>
                  </from>
                  <to>
                    <xdr:col>3</xdr:col>
                    <xdr:colOff>95250</xdr:colOff>
                    <xdr:row>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0</xdr:col>
                    <xdr:colOff>276225</xdr:colOff>
                    <xdr:row>84</xdr:row>
                    <xdr:rowOff>9525</xdr:rowOff>
                  </from>
                  <to>
                    <xdr:col>3</xdr:col>
                    <xdr:colOff>95250</xdr:colOff>
                    <xdr:row>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0</xdr:col>
                    <xdr:colOff>276225</xdr:colOff>
                    <xdr:row>85</xdr:row>
                    <xdr:rowOff>9525</xdr:rowOff>
                  </from>
                  <to>
                    <xdr:col>3</xdr:col>
                    <xdr:colOff>95250</xdr:colOff>
                    <xdr:row>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0</xdr:col>
                    <xdr:colOff>276225</xdr:colOff>
                    <xdr:row>86</xdr:row>
                    <xdr:rowOff>9525</xdr:rowOff>
                  </from>
                  <to>
                    <xdr:col>3</xdr:col>
                    <xdr:colOff>95250</xdr:colOff>
                    <xdr:row>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0</xdr:col>
                    <xdr:colOff>276225</xdr:colOff>
                    <xdr:row>87</xdr:row>
                    <xdr:rowOff>9525</xdr:rowOff>
                  </from>
                  <to>
                    <xdr:col>3</xdr:col>
                    <xdr:colOff>95250</xdr:colOff>
                    <xdr:row>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0</xdr:col>
                    <xdr:colOff>276225</xdr:colOff>
                    <xdr:row>88</xdr:row>
                    <xdr:rowOff>9525</xdr:rowOff>
                  </from>
                  <to>
                    <xdr:col>3</xdr:col>
                    <xdr:colOff>95250</xdr:colOff>
                    <xdr:row>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0</xdr:col>
                    <xdr:colOff>276225</xdr:colOff>
                    <xdr:row>89</xdr:row>
                    <xdr:rowOff>9525</xdr:rowOff>
                  </from>
                  <to>
                    <xdr:col>3</xdr:col>
                    <xdr:colOff>95250</xdr:colOff>
                    <xdr:row>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0</xdr:col>
                    <xdr:colOff>276225</xdr:colOff>
                    <xdr:row>90</xdr:row>
                    <xdr:rowOff>9525</xdr:rowOff>
                  </from>
                  <to>
                    <xdr:col>3</xdr:col>
                    <xdr:colOff>95250</xdr:colOff>
                    <xdr:row>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0</xdr:col>
                    <xdr:colOff>276225</xdr:colOff>
                    <xdr:row>91</xdr:row>
                    <xdr:rowOff>9525</xdr:rowOff>
                  </from>
                  <to>
                    <xdr:col>3</xdr:col>
                    <xdr:colOff>95250</xdr:colOff>
                    <xdr:row>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0</xdr:col>
                    <xdr:colOff>276225</xdr:colOff>
                    <xdr:row>92</xdr:row>
                    <xdr:rowOff>9525</xdr:rowOff>
                  </from>
                  <to>
                    <xdr:col>3</xdr:col>
                    <xdr:colOff>95250</xdr:colOff>
                    <xdr:row>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0</xdr:col>
                    <xdr:colOff>276225</xdr:colOff>
                    <xdr:row>93</xdr:row>
                    <xdr:rowOff>9525</xdr:rowOff>
                  </from>
                  <to>
                    <xdr:col>3</xdr:col>
                    <xdr:colOff>95250</xdr:colOff>
                    <xdr:row>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0</xdr:col>
                    <xdr:colOff>276225</xdr:colOff>
                    <xdr:row>94</xdr:row>
                    <xdr:rowOff>9525</xdr:rowOff>
                  </from>
                  <to>
                    <xdr:col>3</xdr:col>
                    <xdr:colOff>95250</xdr:colOff>
                    <xdr:row>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0</xdr:col>
                    <xdr:colOff>276225</xdr:colOff>
                    <xdr:row>95</xdr:row>
                    <xdr:rowOff>9525</xdr:rowOff>
                  </from>
                  <to>
                    <xdr:col>3</xdr:col>
                    <xdr:colOff>95250</xdr:colOff>
                    <xdr:row>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0</xdr:col>
                    <xdr:colOff>276225</xdr:colOff>
                    <xdr:row>96</xdr:row>
                    <xdr:rowOff>9525</xdr:rowOff>
                  </from>
                  <to>
                    <xdr:col>3</xdr:col>
                    <xdr:colOff>95250</xdr:colOff>
                    <xdr:row>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0</xdr:col>
                    <xdr:colOff>276225</xdr:colOff>
                    <xdr:row>97</xdr:row>
                    <xdr:rowOff>9525</xdr:rowOff>
                  </from>
                  <to>
                    <xdr:col>3</xdr:col>
                    <xdr:colOff>95250</xdr:colOff>
                    <xdr:row>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0</xdr:col>
                    <xdr:colOff>276225</xdr:colOff>
                    <xdr:row>98</xdr:row>
                    <xdr:rowOff>9525</xdr:rowOff>
                  </from>
                  <to>
                    <xdr:col>3</xdr:col>
                    <xdr:colOff>95250</xdr:colOff>
                    <xdr:row>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0</xdr:col>
                    <xdr:colOff>276225</xdr:colOff>
                    <xdr:row>99</xdr:row>
                    <xdr:rowOff>9525</xdr:rowOff>
                  </from>
                  <to>
                    <xdr:col>3</xdr:col>
                    <xdr:colOff>95250</xdr:colOff>
                    <xdr:row>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0</xdr:col>
                    <xdr:colOff>276225</xdr:colOff>
                    <xdr:row>100</xdr:row>
                    <xdr:rowOff>9525</xdr:rowOff>
                  </from>
                  <to>
                    <xdr:col>3</xdr:col>
                    <xdr:colOff>95250</xdr:colOff>
                    <xdr:row>100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0</xdr:col>
                    <xdr:colOff>276225</xdr:colOff>
                    <xdr:row>101</xdr:row>
                    <xdr:rowOff>9525</xdr:rowOff>
                  </from>
                  <to>
                    <xdr:col>3</xdr:col>
                    <xdr:colOff>95250</xdr:colOff>
                    <xdr:row>101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0</xdr:col>
                    <xdr:colOff>276225</xdr:colOff>
                    <xdr:row>102</xdr:row>
                    <xdr:rowOff>9525</xdr:rowOff>
                  </from>
                  <to>
                    <xdr:col>3</xdr:col>
                    <xdr:colOff>95250</xdr:colOff>
                    <xdr:row>102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0</xdr:col>
                    <xdr:colOff>276225</xdr:colOff>
                    <xdr:row>103</xdr:row>
                    <xdr:rowOff>9525</xdr:rowOff>
                  </from>
                  <to>
                    <xdr:col>3</xdr:col>
                    <xdr:colOff>95250</xdr:colOff>
                    <xdr:row>103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0</xdr:col>
                    <xdr:colOff>276225</xdr:colOff>
                    <xdr:row>104</xdr:row>
                    <xdr:rowOff>9525</xdr:rowOff>
                  </from>
                  <to>
                    <xdr:col>3</xdr:col>
                    <xdr:colOff>95250</xdr:colOff>
                    <xdr:row>104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0</xdr:col>
                    <xdr:colOff>276225</xdr:colOff>
                    <xdr:row>105</xdr:row>
                    <xdr:rowOff>9525</xdr:rowOff>
                  </from>
                  <to>
                    <xdr:col>3</xdr:col>
                    <xdr:colOff>95250</xdr:colOff>
                    <xdr:row>105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0</xdr:col>
                    <xdr:colOff>276225</xdr:colOff>
                    <xdr:row>106</xdr:row>
                    <xdr:rowOff>9525</xdr:rowOff>
                  </from>
                  <to>
                    <xdr:col>3</xdr:col>
                    <xdr:colOff>95250</xdr:colOff>
                    <xdr:row>106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0</xdr:col>
                    <xdr:colOff>276225</xdr:colOff>
                    <xdr:row>107</xdr:row>
                    <xdr:rowOff>9525</xdr:rowOff>
                  </from>
                  <to>
                    <xdr:col>3</xdr:col>
                    <xdr:colOff>95250</xdr:colOff>
                    <xdr:row>107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0</xdr:col>
                    <xdr:colOff>276225</xdr:colOff>
                    <xdr:row>108</xdr:row>
                    <xdr:rowOff>9525</xdr:rowOff>
                  </from>
                  <to>
                    <xdr:col>3</xdr:col>
                    <xdr:colOff>95250</xdr:colOff>
                    <xdr:row>108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0</xdr:col>
                    <xdr:colOff>276225</xdr:colOff>
                    <xdr:row>109</xdr:row>
                    <xdr:rowOff>9525</xdr:rowOff>
                  </from>
                  <to>
                    <xdr:col>3</xdr:col>
                    <xdr:colOff>95250</xdr:colOff>
                    <xdr:row>109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0</xdr:col>
                    <xdr:colOff>276225</xdr:colOff>
                    <xdr:row>110</xdr:row>
                    <xdr:rowOff>9525</xdr:rowOff>
                  </from>
                  <to>
                    <xdr:col>3</xdr:col>
                    <xdr:colOff>95250</xdr:colOff>
                    <xdr:row>110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0</xdr:col>
                    <xdr:colOff>276225</xdr:colOff>
                    <xdr:row>111</xdr:row>
                    <xdr:rowOff>9525</xdr:rowOff>
                  </from>
                  <to>
                    <xdr:col>3</xdr:col>
                    <xdr:colOff>95250</xdr:colOff>
                    <xdr:row>111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0</xdr:col>
                    <xdr:colOff>276225</xdr:colOff>
                    <xdr:row>112</xdr:row>
                    <xdr:rowOff>9525</xdr:rowOff>
                  </from>
                  <to>
                    <xdr:col>3</xdr:col>
                    <xdr:colOff>95250</xdr:colOff>
                    <xdr:row>112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0</xdr:col>
                    <xdr:colOff>276225</xdr:colOff>
                    <xdr:row>113</xdr:row>
                    <xdr:rowOff>9525</xdr:rowOff>
                  </from>
                  <to>
                    <xdr:col>3</xdr:col>
                    <xdr:colOff>95250</xdr:colOff>
                    <xdr:row>113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0</xdr:col>
                    <xdr:colOff>276225</xdr:colOff>
                    <xdr:row>114</xdr:row>
                    <xdr:rowOff>9525</xdr:rowOff>
                  </from>
                  <to>
                    <xdr:col>3</xdr:col>
                    <xdr:colOff>95250</xdr:colOff>
                    <xdr:row>114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0</xdr:col>
                    <xdr:colOff>276225</xdr:colOff>
                    <xdr:row>115</xdr:row>
                    <xdr:rowOff>9525</xdr:rowOff>
                  </from>
                  <to>
                    <xdr:col>3</xdr:col>
                    <xdr:colOff>95250</xdr:colOff>
                    <xdr:row>115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0</xdr:col>
                    <xdr:colOff>276225</xdr:colOff>
                    <xdr:row>116</xdr:row>
                    <xdr:rowOff>9525</xdr:rowOff>
                  </from>
                  <to>
                    <xdr:col>3</xdr:col>
                    <xdr:colOff>95250</xdr:colOff>
                    <xdr:row>116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0</xdr:col>
                    <xdr:colOff>276225</xdr:colOff>
                    <xdr:row>117</xdr:row>
                    <xdr:rowOff>9525</xdr:rowOff>
                  </from>
                  <to>
                    <xdr:col>3</xdr:col>
                    <xdr:colOff>95250</xdr:colOff>
                    <xdr:row>117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0</xdr:col>
                    <xdr:colOff>276225</xdr:colOff>
                    <xdr:row>118</xdr:row>
                    <xdr:rowOff>9525</xdr:rowOff>
                  </from>
                  <to>
                    <xdr:col>3</xdr:col>
                    <xdr:colOff>95250</xdr:colOff>
                    <xdr:row>118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0</xdr:col>
                    <xdr:colOff>276225</xdr:colOff>
                    <xdr:row>119</xdr:row>
                    <xdr:rowOff>9525</xdr:rowOff>
                  </from>
                  <to>
                    <xdr:col>3</xdr:col>
                    <xdr:colOff>95250</xdr:colOff>
                    <xdr:row>119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0</xdr:col>
                    <xdr:colOff>276225</xdr:colOff>
                    <xdr:row>120</xdr:row>
                    <xdr:rowOff>9525</xdr:rowOff>
                  </from>
                  <to>
                    <xdr:col>3</xdr:col>
                    <xdr:colOff>95250</xdr:colOff>
                    <xdr:row>120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0</xdr:col>
                    <xdr:colOff>276225</xdr:colOff>
                    <xdr:row>121</xdr:row>
                    <xdr:rowOff>9525</xdr:rowOff>
                  </from>
                  <to>
                    <xdr:col>3</xdr:col>
                    <xdr:colOff>95250</xdr:colOff>
                    <xdr:row>121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0</xdr:col>
                    <xdr:colOff>276225</xdr:colOff>
                    <xdr:row>122</xdr:row>
                    <xdr:rowOff>9525</xdr:rowOff>
                  </from>
                  <to>
                    <xdr:col>3</xdr:col>
                    <xdr:colOff>95250</xdr:colOff>
                    <xdr:row>122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0</xdr:col>
                    <xdr:colOff>276225</xdr:colOff>
                    <xdr:row>123</xdr:row>
                    <xdr:rowOff>9525</xdr:rowOff>
                  </from>
                  <to>
                    <xdr:col>3</xdr:col>
                    <xdr:colOff>95250</xdr:colOff>
                    <xdr:row>123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0</xdr:col>
                    <xdr:colOff>276225</xdr:colOff>
                    <xdr:row>124</xdr:row>
                    <xdr:rowOff>9525</xdr:rowOff>
                  </from>
                  <to>
                    <xdr:col>3</xdr:col>
                    <xdr:colOff>95250</xdr:colOff>
                    <xdr:row>124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0</xdr:col>
                    <xdr:colOff>276225</xdr:colOff>
                    <xdr:row>125</xdr:row>
                    <xdr:rowOff>9525</xdr:rowOff>
                  </from>
                  <to>
                    <xdr:col>3</xdr:col>
                    <xdr:colOff>95250</xdr:colOff>
                    <xdr:row>125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0</xdr:col>
                    <xdr:colOff>276225</xdr:colOff>
                    <xdr:row>126</xdr:row>
                    <xdr:rowOff>9525</xdr:rowOff>
                  </from>
                  <to>
                    <xdr:col>3</xdr:col>
                    <xdr:colOff>95250</xdr:colOff>
                    <xdr:row>126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0</xdr:col>
                    <xdr:colOff>276225</xdr:colOff>
                    <xdr:row>127</xdr:row>
                    <xdr:rowOff>9525</xdr:rowOff>
                  </from>
                  <to>
                    <xdr:col>3</xdr:col>
                    <xdr:colOff>95250</xdr:colOff>
                    <xdr:row>127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0</xdr:col>
                    <xdr:colOff>276225</xdr:colOff>
                    <xdr:row>128</xdr:row>
                    <xdr:rowOff>9525</xdr:rowOff>
                  </from>
                  <to>
                    <xdr:col>3</xdr:col>
                    <xdr:colOff>95250</xdr:colOff>
                    <xdr:row>128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0</xdr:col>
                    <xdr:colOff>276225</xdr:colOff>
                    <xdr:row>129</xdr:row>
                    <xdr:rowOff>9525</xdr:rowOff>
                  </from>
                  <to>
                    <xdr:col>3</xdr:col>
                    <xdr:colOff>95250</xdr:colOff>
                    <xdr:row>129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0</xdr:col>
                    <xdr:colOff>276225</xdr:colOff>
                    <xdr:row>130</xdr:row>
                    <xdr:rowOff>9525</xdr:rowOff>
                  </from>
                  <to>
                    <xdr:col>3</xdr:col>
                    <xdr:colOff>95250</xdr:colOff>
                    <xdr:row>130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0</xdr:col>
                    <xdr:colOff>276225</xdr:colOff>
                    <xdr:row>131</xdr:row>
                    <xdr:rowOff>9525</xdr:rowOff>
                  </from>
                  <to>
                    <xdr:col>3</xdr:col>
                    <xdr:colOff>95250</xdr:colOff>
                    <xdr:row>131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Check Box 132">
              <controlPr defaultSize="0" autoFill="0" autoLine="0" autoPict="0">
                <anchor moveWithCells="1">
                  <from>
                    <xdr:col>0</xdr:col>
                    <xdr:colOff>276225</xdr:colOff>
                    <xdr:row>132</xdr:row>
                    <xdr:rowOff>9525</xdr:rowOff>
                  </from>
                  <to>
                    <xdr:col>3</xdr:col>
                    <xdr:colOff>95250</xdr:colOff>
                    <xdr:row>132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Check Box 133">
              <controlPr defaultSize="0" autoFill="0" autoLine="0" autoPict="0">
                <anchor moveWithCells="1">
                  <from>
                    <xdr:col>0</xdr:col>
                    <xdr:colOff>276225</xdr:colOff>
                    <xdr:row>133</xdr:row>
                    <xdr:rowOff>9525</xdr:rowOff>
                  </from>
                  <to>
                    <xdr:col>3</xdr:col>
                    <xdr:colOff>95250</xdr:colOff>
                    <xdr:row>133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Check Box 134">
              <controlPr defaultSize="0" autoFill="0" autoLine="0" autoPict="0">
                <anchor moveWithCells="1">
                  <from>
                    <xdr:col>0</xdr:col>
                    <xdr:colOff>276225</xdr:colOff>
                    <xdr:row>134</xdr:row>
                    <xdr:rowOff>9525</xdr:rowOff>
                  </from>
                  <to>
                    <xdr:col>3</xdr:col>
                    <xdr:colOff>95250</xdr:colOff>
                    <xdr:row>134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Check Box 135">
              <controlPr defaultSize="0" autoFill="0" autoLine="0" autoPict="0">
                <anchor moveWithCells="1">
                  <from>
                    <xdr:col>0</xdr:col>
                    <xdr:colOff>276225</xdr:colOff>
                    <xdr:row>135</xdr:row>
                    <xdr:rowOff>9525</xdr:rowOff>
                  </from>
                  <to>
                    <xdr:col>3</xdr:col>
                    <xdr:colOff>95250</xdr:colOff>
                    <xdr:row>135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Check Box 136">
              <controlPr defaultSize="0" autoFill="0" autoLine="0" autoPict="0">
                <anchor moveWithCells="1">
                  <from>
                    <xdr:col>0</xdr:col>
                    <xdr:colOff>276225</xdr:colOff>
                    <xdr:row>136</xdr:row>
                    <xdr:rowOff>9525</xdr:rowOff>
                  </from>
                  <to>
                    <xdr:col>3</xdr:col>
                    <xdr:colOff>95250</xdr:colOff>
                    <xdr:row>136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Check Box 137">
              <controlPr defaultSize="0" autoFill="0" autoLine="0" autoPict="0">
                <anchor moveWithCells="1">
                  <from>
                    <xdr:col>0</xdr:col>
                    <xdr:colOff>276225</xdr:colOff>
                    <xdr:row>137</xdr:row>
                    <xdr:rowOff>9525</xdr:rowOff>
                  </from>
                  <to>
                    <xdr:col>3</xdr:col>
                    <xdr:colOff>95250</xdr:colOff>
                    <xdr:row>137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Check Box 138">
              <controlPr defaultSize="0" autoFill="0" autoLine="0" autoPict="0">
                <anchor moveWithCells="1">
                  <from>
                    <xdr:col>0</xdr:col>
                    <xdr:colOff>276225</xdr:colOff>
                    <xdr:row>138</xdr:row>
                    <xdr:rowOff>9525</xdr:rowOff>
                  </from>
                  <to>
                    <xdr:col>3</xdr:col>
                    <xdr:colOff>95250</xdr:colOff>
                    <xdr:row>138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Check Box 139">
              <controlPr defaultSize="0" autoFill="0" autoLine="0" autoPict="0">
                <anchor moveWithCells="1">
                  <from>
                    <xdr:col>0</xdr:col>
                    <xdr:colOff>276225</xdr:colOff>
                    <xdr:row>139</xdr:row>
                    <xdr:rowOff>9525</xdr:rowOff>
                  </from>
                  <to>
                    <xdr:col>3</xdr:col>
                    <xdr:colOff>95250</xdr:colOff>
                    <xdr:row>139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Check Box 140">
              <controlPr defaultSize="0" autoFill="0" autoLine="0" autoPict="0">
                <anchor moveWithCells="1">
                  <from>
                    <xdr:col>0</xdr:col>
                    <xdr:colOff>276225</xdr:colOff>
                    <xdr:row>140</xdr:row>
                    <xdr:rowOff>9525</xdr:rowOff>
                  </from>
                  <to>
                    <xdr:col>3</xdr:col>
                    <xdr:colOff>95250</xdr:colOff>
                    <xdr:row>140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Check Box 141">
              <controlPr defaultSize="0" autoFill="0" autoLine="0" autoPict="0">
                <anchor moveWithCells="1">
                  <from>
                    <xdr:col>0</xdr:col>
                    <xdr:colOff>276225</xdr:colOff>
                    <xdr:row>141</xdr:row>
                    <xdr:rowOff>9525</xdr:rowOff>
                  </from>
                  <to>
                    <xdr:col>3</xdr:col>
                    <xdr:colOff>95250</xdr:colOff>
                    <xdr:row>141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Check Box 142">
              <controlPr defaultSize="0" autoFill="0" autoLine="0" autoPict="0">
                <anchor moveWithCells="1">
                  <from>
                    <xdr:col>0</xdr:col>
                    <xdr:colOff>276225</xdr:colOff>
                    <xdr:row>142</xdr:row>
                    <xdr:rowOff>9525</xdr:rowOff>
                  </from>
                  <to>
                    <xdr:col>3</xdr:col>
                    <xdr:colOff>95250</xdr:colOff>
                    <xdr:row>142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Check Box 143">
              <controlPr defaultSize="0" autoFill="0" autoLine="0" autoPict="0">
                <anchor moveWithCells="1">
                  <from>
                    <xdr:col>0</xdr:col>
                    <xdr:colOff>276225</xdr:colOff>
                    <xdr:row>143</xdr:row>
                    <xdr:rowOff>9525</xdr:rowOff>
                  </from>
                  <to>
                    <xdr:col>3</xdr:col>
                    <xdr:colOff>95250</xdr:colOff>
                    <xdr:row>143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Check Box 144">
              <controlPr defaultSize="0" autoFill="0" autoLine="0" autoPict="0">
                <anchor moveWithCells="1">
                  <from>
                    <xdr:col>0</xdr:col>
                    <xdr:colOff>276225</xdr:colOff>
                    <xdr:row>144</xdr:row>
                    <xdr:rowOff>9525</xdr:rowOff>
                  </from>
                  <to>
                    <xdr:col>3</xdr:col>
                    <xdr:colOff>95250</xdr:colOff>
                    <xdr:row>144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Check Box 145">
              <controlPr defaultSize="0" autoFill="0" autoLine="0" autoPict="0">
                <anchor moveWithCells="1">
                  <from>
                    <xdr:col>0</xdr:col>
                    <xdr:colOff>276225</xdr:colOff>
                    <xdr:row>145</xdr:row>
                    <xdr:rowOff>9525</xdr:rowOff>
                  </from>
                  <to>
                    <xdr:col>3</xdr:col>
                    <xdr:colOff>95250</xdr:colOff>
                    <xdr:row>145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Check Box 146">
              <controlPr defaultSize="0" autoFill="0" autoLine="0" autoPict="0">
                <anchor moveWithCells="1">
                  <from>
                    <xdr:col>0</xdr:col>
                    <xdr:colOff>276225</xdr:colOff>
                    <xdr:row>146</xdr:row>
                    <xdr:rowOff>9525</xdr:rowOff>
                  </from>
                  <to>
                    <xdr:col>3</xdr:col>
                    <xdr:colOff>95250</xdr:colOff>
                    <xdr:row>146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Check Box 147">
              <controlPr defaultSize="0" autoFill="0" autoLine="0" autoPict="0">
                <anchor moveWithCells="1">
                  <from>
                    <xdr:col>0</xdr:col>
                    <xdr:colOff>276225</xdr:colOff>
                    <xdr:row>147</xdr:row>
                    <xdr:rowOff>9525</xdr:rowOff>
                  </from>
                  <to>
                    <xdr:col>3</xdr:col>
                    <xdr:colOff>95250</xdr:colOff>
                    <xdr:row>147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Check Box 148">
              <controlPr defaultSize="0" autoFill="0" autoLine="0" autoPict="0">
                <anchor moveWithCells="1">
                  <from>
                    <xdr:col>0</xdr:col>
                    <xdr:colOff>276225</xdr:colOff>
                    <xdr:row>148</xdr:row>
                    <xdr:rowOff>9525</xdr:rowOff>
                  </from>
                  <to>
                    <xdr:col>3</xdr:col>
                    <xdr:colOff>95250</xdr:colOff>
                    <xdr:row>148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Check Box 149">
              <controlPr defaultSize="0" autoFill="0" autoLine="0" autoPict="0">
                <anchor moveWithCells="1">
                  <from>
                    <xdr:col>0</xdr:col>
                    <xdr:colOff>276225</xdr:colOff>
                    <xdr:row>149</xdr:row>
                    <xdr:rowOff>9525</xdr:rowOff>
                  </from>
                  <to>
                    <xdr:col>3</xdr:col>
                    <xdr:colOff>95250</xdr:colOff>
                    <xdr:row>149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Check Box 150">
              <controlPr defaultSize="0" autoFill="0" autoLine="0" autoPict="0">
                <anchor moveWithCells="1">
                  <from>
                    <xdr:col>0</xdr:col>
                    <xdr:colOff>276225</xdr:colOff>
                    <xdr:row>150</xdr:row>
                    <xdr:rowOff>9525</xdr:rowOff>
                  </from>
                  <to>
                    <xdr:col>3</xdr:col>
                    <xdr:colOff>95250</xdr:colOff>
                    <xdr:row>150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Check Box 151">
              <controlPr defaultSize="0" autoFill="0" autoLine="0" autoPict="0">
                <anchor moveWithCells="1">
                  <from>
                    <xdr:col>0</xdr:col>
                    <xdr:colOff>276225</xdr:colOff>
                    <xdr:row>151</xdr:row>
                    <xdr:rowOff>9525</xdr:rowOff>
                  </from>
                  <to>
                    <xdr:col>3</xdr:col>
                    <xdr:colOff>95250</xdr:colOff>
                    <xdr:row>151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Check Box 152">
              <controlPr defaultSize="0" autoFill="0" autoLine="0" autoPict="0">
                <anchor moveWithCells="1">
                  <from>
                    <xdr:col>0</xdr:col>
                    <xdr:colOff>276225</xdr:colOff>
                    <xdr:row>152</xdr:row>
                    <xdr:rowOff>9525</xdr:rowOff>
                  </from>
                  <to>
                    <xdr:col>3</xdr:col>
                    <xdr:colOff>95250</xdr:colOff>
                    <xdr:row>152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Check Box 153">
              <controlPr defaultSize="0" autoFill="0" autoLine="0" autoPict="0">
                <anchor moveWithCells="1">
                  <from>
                    <xdr:col>0</xdr:col>
                    <xdr:colOff>276225</xdr:colOff>
                    <xdr:row>153</xdr:row>
                    <xdr:rowOff>9525</xdr:rowOff>
                  </from>
                  <to>
                    <xdr:col>3</xdr:col>
                    <xdr:colOff>95250</xdr:colOff>
                    <xdr:row>153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Check Box 154">
              <controlPr defaultSize="0" autoFill="0" autoLine="0" autoPict="0">
                <anchor moveWithCells="1">
                  <from>
                    <xdr:col>0</xdr:col>
                    <xdr:colOff>276225</xdr:colOff>
                    <xdr:row>154</xdr:row>
                    <xdr:rowOff>9525</xdr:rowOff>
                  </from>
                  <to>
                    <xdr:col>3</xdr:col>
                    <xdr:colOff>95250</xdr:colOff>
                    <xdr:row>154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Check Box 155">
              <controlPr defaultSize="0" autoFill="0" autoLine="0" autoPict="0">
                <anchor moveWithCells="1">
                  <from>
                    <xdr:col>0</xdr:col>
                    <xdr:colOff>276225</xdr:colOff>
                    <xdr:row>155</xdr:row>
                    <xdr:rowOff>9525</xdr:rowOff>
                  </from>
                  <to>
                    <xdr:col>3</xdr:col>
                    <xdr:colOff>95250</xdr:colOff>
                    <xdr:row>155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Check Box 156">
              <controlPr defaultSize="0" autoFill="0" autoLine="0" autoPict="0">
                <anchor moveWithCells="1">
                  <from>
                    <xdr:col>0</xdr:col>
                    <xdr:colOff>276225</xdr:colOff>
                    <xdr:row>156</xdr:row>
                    <xdr:rowOff>9525</xdr:rowOff>
                  </from>
                  <to>
                    <xdr:col>3</xdr:col>
                    <xdr:colOff>95250</xdr:colOff>
                    <xdr:row>156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Check Box 157">
              <controlPr defaultSize="0" autoFill="0" autoLine="0" autoPict="0">
                <anchor moveWithCells="1">
                  <from>
                    <xdr:col>0</xdr:col>
                    <xdr:colOff>276225</xdr:colOff>
                    <xdr:row>157</xdr:row>
                    <xdr:rowOff>9525</xdr:rowOff>
                  </from>
                  <to>
                    <xdr:col>3</xdr:col>
                    <xdr:colOff>95250</xdr:colOff>
                    <xdr:row>157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Check Box 158">
              <controlPr defaultSize="0" autoFill="0" autoLine="0" autoPict="0">
                <anchor moveWithCells="1">
                  <from>
                    <xdr:col>0</xdr:col>
                    <xdr:colOff>276225</xdr:colOff>
                    <xdr:row>158</xdr:row>
                    <xdr:rowOff>9525</xdr:rowOff>
                  </from>
                  <to>
                    <xdr:col>3</xdr:col>
                    <xdr:colOff>95250</xdr:colOff>
                    <xdr:row>158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Check Box 159">
              <controlPr defaultSize="0" autoFill="0" autoLine="0" autoPict="0">
                <anchor moveWithCells="1">
                  <from>
                    <xdr:col>0</xdr:col>
                    <xdr:colOff>276225</xdr:colOff>
                    <xdr:row>159</xdr:row>
                    <xdr:rowOff>9525</xdr:rowOff>
                  </from>
                  <to>
                    <xdr:col>3</xdr:col>
                    <xdr:colOff>95250</xdr:colOff>
                    <xdr:row>159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Check Box 160">
              <controlPr defaultSize="0" autoFill="0" autoLine="0" autoPict="0">
                <anchor moveWithCells="1">
                  <from>
                    <xdr:col>0</xdr:col>
                    <xdr:colOff>276225</xdr:colOff>
                    <xdr:row>160</xdr:row>
                    <xdr:rowOff>9525</xdr:rowOff>
                  </from>
                  <to>
                    <xdr:col>3</xdr:col>
                    <xdr:colOff>95250</xdr:colOff>
                    <xdr:row>160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Check Box 161">
              <controlPr defaultSize="0" autoFill="0" autoLine="0" autoPict="0">
                <anchor moveWithCells="1">
                  <from>
                    <xdr:col>0</xdr:col>
                    <xdr:colOff>276225</xdr:colOff>
                    <xdr:row>161</xdr:row>
                    <xdr:rowOff>9525</xdr:rowOff>
                  </from>
                  <to>
                    <xdr:col>3</xdr:col>
                    <xdr:colOff>95250</xdr:colOff>
                    <xdr:row>161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Check Box 162">
              <controlPr defaultSize="0" autoFill="0" autoLine="0" autoPict="0">
                <anchor moveWithCells="1">
                  <from>
                    <xdr:col>0</xdr:col>
                    <xdr:colOff>276225</xdr:colOff>
                    <xdr:row>162</xdr:row>
                    <xdr:rowOff>9525</xdr:rowOff>
                  </from>
                  <to>
                    <xdr:col>3</xdr:col>
                    <xdr:colOff>95250</xdr:colOff>
                    <xdr:row>162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Check Box 163">
              <controlPr defaultSize="0" autoFill="0" autoLine="0" autoPict="0">
                <anchor moveWithCells="1">
                  <from>
                    <xdr:col>0</xdr:col>
                    <xdr:colOff>276225</xdr:colOff>
                    <xdr:row>163</xdr:row>
                    <xdr:rowOff>9525</xdr:rowOff>
                  </from>
                  <to>
                    <xdr:col>3</xdr:col>
                    <xdr:colOff>95250</xdr:colOff>
                    <xdr:row>163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Check Box 164">
              <controlPr defaultSize="0" autoFill="0" autoLine="0" autoPict="0">
                <anchor moveWithCells="1">
                  <from>
                    <xdr:col>0</xdr:col>
                    <xdr:colOff>276225</xdr:colOff>
                    <xdr:row>164</xdr:row>
                    <xdr:rowOff>9525</xdr:rowOff>
                  </from>
                  <to>
                    <xdr:col>3</xdr:col>
                    <xdr:colOff>95250</xdr:colOff>
                    <xdr:row>164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Check Box 165">
              <controlPr defaultSize="0" autoFill="0" autoLine="0" autoPict="0">
                <anchor moveWithCells="1">
                  <from>
                    <xdr:col>0</xdr:col>
                    <xdr:colOff>276225</xdr:colOff>
                    <xdr:row>165</xdr:row>
                    <xdr:rowOff>9525</xdr:rowOff>
                  </from>
                  <to>
                    <xdr:col>3</xdr:col>
                    <xdr:colOff>95250</xdr:colOff>
                    <xdr:row>165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Check Box 166">
              <controlPr defaultSize="0" autoFill="0" autoLine="0" autoPict="0">
                <anchor moveWithCells="1">
                  <from>
                    <xdr:col>0</xdr:col>
                    <xdr:colOff>276225</xdr:colOff>
                    <xdr:row>166</xdr:row>
                    <xdr:rowOff>9525</xdr:rowOff>
                  </from>
                  <to>
                    <xdr:col>3</xdr:col>
                    <xdr:colOff>95250</xdr:colOff>
                    <xdr:row>166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Check Box 167">
              <controlPr defaultSize="0" autoFill="0" autoLine="0" autoPict="0">
                <anchor moveWithCells="1">
                  <from>
                    <xdr:col>0</xdr:col>
                    <xdr:colOff>276225</xdr:colOff>
                    <xdr:row>167</xdr:row>
                    <xdr:rowOff>9525</xdr:rowOff>
                  </from>
                  <to>
                    <xdr:col>3</xdr:col>
                    <xdr:colOff>95250</xdr:colOff>
                    <xdr:row>167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Check Box 168">
              <controlPr defaultSize="0" autoFill="0" autoLine="0" autoPict="0">
                <anchor moveWithCells="1">
                  <from>
                    <xdr:col>0</xdr:col>
                    <xdr:colOff>276225</xdr:colOff>
                    <xdr:row>168</xdr:row>
                    <xdr:rowOff>9525</xdr:rowOff>
                  </from>
                  <to>
                    <xdr:col>3</xdr:col>
                    <xdr:colOff>95250</xdr:colOff>
                    <xdr:row>168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Check Box 169">
              <controlPr defaultSize="0" autoFill="0" autoLine="0" autoPict="0">
                <anchor moveWithCells="1">
                  <from>
                    <xdr:col>0</xdr:col>
                    <xdr:colOff>276225</xdr:colOff>
                    <xdr:row>169</xdr:row>
                    <xdr:rowOff>9525</xdr:rowOff>
                  </from>
                  <to>
                    <xdr:col>3</xdr:col>
                    <xdr:colOff>95250</xdr:colOff>
                    <xdr:row>169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Check Box 170">
              <controlPr defaultSize="0" autoFill="0" autoLine="0" autoPict="0">
                <anchor moveWithCells="1">
                  <from>
                    <xdr:col>0</xdr:col>
                    <xdr:colOff>276225</xdr:colOff>
                    <xdr:row>170</xdr:row>
                    <xdr:rowOff>9525</xdr:rowOff>
                  </from>
                  <to>
                    <xdr:col>3</xdr:col>
                    <xdr:colOff>95250</xdr:colOff>
                    <xdr:row>170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Check Box 171">
              <controlPr defaultSize="0" autoFill="0" autoLine="0" autoPict="0">
                <anchor moveWithCells="1">
                  <from>
                    <xdr:col>0</xdr:col>
                    <xdr:colOff>276225</xdr:colOff>
                    <xdr:row>171</xdr:row>
                    <xdr:rowOff>9525</xdr:rowOff>
                  </from>
                  <to>
                    <xdr:col>3</xdr:col>
                    <xdr:colOff>95250</xdr:colOff>
                    <xdr:row>171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4" name="Check Box 172">
              <controlPr defaultSize="0" autoFill="0" autoLine="0" autoPict="0">
                <anchor moveWithCells="1">
                  <from>
                    <xdr:col>0</xdr:col>
                    <xdr:colOff>276225</xdr:colOff>
                    <xdr:row>172</xdr:row>
                    <xdr:rowOff>9525</xdr:rowOff>
                  </from>
                  <to>
                    <xdr:col>3</xdr:col>
                    <xdr:colOff>95250</xdr:colOff>
                    <xdr:row>172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5" name="Check Box 173">
              <controlPr defaultSize="0" autoFill="0" autoLine="0" autoPict="0">
                <anchor moveWithCells="1">
                  <from>
                    <xdr:col>0</xdr:col>
                    <xdr:colOff>276225</xdr:colOff>
                    <xdr:row>173</xdr:row>
                    <xdr:rowOff>9525</xdr:rowOff>
                  </from>
                  <to>
                    <xdr:col>3</xdr:col>
                    <xdr:colOff>95250</xdr:colOff>
                    <xdr:row>173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6" name="Check Box 174">
              <controlPr defaultSize="0" autoFill="0" autoLine="0" autoPict="0">
                <anchor moveWithCells="1">
                  <from>
                    <xdr:col>0</xdr:col>
                    <xdr:colOff>276225</xdr:colOff>
                    <xdr:row>174</xdr:row>
                    <xdr:rowOff>9525</xdr:rowOff>
                  </from>
                  <to>
                    <xdr:col>3</xdr:col>
                    <xdr:colOff>95250</xdr:colOff>
                    <xdr:row>174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7" name="Check Box 175">
              <controlPr defaultSize="0" autoFill="0" autoLine="0" autoPict="0">
                <anchor moveWithCells="1">
                  <from>
                    <xdr:col>0</xdr:col>
                    <xdr:colOff>276225</xdr:colOff>
                    <xdr:row>175</xdr:row>
                    <xdr:rowOff>9525</xdr:rowOff>
                  </from>
                  <to>
                    <xdr:col>3</xdr:col>
                    <xdr:colOff>95250</xdr:colOff>
                    <xdr:row>175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8" name="Check Box 176">
              <controlPr defaultSize="0" autoFill="0" autoLine="0" autoPict="0">
                <anchor moveWithCells="1">
                  <from>
                    <xdr:col>0</xdr:col>
                    <xdr:colOff>276225</xdr:colOff>
                    <xdr:row>176</xdr:row>
                    <xdr:rowOff>9525</xdr:rowOff>
                  </from>
                  <to>
                    <xdr:col>3</xdr:col>
                    <xdr:colOff>95250</xdr:colOff>
                    <xdr:row>176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9" name="Check Box 177">
              <controlPr defaultSize="0" autoFill="0" autoLine="0" autoPict="0">
                <anchor moveWithCells="1">
                  <from>
                    <xdr:col>0</xdr:col>
                    <xdr:colOff>276225</xdr:colOff>
                    <xdr:row>177</xdr:row>
                    <xdr:rowOff>9525</xdr:rowOff>
                  </from>
                  <to>
                    <xdr:col>3</xdr:col>
                    <xdr:colOff>95250</xdr:colOff>
                    <xdr:row>177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0" name="Check Box 178">
              <controlPr defaultSize="0" autoFill="0" autoLine="0" autoPict="0">
                <anchor moveWithCells="1">
                  <from>
                    <xdr:col>0</xdr:col>
                    <xdr:colOff>276225</xdr:colOff>
                    <xdr:row>178</xdr:row>
                    <xdr:rowOff>9525</xdr:rowOff>
                  </from>
                  <to>
                    <xdr:col>3</xdr:col>
                    <xdr:colOff>95250</xdr:colOff>
                    <xdr:row>178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1" name="Check Box 179">
              <controlPr defaultSize="0" autoFill="0" autoLine="0" autoPict="0">
                <anchor moveWithCells="1">
                  <from>
                    <xdr:col>0</xdr:col>
                    <xdr:colOff>276225</xdr:colOff>
                    <xdr:row>179</xdr:row>
                    <xdr:rowOff>9525</xdr:rowOff>
                  </from>
                  <to>
                    <xdr:col>3</xdr:col>
                    <xdr:colOff>95250</xdr:colOff>
                    <xdr:row>179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2" name="Check Box 180">
              <controlPr defaultSize="0" autoFill="0" autoLine="0" autoPict="0">
                <anchor moveWithCells="1">
                  <from>
                    <xdr:col>0</xdr:col>
                    <xdr:colOff>276225</xdr:colOff>
                    <xdr:row>180</xdr:row>
                    <xdr:rowOff>9525</xdr:rowOff>
                  </from>
                  <to>
                    <xdr:col>3</xdr:col>
                    <xdr:colOff>95250</xdr:colOff>
                    <xdr:row>180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3" name="Check Box 181">
              <controlPr defaultSize="0" autoFill="0" autoLine="0" autoPict="0">
                <anchor moveWithCells="1">
                  <from>
                    <xdr:col>0</xdr:col>
                    <xdr:colOff>276225</xdr:colOff>
                    <xdr:row>181</xdr:row>
                    <xdr:rowOff>9525</xdr:rowOff>
                  </from>
                  <to>
                    <xdr:col>3</xdr:col>
                    <xdr:colOff>95250</xdr:colOff>
                    <xdr:row>181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4" name="Check Box 182">
              <controlPr defaultSize="0" autoFill="0" autoLine="0" autoPict="0">
                <anchor moveWithCells="1">
                  <from>
                    <xdr:col>0</xdr:col>
                    <xdr:colOff>276225</xdr:colOff>
                    <xdr:row>182</xdr:row>
                    <xdr:rowOff>9525</xdr:rowOff>
                  </from>
                  <to>
                    <xdr:col>3</xdr:col>
                    <xdr:colOff>95250</xdr:colOff>
                    <xdr:row>182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5" name="Check Box 183">
              <controlPr defaultSize="0" autoFill="0" autoLine="0" autoPict="0">
                <anchor moveWithCells="1">
                  <from>
                    <xdr:col>0</xdr:col>
                    <xdr:colOff>276225</xdr:colOff>
                    <xdr:row>183</xdr:row>
                    <xdr:rowOff>9525</xdr:rowOff>
                  </from>
                  <to>
                    <xdr:col>3</xdr:col>
                    <xdr:colOff>95250</xdr:colOff>
                    <xdr:row>183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6" name="Check Box 184">
              <controlPr defaultSize="0" autoFill="0" autoLine="0" autoPict="0">
                <anchor moveWithCells="1">
                  <from>
                    <xdr:col>0</xdr:col>
                    <xdr:colOff>276225</xdr:colOff>
                    <xdr:row>184</xdr:row>
                    <xdr:rowOff>9525</xdr:rowOff>
                  </from>
                  <to>
                    <xdr:col>3</xdr:col>
                    <xdr:colOff>95250</xdr:colOff>
                    <xdr:row>184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7" name="Check Box 185">
              <controlPr defaultSize="0" autoFill="0" autoLine="0" autoPict="0">
                <anchor moveWithCells="1">
                  <from>
                    <xdr:col>0</xdr:col>
                    <xdr:colOff>276225</xdr:colOff>
                    <xdr:row>185</xdr:row>
                    <xdr:rowOff>9525</xdr:rowOff>
                  </from>
                  <to>
                    <xdr:col>3</xdr:col>
                    <xdr:colOff>95250</xdr:colOff>
                    <xdr:row>185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8" name="Check Box 186">
              <controlPr defaultSize="0" autoFill="0" autoLine="0" autoPict="0">
                <anchor moveWithCells="1">
                  <from>
                    <xdr:col>0</xdr:col>
                    <xdr:colOff>276225</xdr:colOff>
                    <xdr:row>186</xdr:row>
                    <xdr:rowOff>9525</xdr:rowOff>
                  </from>
                  <to>
                    <xdr:col>3</xdr:col>
                    <xdr:colOff>95250</xdr:colOff>
                    <xdr:row>186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9" name="Check Box 187">
              <controlPr defaultSize="0" autoFill="0" autoLine="0" autoPict="0">
                <anchor moveWithCells="1">
                  <from>
                    <xdr:col>0</xdr:col>
                    <xdr:colOff>276225</xdr:colOff>
                    <xdr:row>187</xdr:row>
                    <xdr:rowOff>9525</xdr:rowOff>
                  </from>
                  <to>
                    <xdr:col>3</xdr:col>
                    <xdr:colOff>95250</xdr:colOff>
                    <xdr:row>187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0" name="Check Box 188">
              <controlPr defaultSize="0" autoFill="0" autoLine="0" autoPict="0">
                <anchor moveWithCells="1">
                  <from>
                    <xdr:col>0</xdr:col>
                    <xdr:colOff>276225</xdr:colOff>
                    <xdr:row>188</xdr:row>
                    <xdr:rowOff>9525</xdr:rowOff>
                  </from>
                  <to>
                    <xdr:col>3</xdr:col>
                    <xdr:colOff>95250</xdr:colOff>
                    <xdr:row>188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1" name="Check Box 189">
              <controlPr defaultSize="0" autoFill="0" autoLine="0" autoPict="0">
                <anchor moveWithCells="1">
                  <from>
                    <xdr:col>0</xdr:col>
                    <xdr:colOff>276225</xdr:colOff>
                    <xdr:row>189</xdr:row>
                    <xdr:rowOff>9525</xdr:rowOff>
                  </from>
                  <to>
                    <xdr:col>3</xdr:col>
                    <xdr:colOff>95250</xdr:colOff>
                    <xdr:row>189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2" name="Check Box 190">
              <controlPr defaultSize="0" autoFill="0" autoLine="0" autoPict="0">
                <anchor moveWithCells="1">
                  <from>
                    <xdr:col>0</xdr:col>
                    <xdr:colOff>276225</xdr:colOff>
                    <xdr:row>190</xdr:row>
                    <xdr:rowOff>9525</xdr:rowOff>
                  </from>
                  <to>
                    <xdr:col>3</xdr:col>
                    <xdr:colOff>95250</xdr:colOff>
                    <xdr:row>190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3" name="Check Box 191">
              <controlPr defaultSize="0" autoFill="0" autoLine="0" autoPict="0">
                <anchor moveWithCells="1">
                  <from>
                    <xdr:col>0</xdr:col>
                    <xdr:colOff>276225</xdr:colOff>
                    <xdr:row>191</xdr:row>
                    <xdr:rowOff>9525</xdr:rowOff>
                  </from>
                  <to>
                    <xdr:col>3</xdr:col>
                    <xdr:colOff>95250</xdr:colOff>
                    <xdr:row>191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4" name="Check Box 192">
              <controlPr defaultSize="0" autoFill="0" autoLine="0" autoPict="0">
                <anchor moveWithCells="1">
                  <from>
                    <xdr:col>0</xdr:col>
                    <xdr:colOff>276225</xdr:colOff>
                    <xdr:row>192</xdr:row>
                    <xdr:rowOff>9525</xdr:rowOff>
                  </from>
                  <to>
                    <xdr:col>3</xdr:col>
                    <xdr:colOff>95250</xdr:colOff>
                    <xdr:row>192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5" name="Check Box 193">
              <controlPr defaultSize="0" autoFill="0" autoLine="0" autoPict="0">
                <anchor moveWithCells="1">
                  <from>
                    <xdr:col>0</xdr:col>
                    <xdr:colOff>276225</xdr:colOff>
                    <xdr:row>193</xdr:row>
                    <xdr:rowOff>9525</xdr:rowOff>
                  </from>
                  <to>
                    <xdr:col>3</xdr:col>
                    <xdr:colOff>95250</xdr:colOff>
                    <xdr:row>193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6" name="Check Box 194">
              <controlPr defaultSize="0" autoFill="0" autoLine="0" autoPict="0">
                <anchor moveWithCells="1">
                  <from>
                    <xdr:col>0</xdr:col>
                    <xdr:colOff>276225</xdr:colOff>
                    <xdr:row>194</xdr:row>
                    <xdr:rowOff>9525</xdr:rowOff>
                  </from>
                  <to>
                    <xdr:col>3</xdr:col>
                    <xdr:colOff>95250</xdr:colOff>
                    <xdr:row>194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7" name="Check Box 195">
              <controlPr defaultSize="0" autoFill="0" autoLine="0" autoPict="0">
                <anchor moveWithCells="1">
                  <from>
                    <xdr:col>0</xdr:col>
                    <xdr:colOff>276225</xdr:colOff>
                    <xdr:row>195</xdr:row>
                    <xdr:rowOff>9525</xdr:rowOff>
                  </from>
                  <to>
                    <xdr:col>3</xdr:col>
                    <xdr:colOff>95250</xdr:colOff>
                    <xdr:row>195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8" name="Check Box 196">
              <controlPr defaultSize="0" autoFill="0" autoLine="0" autoPict="0">
                <anchor moveWithCells="1">
                  <from>
                    <xdr:col>0</xdr:col>
                    <xdr:colOff>276225</xdr:colOff>
                    <xdr:row>196</xdr:row>
                    <xdr:rowOff>9525</xdr:rowOff>
                  </from>
                  <to>
                    <xdr:col>3</xdr:col>
                    <xdr:colOff>95250</xdr:colOff>
                    <xdr:row>196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9" name="Check Box 197">
              <controlPr defaultSize="0" autoFill="0" autoLine="0" autoPict="0">
                <anchor moveWithCells="1">
                  <from>
                    <xdr:col>0</xdr:col>
                    <xdr:colOff>276225</xdr:colOff>
                    <xdr:row>197</xdr:row>
                    <xdr:rowOff>9525</xdr:rowOff>
                  </from>
                  <to>
                    <xdr:col>3</xdr:col>
                    <xdr:colOff>95250</xdr:colOff>
                    <xdr:row>197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0" name="Check Box 198">
              <controlPr defaultSize="0" autoFill="0" autoLine="0" autoPict="0">
                <anchor moveWithCells="1">
                  <from>
                    <xdr:col>0</xdr:col>
                    <xdr:colOff>276225</xdr:colOff>
                    <xdr:row>198</xdr:row>
                    <xdr:rowOff>9525</xdr:rowOff>
                  </from>
                  <to>
                    <xdr:col>3</xdr:col>
                    <xdr:colOff>95250</xdr:colOff>
                    <xdr:row>198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1" name="Check Box 199">
              <controlPr defaultSize="0" autoFill="0" autoLine="0" autoPict="0">
                <anchor moveWithCells="1">
                  <from>
                    <xdr:col>0</xdr:col>
                    <xdr:colOff>276225</xdr:colOff>
                    <xdr:row>199</xdr:row>
                    <xdr:rowOff>9525</xdr:rowOff>
                  </from>
                  <to>
                    <xdr:col>3</xdr:col>
                    <xdr:colOff>95250</xdr:colOff>
                    <xdr:row>199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2" name="Check Box 200">
              <controlPr defaultSize="0" autoFill="0" autoLine="0" autoPict="0">
                <anchor moveWithCells="1">
                  <from>
                    <xdr:col>0</xdr:col>
                    <xdr:colOff>276225</xdr:colOff>
                    <xdr:row>200</xdr:row>
                    <xdr:rowOff>9525</xdr:rowOff>
                  </from>
                  <to>
                    <xdr:col>3</xdr:col>
                    <xdr:colOff>95250</xdr:colOff>
                    <xdr:row>200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3" name="Check Box 201">
              <controlPr defaultSize="0" autoFill="0" autoLine="0" autoPict="0">
                <anchor moveWithCells="1">
                  <from>
                    <xdr:col>0</xdr:col>
                    <xdr:colOff>276225</xdr:colOff>
                    <xdr:row>201</xdr:row>
                    <xdr:rowOff>9525</xdr:rowOff>
                  </from>
                  <to>
                    <xdr:col>3</xdr:col>
                    <xdr:colOff>95250</xdr:colOff>
                    <xdr:row>201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4" name="Check Box 202">
              <controlPr defaultSize="0" autoFill="0" autoLine="0" autoPict="0">
                <anchor moveWithCells="1">
                  <from>
                    <xdr:col>0</xdr:col>
                    <xdr:colOff>276225</xdr:colOff>
                    <xdr:row>202</xdr:row>
                    <xdr:rowOff>9525</xdr:rowOff>
                  </from>
                  <to>
                    <xdr:col>3</xdr:col>
                    <xdr:colOff>95250</xdr:colOff>
                    <xdr:row>202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5" name="Check Box 203">
              <controlPr defaultSize="0" autoFill="0" autoLine="0" autoPict="0">
                <anchor moveWithCells="1">
                  <from>
                    <xdr:col>0</xdr:col>
                    <xdr:colOff>276225</xdr:colOff>
                    <xdr:row>203</xdr:row>
                    <xdr:rowOff>9525</xdr:rowOff>
                  </from>
                  <to>
                    <xdr:col>3</xdr:col>
                    <xdr:colOff>95250</xdr:colOff>
                    <xdr:row>203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6" name="Check Box 204">
              <controlPr defaultSize="0" autoFill="0" autoLine="0" autoPict="0">
                <anchor moveWithCells="1">
                  <from>
                    <xdr:col>0</xdr:col>
                    <xdr:colOff>276225</xdr:colOff>
                    <xdr:row>204</xdr:row>
                    <xdr:rowOff>9525</xdr:rowOff>
                  </from>
                  <to>
                    <xdr:col>3</xdr:col>
                    <xdr:colOff>95250</xdr:colOff>
                    <xdr:row>204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7" name="Check Box 205">
              <controlPr defaultSize="0" autoFill="0" autoLine="0" autoPict="0">
                <anchor moveWithCells="1">
                  <from>
                    <xdr:col>0</xdr:col>
                    <xdr:colOff>276225</xdr:colOff>
                    <xdr:row>205</xdr:row>
                    <xdr:rowOff>9525</xdr:rowOff>
                  </from>
                  <to>
                    <xdr:col>3</xdr:col>
                    <xdr:colOff>95250</xdr:colOff>
                    <xdr:row>205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8" name="Check Box 206">
              <controlPr defaultSize="0" autoFill="0" autoLine="0" autoPict="0">
                <anchor moveWithCells="1">
                  <from>
                    <xdr:col>0</xdr:col>
                    <xdr:colOff>276225</xdr:colOff>
                    <xdr:row>206</xdr:row>
                    <xdr:rowOff>9525</xdr:rowOff>
                  </from>
                  <to>
                    <xdr:col>3</xdr:col>
                    <xdr:colOff>95250</xdr:colOff>
                    <xdr:row>206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9" name="Check Box 207">
              <controlPr defaultSize="0" autoFill="0" autoLine="0" autoPict="0">
                <anchor moveWithCells="1">
                  <from>
                    <xdr:col>0</xdr:col>
                    <xdr:colOff>276225</xdr:colOff>
                    <xdr:row>207</xdr:row>
                    <xdr:rowOff>9525</xdr:rowOff>
                  </from>
                  <to>
                    <xdr:col>3</xdr:col>
                    <xdr:colOff>95250</xdr:colOff>
                    <xdr:row>207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0" name="Check Box 208">
              <controlPr defaultSize="0" autoFill="0" autoLine="0" autoPict="0">
                <anchor moveWithCells="1">
                  <from>
                    <xdr:col>0</xdr:col>
                    <xdr:colOff>276225</xdr:colOff>
                    <xdr:row>208</xdr:row>
                    <xdr:rowOff>9525</xdr:rowOff>
                  </from>
                  <to>
                    <xdr:col>3</xdr:col>
                    <xdr:colOff>95250</xdr:colOff>
                    <xdr:row>208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1" name="Check Box 209">
              <controlPr defaultSize="0" autoFill="0" autoLine="0" autoPict="0">
                <anchor moveWithCells="1">
                  <from>
                    <xdr:col>0</xdr:col>
                    <xdr:colOff>276225</xdr:colOff>
                    <xdr:row>209</xdr:row>
                    <xdr:rowOff>9525</xdr:rowOff>
                  </from>
                  <to>
                    <xdr:col>3</xdr:col>
                    <xdr:colOff>95250</xdr:colOff>
                    <xdr:row>209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2" name="Check Box 210">
              <controlPr defaultSize="0" autoFill="0" autoLine="0" autoPict="0">
                <anchor moveWithCells="1">
                  <from>
                    <xdr:col>0</xdr:col>
                    <xdr:colOff>276225</xdr:colOff>
                    <xdr:row>210</xdr:row>
                    <xdr:rowOff>9525</xdr:rowOff>
                  </from>
                  <to>
                    <xdr:col>3</xdr:col>
                    <xdr:colOff>95250</xdr:colOff>
                    <xdr:row>210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3" name="Check Box 211">
              <controlPr defaultSize="0" autoFill="0" autoLine="0" autoPict="0">
                <anchor moveWithCells="1">
                  <from>
                    <xdr:col>0</xdr:col>
                    <xdr:colOff>276225</xdr:colOff>
                    <xdr:row>211</xdr:row>
                    <xdr:rowOff>9525</xdr:rowOff>
                  </from>
                  <to>
                    <xdr:col>3</xdr:col>
                    <xdr:colOff>95250</xdr:colOff>
                    <xdr:row>211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4" name="Check Box 212">
              <controlPr defaultSize="0" autoFill="0" autoLine="0" autoPict="0">
                <anchor moveWithCells="1">
                  <from>
                    <xdr:col>0</xdr:col>
                    <xdr:colOff>276225</xdr:colOff>
                    <xdr:row>212</xdr:row>
                    <xdr:rowOff>9525</xdr:rowOff>
                  </from>
                  <to>
                    <xdr:col>3</xdr:col>
                    <xdr:colOff>95250</xdr:colOff>
                    <xdr:row>212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5" name="Check Box 213">
              <controlPr defaultSize="0" autoFill="0" autoLine="0" autoPict="0">
                <anchor moveWithCells="1">
                  <from>
                    <xdr:col>0</xdr:col>
                    <xdr:colOff>276225</xdr:colOff>
                    <xdr:row>213</xdr:row>
                    <xdr:rowOff>9525</xdr:rowOff>
                  </from>
                  <to>
                    <xdr:col>3</xdr:col>
                    <xdr:colOff>95250</xdr:colOff>
                    <xdr:row>213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6" name="Check Box 214">
              <controlPr defaultSize="0" autoFill="0" autoLine="0" autoPict="0">
                <anchor moveWithCells="1">
                  <from>
                    <xdr:col>0</xdr:col>
                    <xdr:colOff>276225</xdr:colOff>
                    <xdr:row>214</xdr:row>
                    <xdr:rowOff>9525</xdr:rowOff>
                  </from>
                  <to>
                    <xdr:col>3</xdr:col>
                    <xdr:colOff>95250</xdr:colOff>
                    <xdr:row>214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7" name="Check Box 215">
              <controlPr defaultSize="0" autoFill="0" autoLine="0" autoPict="0">
                <anchor moveWithCells="1">
                  <from>
                    <xdr:col>0</xdr:col>
                    <xdr:colOff>276225</xdr:colOff>
                    <xdr:row>215</xdr:row>
                    <xdr:rowOff>9525</xdr:rowOff>
                  </from>
                  <to>
                    <xdr:col>3</xdr:col>
                    <xdr:colOff>95250</xdr:colOff>
                    <xdr:row>215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8" name="Check Box 216">
              <controlPr defaultSize="0" autoFill="0" autoLine="0" autoPict="0">
                <anchor moveWithCells="1">
                  <from>
                    <xdr:col>0</xdr:col>
                    <xdr:colOff>276225</xdr:colOff>
                    <xdr:row>216</xdr:row>
                    <xdr:rowOff>9525</xdr:rowOff>
                  </from>
                  <to>
                    <xdr:col>3</xdr:col>
                    <xdr:colOff>95250</xdr:colOff>
                    <xdr:row>216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9" name="Check Box 217">
              <controlPr defaultSize="0" autoFill="0" autoLine="0" autoPict="0">
                <anchor moveWithCells="1">
                  <from>
                    <xdr:col>0</xdr:col>
                    <xdr:colOff>276225</xdr:colOff>
                    <xdr:row>217</xdr:row>
                    <xdr:rowOff>9525</xdr:rowOff>
                  </from>
                  <to>
                    <xdr:col>3</xdr:col>
                    <xdr:colOff>95250</xdr:colOff>
                    <xdr:row>217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0" name="Check Box 218">
              <controlPr defaultSize="0" autoFill="0" autoLine="0" autoPict="0">
                <anchor moveWithCells="1">
                  <from>
                    <xdr:col>0</xdr:col>
                    <xdr:colOff>276225</xdr:colOff>
                    <xdr:row>218</xdr:row>
                    <xdr:rowOff>9525</xdr:rowOff>
                  </from>
                  <to>
                    <xdr:col>3</xdr:col>
                    <xdr:colOff>95250</xdr:colOff>
                    <xdr:row>218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1" name="Check Box 219">
              <controlPr defaultSize="0" autoFill="0" autoLine="0" autoPict="0">
                <anchor moveWithCells="1">
                  <from>
                    <xdr:col>0</xdr:col>
                    <xdr:colOff>276225</xdr:colOff>
                    <xdr:row>219</xdr:row>
                    <xdr:rowOff>9525</xdr:rowOff>
                  </from>
                  <to>
                    <xdr:col>3</xdr:col>
                    <xdr:colOff>95250</xdr:colOff>
                    <xdr:row>219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2" name="Check Box 220">
              <controlPr defaultSize="0" autoFill="0" autoLine="0" autoPict="0">
                <anchor moveWithCells="1">
                  <from>
                    <xdr:col>0</xdr:col>
                    <xdr:colOff>276225</xdr:colOff>
                    <xdr:row>220</xdr:row>
                    <xdr:rowOff>9525</xdr:rowOff>
                  </from>
                  <to>
                    <xdr:col>3</xdr:col>
                    <xdr:colOff>95250</xdr:colOff>
                    <xdr:row>220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3" name="Check Box 221">
              <controlPr defaultSize="0" autoFill="0" autoLine="0" autoPict="0">
                <anchor moveWithCells="1">
                  <from>
                    <xdr:col>0</xdr:col>
                    <xdr:colOff>276225</xdr:colOff>
                    <xdr:row>221</xdr:row>
                    <xdr:rowOff>9525</xdr:rowOff>
                  </from>
                  <to>
                    <xdr:col>3</xdr:col>
                    <xdr:colOff>95250</xdr:colOff>
                    <xdr:row>221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4" name="Check Box 222">
              <controlPr defaultSize="0" autoFill="0" autoLine="0" autoPict="0">
                <anchor moveWithCells="1">
                  <from>
                    <xdr:col>0</xdr:col>
                    <xdr:colOff>276225</xdr:colOff>
                    <xdr:row>222</xdr:row>
                    <xdr:rowOff>9525</xdr:rowOff>
                  </from>
                  <to>
                    <xdr:col>3</xdr:col>
                    <xdr:colOff>95250</xdr:colOff>
                    <xdr:row>222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5" name="Check Box 223">
              <controlPr defaultSize="0" autoFill="0" autoLine="0" autoPict="0">
                <anchor moveWithCells="1">
                  <from>
                    <xdr:col>0</xdr:col>
                    <xdr:colOff>276225</xdr:colOff>
                    <xdr:row>223</xdr:row>
                    <xdr:rowOff>9525</xdr:rowOff>
                  </from>
                  <to>
                    <xdr:col>3</xdr:col>
                    <xdr:colOff>95250</xdr:colOff>
                    <xdr:row>223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6" name="Check Box 224">
              <controlPr defaultSize="0" autoFill="0" autoLine="0" autoPict="0">
                <anchor moveWithCells="1">
                  <from>
                    <xdr:col>0</xdr:col>
                    <xdr:colOff>276225</xdr:colOff>
                    <xdr:row>224</xdr:row>
                    <xdr:rowOff>9525</xdr:rowOff>
                  </from>
                  <to>
                    <xdr:col>3</xdr:col>
                    <xdr:colOff>95250</xdr:colOff>
                    <xdr:row>224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7" name="Check Box 225">
              <controlPr defaultSize="0" autoFill="0" autoLine="0" autoPict="0">
                <anchor moveWithCells="1">
                  <from>
                    <xdr:col>0</xdr:col>
                    <xdr:colOff>276225</xdr:colOff>
                    <xdr:row>225</xdr:row>
                    <xdr:rowOff>9525</xdr:rowOff>
                  </from>
                  <to>
                    <xdr:col>3</xdr:col>
                    <xdr:colOff>95250</xdr:colOff>
                    <xdr:row>225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8" name="Check Box 226">
              <controlPr defaultSize="0" autoFill="0" autoLine="0" autoPict="0">
                <anchor moveWithCells="1">
                  <from>
                    <xdr:col>0</xdr:col>
                    <xdr:colOff>276225</xdr:colOff>
                    <xdr:row>226</xdr:row>
                    <xdr:rowOff>9525</xdr:rowOff>
                  </from>
                  <to>
                    <xdr:col>3</xdr:col>
                    <xdr:colOff>95250</xdr:colOff>
                    <xdr:row>226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9" name="Check Box 227">
              <controlPr defaultSize="0" autoFill="0" autoLine="0" autoPict="0">
                <anchor moveWithCells="1">
                  <from>
                    <xdr:col>0</xdr:col>
                    <xdr:colOff>276225</xdr:colOff>
                    <xdr:row>227</xdr:row>
                    <xdr:rowOff>9525</xdr:rowOff>
                  </from>
                  <to>
                    <xdr:col>3</xdr:col>
                    <xdr:colOff>95250</xdr:colOff>
                    <xdr:row>227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0" name="Check Box 228">
              <controlPr defaultSize="0" autoFill="0" autoLine="0" autoPict="0">
                <anchor moveWithCells="1">
                  <from>
                    <xdr:col>0</xdr:col>
                    <xdr:colOff>276225</xdr:colOff>
                    <xdr:row>228</xdr:row>
                    <xdr:rowOff>9525</xdr:rowOff>
                  </from>
                  <to>
                    <xdr:col>3</xdr:col>
                    <xdr:colOff>95250</xdr:colOff>
                    <xdr:row>228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1" name="Check Box 229">
              <controlPr defaultSize="0" autoFill="0" autoLine="0" autoPict="0">
                <anchor moveWithCells="1">
                  <from>
                    <xdr:col>0</xdr:col>
                    <xdr:colOff>276225</xdr:colOff>
                    <xdr:row>229</xdr:row>
                    <xdr:rowOff>9525</xdr:rowOff>
                  </from>
                  <to>
                    <xdr:col>3</xdr:col>
                    <xdr:colOff>95250</xdr:colOff>
                    <xdr:row>229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2" name="Check Box 230">
              <controlPr defaultSize="0" autoFill="0" autoLine="0" autoPict="0">
                <anchor moveWithCells="1">
                  <from>
                    <xdr:col>0</xdr:col>
                    <xdr:colOff>276225</xdr:colOff>
                    <xdr:row>230</xdr:row>
                    <xdr:rowOff>9525</xdr:rowOff>
                  </from>
                  <to>
                    <xdr:col>3</xdr:col>
                    <xdr:colOff>95250</xdr:colOff>
                    <xdr:row>230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3" name="Check Box 231">
              <controlPr defaultSize="0" autoFill="0" autoLine="0" autoPict="0">
                <anchor moveWithCells="1">
                  <from>
                    <xdr:col>0</xdr:col>
                    <xdr:colOff>276225</xdr:colOff>
                    <xdr:row>231</xdr:row>
                    <xdr:rowOff>9525</xdr:rowOff>
                  </from>
                  <to>
                    <xdr:col>3</xdr:col>
                    <xdr:colOff>95250</xdr:colOff>
                    <xdr:row>231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4" name="Check Box 232">
              <controlPr defaultSize="0" autoFill="0" autoLine="0" autoPict="0">
                <anchor moveWithCells="1">
                  <from>
                    <xdr:col>0</xdr:col>
                    <xdr:colOff>276225</xdr:colOff>
                    <xdr:row>232</xdr:row>
                    <xdr:rowOff>9525</xdr:rowOff>
                  </from>
                  <to>
                    <xdr:col>3</xdr:col>
                    <xdr:colOff>95250</xdr:colOff>
                    <xdr:row>232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5" name="Check Box 233">
              <controlPr defaultSize="0" autoFill="0" autoLine="0" autoPict="0">
                <anchor moveWithCells="1">
                  <from>
                    <xdr:col>0</xdr:col>
                    <xdr:colOff>276225</xdr:colOff>
                    <xdr:row>233</xdr:row>
                    <xdr:rowOff>9525</xdr:rowOff>
                  </from>
                  <to>
                    <xdr:col>3</xdr:col>
                    <xdr:colOff>95250</xdr:colOff>
                    <xdr:row>233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6" name="Check Box 234">
              <controlPr defaultSize="0" autoFill="0" autoLine="0" autoPict="0">
                <anchor moveWithCells="1">
                  <from>
                    <xdr:col>0</xdr:col>
                    <xdr:colOff>276225</xdr:colOff>
                    <xdr:row>234</xdr:row>
                    <xdr:rowOff>9525</xdr:rowOff>
                  </from>
                  <to>
                    <xdr:col>3</xdr:col>
                    <xdr:colOff>95250</xdr:colOff>
                    <xdr:row>234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7" name="Check Box 235">
              <controlPr defaultSize="0" autoFill="0" autoLine="0" autoPict="0">
                <anchor moveWithCells="1">
                  <from>
                    <xdr:col>0</xdr:col>
                    <xdr:colOff>276225</xdr:colOff>
                    <xdr:row>235</xdr:row>
                    <xdr:rowOff>9525</xdr:rowOff>
                  </from>
                  <to>
                    <xdr:col>3</xdr:col>
                    <xdr:colOff>95250</xdr:colOff>
                    <xdr:row>235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8" name="Check Box 236">
              <controlPr defaultSize="0" autoFill="0" autoLine="0" autoPict="0">
                <anchor moveWithCells="1">
                  <from>
                    <xdr:col>0</xdr:col>
                    <xdr:colOff>276225</xdr:colOff>
                    <xdr:row>236</xdr:row>
                    <xdr:rowOff>9525</xdr:rowOff>
                  </from>
                  <to>
                    <xdr:col>3</xdr:col>
                    <xdr:colOff>95250</xdr:colOff>
                    <xdr:row>236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9" name="Check Box 237">
              <controlPr defaultSize="0" autoFill="0" autoLine="0" autoPict="0">
                <anchor moveWithCells="1">
                  <from>
                    <xdr:col>0</xdr:col>
                    <xdr:colOff>276225</xdr:colOff>
                    <xdr:row>237</xdr:row>
                    <xdr:rowOff>9525</xdr:rowOff>
                  </from>
                  <to>
                    <xdr:col>3</xdr:col>
                    <xdr:colOff>95250</xdr:colOff>
                    <xdr:row>237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0" name="Check Box 238">
              <controlPr defaultSize="0" autoFill="0" autoLine="0" autoPict="0">
                <anchor moveWithCells="1">
                  <from>
                    <xdr:col>0</xdr:col>
                    <xdr:colOff>276225</xdr:colOff>
                    <xdr:row>238</xdr:row>
                    <xdr:rowOff>9525</xdr:rowOff>
                  </from>
                  <to>
                    <xdr:col>3</xdr:col>
                    <xdr:colOff>95250</xdr:colOff>
                    <xdr:row>238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1" name="Check Box 239">
              <controlPr defaultSize="0" autoFill="0" autoLine="0" autoPict="0">
                <anchor moveWithCells="1">
                  <from>
                    <xdr:col>0</xdr:col>
                    <xdr:colOff>276225</xdr:colOff>
                    <xdr:row>239</xdr:row>
                    <xdr:rowOff>9525</xdr:rowOff>
                  </from>
                  <to>
                    <xdr:col>3</xdr:col>
                    <xdr:colOff>95250</xdr:colOff>
                    <xdr:row>239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2" name="Check Box 240">
              <controlPr defaultSize="0" autoFill="0" autoLine="0" autoPict="0">
                <anchor moveWithCells="1">
                  <from>
                    <xdr:col>0</xdr:col>
                    <xdr:colOff>276225</xdr:colOff>
                    <xdr:row>240</xdr:row>
                    <xdr:rowOff>9525</xdr:rowOff>
                  </from>
                  <to>
                    <xdr:col>3</xdr:col>
                    <xdr:colOff>95250</xdr:colOff>
                    <xdr:row>240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3" name="Check Box 241">
              <controlPr defaultSize="0" autoFill="0" autoLine="0" autoPict="0">
                <anchor moveWithCells="1">
                  <from>
                    <xdr:col>0</xdr:col>
                    <xdr:colOff>276225</xdr:colOff>
                    <xdr:row>241</xdr:row>
                    <xdr:rowOff>9525</xdr:rowOff>
                  </from>
                  <to>
                    <xdr:col>3</xdr:col>
                    <xdr:colOff>95250</xdr:colOff>
                    <xdr:row>241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4" name="Check Box 242">
              <controlPr defaultSize="0" autoFill="0" autoLine="0" autoPict="0">
                <anchor moveWithCells="1">
                  <from>
                    <xdr:col>0</xdr:col>
                    <xdr:colOff>276225</xdr:colOff>
                    <xdr:row>242</xdr:row>
                    <xdr:rowOff>9525</xdr:rowOff>
                  </from>
                  <to>
                    <xdr:col>3</xdr:col>
                    <xdr:colOff>95250</xdr:colOff>
                    <xdr:row>242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5" name="Check Box 243">
              <controlPr defaultSize="0" autoFill="0" autoLine="0" autoPict="0">
                <anchor moveWithCells="1">
                  <from>
                    <xdr:col>0</xdr:col>
                    <xdr:colOff>276225</xdr:colOff>
                    <xdr:row>243</xdr:row>
                    <xdr:rowOff>9525</xdr:rowOff>
                  </from>
                  <to>
                    <xdr:col>3</xdr:col>
                    <xdr:colOff>95250</xdr:colOff>
                    <xdr:row>243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6" name="Check Box 244">
              <controlPr defaultSize="0" autoFill="0" autoLine="0" autoPict="0">
                <anchor moveWithCells="1">
                  <from>
                    <xdr:col>0</xdr:col>
                    <xdr:colOff>276225</xdr:colOff>
                    <xdr:row>244</xdr:row>
                    <xdr:rowOff>9525</xdr:rowOff>
                  </from>
                  <to>
                    <xdr:col>3</xdr:col>
                    <xdr:colOff>95250</xdr:colOff>
                    <xdr:row>244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7" name="Check Box 245">
              <controlPr defaultSize="0" autoFill="0" autoLine="0" autoPict="0">
                <anchor moveWithCells="1">
                  <from>
                    <xdr:col>0</xdr:col>
                    <xdr:colOff>276225</xdr:colOff>
                    <xdr:row>245</xdr:row>
                    <xdr:rowOff>9525</xdr:rowOff>
                  </from>
                  <to>
                    <xdr:col>3</xdr:col>
                    <xdr:colOff>95250</xdr:colOff>
                    <xdr:row>245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8" name="Check Box 246">
              <controlPr defaultSize="0" autoFill="0" autoLine="0" autoPict="0">
                <anchor moveWithCells="1">
                  <from>
                    <xdr:col>0</xdr:col>
                    <xdr:colOff>276225</xdr:colOff>
                    <xdr:row>246</xdr:row>
                    <xdr:rowOff>9525</xdr:rowOff>
                  </from>
                  <to>
                    <xdr:col>3</xdr:col>
                    <xdr:colOff>95250</xdr:colOff>
                    <xdr:row>246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9" name="Check Box 247">
              <controlPr defaultSize="0" autoFill="0" autoLine="0" autoPict="0">
                <anchor moveWithCells="1">
                  <from>
                    <xdr:col>0</xdr:col>
                    <xdr:colOff>276225</xdr:colOff>
                    <xdr:row>247</xdr:row>
                    <xdr:rowOff>9525</xdr:rowOff>
                  </from>
                  <to>
                    <xdr:col>3</xdr:col>
                    <xdr:colOff>95250</xdr:colOff>
                    <xdr:row>247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0" name="Check Box 248">
              <controlPr defaultSize="0" autoFill="0" autoLine="0" autoPict="0">
                <anchor moveWithCells="1">
                  <from>
                    <xdr:col>0</xdr:col>
                    <xdr:colOff>276225</xdr:colOff>
                    <xdr:row>248</xdr:row>
                    <xdr:rowOff>9525</xdr:rowOff>
                  </from>
                  <to>
                    <xdr:col>3</xdr:col>
                    <xdr:colOff>95250</xdr:colOff>
                    <xdr:row>248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1" name="Check Box 249">
              <controlPr defaultSize="0" autoFill="0" autoLine="0" autoPict="0">
                <anchor moveWithCells="1">
                  <from>
                    <xdr:col>0</xdr:col>
                    <xdr:colOff>276225</xdr:colOff>
                    <xdr:row>249</xdr:row>
                    <xdr:rowOff>9525</xdr:rowOff>
                  </from>
                  <to>
                    <xdr:col>3</xdr:col>
                    <xdr:colOff>95250</xdr:colOff>
                    <xdr:row>249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2" name="Check Box 250">
              <controlPr defaultSize="0" autoFill="0" autoLine="0" autoPict="0">
                <anchor moveWithCells="1">
                  <from>
                    <xdr:col>0</xdr:col>
                    <xdr:colOff>276225</xdr:colOff>
                    <xdr:row>250</xdr:row>
                    <xdr:rowOff>9525</xdr:rowOff>
                  </from>
                  <to>
                    <xdr:col>3</xdr:col>
                    <xdr:colOff>95250</xdr:colOff>
                    <xdr:row>250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3" name="Check Box 251">
              <controlPr defaultSize="0" autoFill="0" autoLine="0" autoPict="0">
                <anchor moveWithCells="1">
                  <from>
                    <xdr:col>0</xdr:col>
                    <xdr:colOff>276225</xdr:colOff>
                    <xdr:row>251</xdr:row>
                    <xdr:rowOff>9525</xdr:rowOff>
                  </from>
                  <to>
                    <xdr:col>3</xdr:col>
                    <xdr:colOff>95250</xdr:colOff>
                    <xdr:row>251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4" name="Check Box 252">
              <controlPr defaultSize="0" autoFill="0" autoLine="0" autoPict="0">
                <anchor moveWithCells="1">
                  <from>
                    <xdr:col>0</xdr:col>
                    <xdr:colOff>276225</xdr:colOff>
                    <xdr:row>252</xdr:row>
                    <xdr:rowOff>9525</xdr:rowOff>
                  </from>
                  <to>
                    <xdr:col>3</xdr:col>
                    <xdr:colOff>95250</xdr:colOff>
                    <xdr:row>252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5" name="Check Box 253">
              <controlPr defaultSize="0" autoFill="0" autoLine="0" autoPict="0">
                <anchor moveWithCells="1">
                  <from>
                    <xdr:col>0</xdr:col>
                    <xdr:colOff>276225</xdr:colOff>
                    <xdr:row>253</xdr:row>
                    <xdr:rowOff>9525</xdr:rowOff>
                  </from>
                  <to>
                    <xdr:col>3</xdr:col>
                    <xdr:colOff>95250</xdr:colOff>
                    <xdr:row>253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6" name="Check Box 254">
              <controlPr defaultSize="0" autoFill="0" autoLine="0" autoPict="0">
                <anchor moveWithCells="1">
                  <from>
                    <xdr:col>0</xdr:col>
                    <xdr:colOff>276225</xdr:colOff>
                    <xdr:row>254</xdr:row>
                    <xdr:rowOff>9525</xdr:rowOff>
                  </from>
                  <to>
                    <xdr:col>3</xdr:col>
                    <xdr:colOff>95250</xdr:colOff>
                    <xdr:row>254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7" name="Check Box 255">
              <controlPr defaultSize="0" autoFill="0" autoLine="0" autoPict="0">
                <anchor moveWithCells="1">
                  <from>
                    <xdr:col>0</xdr:col>
                    <xdr:colOff>276225</xdr:colOff>
                    <xdr:row>255</xdr:row>
                    <xdr:rowOff>9525</xdr:rowOff>
                  </from>
                  <to>
                    <xdr:col>3</xdr:col>
                    <xdr:colOff>95250</xdr:colOff>
                    <xdr:row>255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8" name="Check Box 256">
              <controlPr defaultSize="0" autoFill="0" autoLine="0" autoPict="0">
                <anchor moveWithCells="1">
                  <from>
                    <xdr:col>0</xdr:col>
                    <xdr:colOff>276225</xdr:colOff>
                    <xdr:row>256</xdr:row>
                    <xdr:rowOff>9525</xdr:rowOff>
                  </from>
                  <to>
                    <xdr:col>3</xdr:col>
                    <xdr:colOff>95250</xdr:colOff>
                    <xdr:row>256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9" name="Check Box 257">
              <controlPr defaultSize="0" autoFill="0" autoLine="0" autoPict="0">
                <anchor moveWithCells="1">
                  <from>
                    <xdr:col>0</xdr:col>
                    <xdr:colOff>276225</xdr:colOff>
                    <xdr:row>257</xdr:row>
                    <xdr:rowOff>9525</xdr:rowOff>
                  </from>
                  <to>
                    <xdr:col>3</xdr:col>
                    <xdr:colOff>95250</xdr:colOff>
                    <xdr:row>257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0" name="Check Box 258">
              <controlPr defaultSize="0" autoFill="0" autoLine="0" autoPict="0">
                <anchor moveWithCells="1">
                  <from>
                    <xdr:col>0</xdr:col>
                    <xdr:colOff>276225</xdr:colOff>
                    <xdr:row>258</xdr:row>
                    <xdr:rowOff>9525</xdr:rowOff>
                  </from>
                  <to>
                    <xdr:col>3</xdr:col>
                    <xdr:colOff>95250</xdr:colOff>
                    <xdr:row>258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1" name="Check Box 259">
              <controlPr defaultSize="0" autoFill="0" autoLine="0" autoPict="0">
                <anchor moveWithCells="1">
                  <from>
                    <xdr:col>0</xdr:col>
                    <xdr:colOff>276225</xdr:colOff>
                    <xdr:row>259</xdr:row>
                    <xdr:rowOff>9525</xdr:rowOff>
                  </from>
                  <to>
                    <xdr:col>3</xdr:col>
                    <xdr:colOff>95250</xdr:colOff>
                    <xdr:row>259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2" name="Check Box 260">
              <controlPr defaultSize="0" autoFill="0" autoLine="0" autoPict="0">
                <anchor moveWithCells="1">
                  <from>
                    <xdr:col>0</xdr:col>
                    <xdr:colOff>276225</xdr:colOff>
                    <xdr:row>260</xdr:row>
                    <xdr:rowOff>9525</xdr:rowOff>
                  </from>
                  <to>
                    <xdr:col>3</xdr:col>
                    <xdr:colOff>95250</xdr:colOff>
                    <xdr:row>260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3" name="Check Box 261">
              <controlPr defaultSize="0" autoFill="0" autoLine="0" autoPict="0">
                <anchor moveWithCells="1">
                  <from>
                    <xdr:col>0</xdr:col>
                    <xdr:colOff>276225</xdr:colOff>
                    <xdr:row>261</xdr:row>
                    <xdr:rowOff>9525</xdr:rowOff>
                  </from>
                  <to>
                    <xdr:col>3</xdr:col>
                    <xdr:colOff>95250</xdr:colOff>
                    <xdr:row>261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4" name="Check Box 262">
              <controlPr defaultSize="0" autoFill="0" autoLine="0" autoPict="0">
                <anchor moveWithCells="1">
                  <from>
                    <xdr:col>0</xdr:col>
                    <xdr:colOff>276225</xdr:colOff>
                    <xdr:row>262</xdr:row>
                    <xdr:rowOff>9525</xdr:rowOff>
                  </from>
                  <to>
                    <xdr:col>3</xdr:col>
                    <xdr:colOff>95250</xdr:colOff>
                    <xdr:row>262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5" name="Check Box 263">
              <controlPr defaultSize="0" autoFill="0" autoLine="0" autoPict="0">
                <anchor moveWithCells="1">
                  <from>
                    <xdr:col>0</xdr:col>
                    <xdr:colOff>276225</xdr:colOff>
                    <xdr:row>263</xdr:row>
                    <xdr:rowOff>9525</xdr:rowOff>
                  </from>
                  <to>
                    <xdr:col>3</xdr:col>
                    <xdr:colOff>95250</xdr:colOff>
                    <xdr:row>263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6" name="Check Box 264">
              <controlPr defaultSize="0" autoFill="0" autoLine="0" autoPict="0">
                <anchor moveWithCells="1">
                  <from>
                    <xdr:col>0</xdr:col>
                    <xdr:colOff>276225</xdr:colOff>
                    <xdr:row>264</xdr:row>
                    <xdr:rowOff>9525</xdr:rowOff>
                  </from>
                  <to>
                    <xdr:col>3</xdr:col>
                    <xdr:colOff>95250</xdr:colOff>
                    <xdr:row>264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7" name="Check Box 265">
              <controlPr defaultSize="0" autoFill="0" autoLine="0" autoPict="0">
                <anchor moveWithCells="1">
                  <from>
                    <xdr:col>0</xdr:col>
                    <xdr:colOff>276225</xdr:colOff>
                    <xdr:row>265</xdr:row>
                    <xdr:rowOff>9525</xdr:rowOff>
                  </from>
                  <to>
                    <xdr:col>3</xdr:col>
                    <xdr:colOff>95250</xdr:colOff>
                    <xdr:row>265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8" name="Check Box 266">
              <controlPr defaultSize="0" autoFill="0" autoLine="0" autoPict="0">
                <anchor moveWithCells="1">
                  <from>
                    <xdr:col>0</xdr:col>
                    <xdr:colOff>276225</xdr:colOff>
                    <xdr:row>266</xdr:row>
                    <xdr:rowOff>9525</xdr:rowOff>
                  </from>
                  <to>
                    <xdr:col>3</xdr:col>
                    <xdr:colOff>95250</xdr:colOff>
                    <xdr:row>266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9" name="Check Box 267">
              <controlPr defaultSize="0" autoFill="0" autoLine="0" autoPict="0">
                <anchor moveWithCells="1">
                  <from>
                    <xdr:col>0</xdr:col>
                    <xdr:colOff>276225</xdr:colOff>
                    <xdr:row>267</xdr:row>
                    <xdr:rowOff>9525</xdr:rowOff>
                  </from>
                  <to>
                    <xdr:col>3</xdr:col>
                    <xdr:colOff>95250</xdr:colOff>
                    <xdr:row>267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0" name="Check Box 268">
              <controlPr defaultSize="0" autoFill="0" autoLine="0" autoPict="0">
                <anchor moveWithCells="1">
                  <from>
                    <xdr:col>0</xdr:col>
                    <xdr:colOff>276225</xdr:colOff>
                    <xdr:row>268</xdr:row>
                    <xdr:rowOff>9525</xdr:rowOff>
                  </from>
                  <to>
                    <xdr:col>3</xdr:col>
                    <xdr:colOff>95250</xdr:colOff>
                    <xdr:row>268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1" name="Check Box 269">
              <controlPr defaultSize="0" autoFill="0" autoLine="0" autoPict="0">
                <anchor moveWithCells="1">
                  <from>
                    <xdr:col>0</xdr:col>
                    <xdr:colOff>276225</xdr:colOff>
                    <xdr:row>269</xdr:row>
                    <xdr:rowOff>9525</xdr:rowOff>
                  </from>
                  <to>
                    <xdr:col>3</xdr:col>
                    <xdr:colOff>95250</xdr:colOff>
                    <xdr:row>269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2" name="Check Box 270">
              <controlPr defaultSize="0" autoFill="0" autoLine="0" autoPict="0">
                <anchor moveWithCells="1">
                  <from>
                    <xdr:col>0</xdr:col>
                    <xdr:colOff>276225</xdr:colOff>
                    <xdr:row>270</xdr:row>
                    <xdr:rowOff>9525</xdr:rowOff>
                  </from>
                  <to>
                    <xdr:col>3</xdr:col>
                    <xdr:colOff>95250</xdr:colOff>
                    <xdr:row>270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3" name="Check Box 271">
              <controlPr defaultSize="0" autoFill="0" autoLine="0" autoPict="0">
                <anchor moveWithCells="1">
                  <from>
                    <xdr:col>0</xdr:col>
                    <xdr:colOff>276225</xdr:colOff>
                    <xdr:row>271</xdr:row>
                    <xdr:rowOff>9525</xdr:rowOff>
                  </from>
                  <to>
                    <xdr:col>3</xdr:col>
                    <xdr:colOff>95250</xdr:colOff>
                    <xdr:row>271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4" name="Check Box 272">
              <controlPr defaultSize="0" autoFill="0" autoLine="0" autoPict="0">
                <anchor moveWithCells="1">
                  <from>
                    <xdr:col>0</xdr:col>
                    <xdr:colOff>276225</xdr:colOff>
                    <xdr:row>272</xdr:row>
                    <xdr:rowOff>9525</xdr:rowOff>
                  </from>
                  <to>
                    <xdr:col>3</xdr:col>
                    <xdr:colOff>95250</xdr:colOff>
                    <xdr:row>272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5" name="Check Box 273">
              <controlPr defaultSize="0" autoFill="0" autoLine="0" autoPict="0">
                <anchor moveWithCells="1">
                  <from>
                    <xdr:col>0</xdr:col>
                    <xdr:colOff>276225</xdr:colOff>
                    <xdr:row>273</xdr:row>
                    <xdr:rowOff>9525</xdr:rowOff>
                  </from>
                  <to>
                    <xdr:col>3</xdr:col>
                    <xdr:colOff>95250</xdr:colOff>
                    <xdr:row>273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6" name="Check Box 274">
              <controlPr defaultSize="0" autoFill="0" autoLine="0" autoPict="0">
                <anchor moveWithCells="1">
                  <from>
                    <xdr:col>0</xdr:col>
                    <xdr:colOff>276225</xdr:colOff>
                    <xdr:row>274</xdr:row>
                    <xdr:rowOff>9525</xdr:rowOff>
                  </from>
                  <to>
                    <xdr:col>3</xdr:col>
                    <xdr:colOff>95250</xdr:colOff>
                    <xdr:row>274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7" name="Check Box 275">
              <controlPr defaultSize="0" autoFill="0" autoLine="0" autoPict="0">
                <anchor moveWithCells="1">
                  <from>
                    <xdr:col>0</xdr:col>
                    <xdr:colOff>276225</xdr:colOff>
                    <xdr:row>275</xdr:row>
                    <xdr:rowOff>9525</xdr:rowOff>
                  </from>
                  <to>
                    <xdr:col>3</xdr:col>
                    <xdr:colOff>95250</xdr:colOff>
                    <xdr:row>275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8" name="Check Box 276">
              <controlPr defaultSize="0" autoFill="0" autoLine="0" autoPict="0">
                <anchor moveWithCells="1">
                  <from>
                    <xdr:col>0</xdr:col>
                    <xdr:colOff>276225</xdr:colOff>
                    <xdr:row>276</xdr:row>
                    <xdr:rowOff>9525</xdr:rowOff>
                  </from>
                  <to>
                    <xdr:col>3</xdr:col>
                    <xdr:colOff>95250</xdr:colOff>
                    <xdr:row>276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9" name="Check Box 277">
              <controlPr defaultSize="0" autoFill="0" autoLine="0" autoPict="0">
                <anchor moveWithCells="1">
                  <from>
                    <xdr:col>0</xdr:col>
                    <xdr:colOff>276225</xdr:colOff>
                    <xdr:row>277</xdr:row>
                    <xdr:rowOff>9525</xdr:rowOff>
                  </from>
                  <to>
                    <xdr:col>3</xdr:col>
                    <xdr:colOff>95250</xdr:colOff>
                    <xdr:row>277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0" name="Check Box 278">
              <controlPr defaultSize="0" autoFill="0" autoLine="0" autoPict="0">
                <anchor moveWithCells="1">
                  <from>
                    <xdr:col>0</xdr:col>
                    <xdr:colOff>276225</xdr:colOff>
                    <xdr:row>278</xdr:row>
                    <xdr:rowOff>9525</xdr:rowOff>
                  </from>
                  <to>
                    <xdr:col>3</xdr:col>
                    <xdr:colOff>95250</xdr:colOff>
                    <xdr:row>278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1" name="Check Box 279">
              <controlPr defaultSize="0" autoFill="0" autoLine="0" autoPict="0">
                <anchor moveWithCells="1">
                  <from>
                    <xdr:col>0</xdr:col>
                    <xdr:colOff>276225</xdr:colOff>
                    <xdr:row>279</xdr:row>
                    <xdr:rowOff>9525</xdr:rowOff>
                  </from>
                  <to>
                    <xdr:col>3</xdr:col>
                    <xdr:colOff>95250</xdr:colOff>
                    <xdr:row>279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2" name="Check Box 280">
              <controlPr defaultSize="0" autoFill="0" autoLine="0" autoPict="0">
                <anchor moveWithCells="1">
                  <from>
                    <xdr:col>0</xdr:col>
                    <xdr:colOff>276225</xdr:colOff>
                    <xdr:row>280</xdr:row>
                    <xdr:rowOff>9525</xdr:rowOff>
                  </from>
                  <to>
                    <xdr:col>3</xdr:col>
                    <xdr:colOff>95250</xdr:colOff>
                    <xdr:row>280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3" name="Check Box 281">
              <controlPr defaultSize="0" autoFill="0" autoLine="0" autoPict="0">
                <anchor moveWithCells="1">
                  <from>
                    <xdr:col>0</xdr:col>
                    <xdr:colOff>276225</xdr:colOff>
                    <xdr:row>281</xdr:row>
                    <xdr:rowOff>9525</xdr:rowOff>
                  </from>
                  <to>
                    <xdr:col>3</xdr:col>
                    <xdr:colOff>95250</xdr:colOff>
                    <xdr:row>281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4" name="Check Box 282">
              <controlPr defaultSize="0" autoFill="0" autoLine="0" autoPict="0">
                <anchor moveWithCells="1">
                  <from>
                    <xdr:col>0</xdr:col>
                    <xdr:colOff>276225</xdr:colOff>
                    <xdr:row>282</xdr:row>
                    <xdr:rowOff>9525</xdr:rowOff>
                  </from>
                  <to>
                    <xdr:col>3</xdr:col>
                    <xdr:colOff>95250</xdr:colOff>
                    <xdr:row>282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5" name="Check Box 283">
              <controlPr defaultSize="0" autoFill="0" autoLine="0" autoPict="0">
                <anchor moveWithCells="1">
                  <from>
                    <xdr:col>0</xdr:col>
                    <xdr:colOff>276225</xdr:colOff>
                    <xdr:row>283</xdr:row>
                    <xdr:rowOff>9525</xdr:rowOff>
                  </from>
                  <to>
                    <xdr:col>3</xdr:col>
                    <xdr:colOff>95250</xdr:colOff>
                    <xdr:row>283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6" name="Check Box 284">
              <controlPr defaultSize="0" autoFill="0" autoLine="0" autoPict="0">
                <anchor moveWithCells="1">
                  <from>
                    <xdr:col>0</xdr:col>
                    <xdr:colOff>276225</xdr:colOff>
                    <xdr:row>284</xdr:row>
                    <xdr:rowOff>9525</xdr:rowOff>
                  </from>
                  <to>
                    <xdr:col>3</xdr:col>
                    <xdr:colOff>95250</xdr:colOff>
                    <xdr:row>284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7" name="Check Box 285">
              <controlPr defaultSize="0" autoFill="0" autoLine="0" autoPict="0">
                <anchor moveWithCells="1">
                  <from>
                    <xdr:col>0</xdr:col>
                    <xdr:colOff>276225</xdr:colOff>
                    <xdr:row>285</xdr:row>
                    <xdr:rowOff>9525</xdr:rowOff>
                  </from>
                  <to>
                    <xdr:col>3</xdr:col>
                    <xdr:colOff>95250</xdr:colOff>
                    <xdr:row>285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8" name="Check Box 286">
              <controlPr defaultSize="0" autoFill="0" autoLine="0" autoPict="0">
                <anchor moveWithCells="1">
                  <from>
                    <xdr:col>0</xdr:col>
                    <xdr:colOff>276225</xdr:colOff>
                    <xdr:row>286</xdr:row>
                    <xdr:rowOff>9525</xdr:rowOff>
                  </from>
                  <to>
                    <xdr:col>3</xdr:col>
                    <xdr:colOff>95250</xdr:colOff>
                    <xdr:row>286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9" name="Check Box 287">
              <controlPr defaultSize="0" autoFill="0" autoLine="0" autoPict="0">
                <anchor moveWithCells="1">
                  <from>
                    <xdr:col>0</xdr:col>
                    <xdr:colOff>276225</xdr:colOff>
                    <xdr:row>287</xdr:row>
                    <xdr:rowOff>9525</xdr:rowOff>
                  </from>
                  <to>
                    <xdr:col>3</xdr:col>
                    <xdr:colOff>95250</xdr:colOff>
                    <xdr:row>287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0" name="Check Box 288">
              <controlPr defaultSize="0" autoFill="0" autoLine="0" autoPict="0">
                <anchor moveWithCells="1">
                  <from>
                    <xdr:col>0</xdr:col>
                    <xdr:colOff>276225</xdr:colOff>
                    <xdr:row>288</xdr:row>
                    <xdr:rowOff>9525</xdr:rowOff>
                  </from>
                  <to>
                    <xdr:col>3</xdr:col>
                    <xdr:colOff>95250</xdr:colOff>
                    <xdr:row>288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1" name="Check Box 289">
              <controlPr defaultSize="0" autoFill="0" autoLine="0" autoPict="0">
                <anchor moveWithCells="1">
                  <from>
                    <xdr:col>0</xdr:col>
                    <xdr:colOff>276225</xdr:colOff>
                    <xdr:row>289</xdr:row>
                    <xdr:rowOff>9525</xdr:rowOff>
                  </from>
                  <to>
                    <xdr:col>3</xdr:col>
                    <xdr:colOff>95250</xdr:colOff>
                    <xdr:row>289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2" name="Check Box 290">
              <controlPr defaultSize="0" autoFill="0" autoLine="0" autoPict="0">
                <anchor moveWithCells="1">
                  <from>
                    <xdr:col>0</xdr:col>
                    <xdr:colOff>276225</xdr:colOff>
                    <xdr:row>290</xdr:row>
                    <xdr:rowOff>9525</xdr:rowOff>
                  </from>
                  <to>
                    <xdr:col>3</xdr:col>
                    <xdr:colOff>95250</xdr:colOff>
                    <xdr:row>290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3" name="Check Box 291">
              <controlPr defaultSize="0" autoFill="0" autoLine="0" autoPict="0">
                <anchor moveWithCells="1">
                  <from>
                    <xdr:col>0</xdr:col>
                    <xdr:colOff>276225</xdr:colOff>
                    <xdr:row>291</xdr:row>
                    <xdr:rowOff>9525</xdr:rowOff>
                  </from>
                  <to>
                    <xdr:col>3</xdr:col>
                    <xdr:colOff>95250</xdr:colOff>
                    <xdr:row>291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4" name="Check Box 292">
              <controlPr defaultSize="0" autoFill="0" autoLine="0" autoPict="0">
                <anchor moveWithCells="1">
                  <from>
                    <xdr:col>0</xdr:col>
                    <xdr:colOff>276225</xdr:colOff>
                    <xdr:row>292</xdr:row>
                    <xdr:rowOff>9525</xdr:rowOff>
                  </from>
                  <to>
                    <xdr:col>3</xdr:col>
                    <xdr:colOff>95250</xdr:colOff>
                    <xdr:row>292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5" name="Check Box 293">
              <controlPr defaultSize="0" autoFill="0" autoLine="0" autoPict="0">
                <anchor moveWithCells="1">
                  <from>
                    <xdr:col>0</xdr:col>
                    <xdr:colOff>276225</xdr:colOff>
                    <xdr:row>293</xdr:row>
                    <xdr:rowOff>9525</xdr:rowOff>
                  </from>
                  <to>
                    <xdr:col>3</xdr:col>
                    <xdr:colOff>95250</xdr:colOff>
                    <xdr:row>293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6" name="Check Box 294">
              <controlPr defaultSize="0" autoFill="0" autoLine="0" autoPict="0">
                <anchor moveWithCells="1">
                  <from>
                    <xdr:col>0</xdr:col>
                    <xdr:colOff>276225</xdr:colOff>
                    <xdr:row>294</xdr:row>
                    <xdr:rowOff>9525</xdr:rowOff>
                  </from>
                  <to>
                    <xdr:col>3</xdr:col>
                    <xdr:colOff>95250</xdr:colOff>
                    <xdr:row>294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7" name="Check Box 295">
              <controlPr defaultSize="0" autoFill="0" autoLine="0" autoPict="0">
                <anchor moveWithCells="1">
                  <from>
                    <xdr:col>0</xdr:col>
                    <xdr:colOff>276225</xdr:colOff>
                    <xdr:row>295</xdr:row>
                    <xdr:rowOff>9525</xdr:rowOff>
                  </from>
                  <to>
                    <xdr:col>3</xdr:col>
                    <xdr:colOff>95250</xdr:colOff>
                    <xdr:row>295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8" name="Check Box 296">
              <controlPr defaultSize="0" autoFill="0" autoLine="0" autoPict="0">
                <anchor moveWithCells="1">
                  <from>
                    <xdr:col>0</xdr:col>
                    <xdr:colOff>276225</xdr:colOff>
                    <xdr:row>296</xdr:row>
                    <xdr:rowOff>9525</xdr:rowOff>
                  </from>
                  <to>
                    <xdr:col>3</xdr:col>
                    <xdr:colOff>95250</xdr:colOff>
                    <xdr:row>296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9" name="Check Box 297">
              <controlPr defaultSize="0" autoFill="0" autoLine="0" autoPict="0">
                <anchor moveWithCells="1">
                  <from>
                    <xdr:col>0</xdr:col>
                    <xdr:colOff>276225</xdr:colOff>
                    <xdr:row>297</xdr:row>
                    <xdr:rowOff>9525</xdr:rowOff>
                  </from>
                  <to>
                    <xdr:col>3</xdr:col>
                    <xdr:colOff>95250</xdr:colOff>
                    <xdr:row>297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0" name="Check Box 298">
              <controlPr defaultSize="0" autoFill="0" autoLine="0" autoPict="0">
                <anchor moveWithCells="1">
                  <from>
                    <xdr:col>0</xdr:col>
                    <xdr:colOff>276225</xdr:colOff>
                    <xdr:row>298</xdr:row>
                    <xdr:rowOff>9525</xdr:rowOff>
                  </from>
                  <to>
                    <xdr:col>3</xdr:col>
                    <xdr:colOff>95250</xdr:colOff>
                    <xdr:row>298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1" name="Check Box 299">
              <controlPr defaultSize="0" autoFill="0" autoLine="0" autoPict="0">
                <anchor moveWithCells="1">
                  <from>
                    <xdr:col>0</xdr:col>
                    <xdr:colOff>276225</xdr:colOff>
                    <xdr:row>299</xdr:row>
                    <xdr:rowOff>9525</xdr:rowOff>
                  </from>
                  <to>
                    <xdr:col>3</xdr:col>
                    <xdr:colOff>95250</xdr:colOff>
                    <xdr:row>299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2" name="Check Box 300">
              <controlPr defaultSize="0" autoFill="0" autoLine="0" autoPict="0">
                <anchor moveWithCells="1">
                  <from>
                    <xdr:col>0</xdr:col>
                    <xdr:colOff>276225</xdr:colOff>
                    <xdr:row>300</xdr:row>
                    <xdr:rowOff>9525</xdr:rowOff>
                  </from>
                  <to>
                    <xdr:col>3</xdr:col>
                    <xdr:colOff>95250</xdr:colOff>
                    <xdr:row>300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3" name="Check Box 301">
              <controlPr defaultSize="0" autoFill="0" autoLine="0" autoPict="0">
                <anchor moveWithCells="1">
                  <from>
                    <xdr:col>0</xdr:col>
                    <xdr:colOff>276225</xdr:colOff>
                    <xdr:row>301</xdr:row>
                    <xdr:rowOff>9525</xdr:rowOff>
                  </from>
                  <to>
                    <xdr:col>3</xdr:col>
                    <xdr:colOff>95250</xdr:colOff>
                    <xdr:row>301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4" name="Check Box 302">
              <controlPr defaultSize="0" autoFill="0" autoLine="0" autoPict="0">
                <anchor moveWithCells="1">
                  <from>
                    <xdr:col>0</xdr:col>
                    <xdr:colOff>276225</xdr:colOff>
                    <xdr:row>302</xdr:row>
                    <xdr:rowOff>9525</xdr:rowOff>
                  </from>
                  <to>
                    <xdr:col>3</xdr:col>
                    <xdr:colOff>95250</xdr:colOff>
                    <xdr:row>302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5" name="Check Box 303">
              <controlPr defaultSize="0" autoFill="0" autoLine="0" autoPict="0">
                <anchor moveWithCells="1">
                  <from>
                    <xdr:col>0</xdr:col>
                    <xdr:colOff>276225</xdr:colOff>
                    <xdr:row>303</xdr:row>
                    <xdr:rowOff>9525</xdr:rowOff>
                  </from>
                  <to>
                    <xdr:col>3</xdr:col>
                    <xdr:colOff>95250</xdr:colOff>
                    <xdr:row>303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6" name="Check Box 304">
              <controlPr defaultSize="0" autoFill="0" autoLine="0" autoPict="0">
                <anchor moveWithCells="1">
                  <from>
                    <xdr:col>0</xdr:col>
                    <xdr:colOff>276225</xdr:colOff>
                    <xdr:row>304</xdr:row>
                    <xdr:rowOff>9525</xdr:rowOff>
                  </from>
                  <to>
                    <xdr:col>3</xdr:col>
                    <xdr:colOff>95250</xdr:colOff>
                    <xdr:row>304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7" name="Check Box 305">
              <controlPr defaultSize="0" autoFill="0" autoLine="0" autoPict="0">
                <anchor moveWithCells="1">
                  <from>
                    <xdr:col>0</xdr:col>
                    <xdr:colOff>276225</xdr:colOff>
                    <xdr:row>305</xdr:row>
                    <xdr:rowOff>9525</xdr:rowOff>
                  </from>
                  <to>
                    <xdr:col>3</xdr:col>
                    <xdr:colOff>95250</xdr:colOff>
                    <xdr:row>305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8" name="Check Box 306">
              <controlPr defaultSize="0" autoFill="0" autoLine="0" autoPict="0">
                <anchor moveWithCells="1">
                  <from>
                    <xdr:col>0</xdr:col>
                    <xdr:colOff>276225</xdr:colOff>
                    <xdr:row>306</xdr:row>
                    <xdr:rowOff>9525</xdr:rowOff>
                  </from>
                  <to>
                    <xdr:col>3</xdr:col>
                    <xdr:colOff>95250</xdr:colOff>
                    <xdr:row>306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9" name="Check Box 307">
              <controlPr defaultSize="0" autoFill="0" autoLine="0" autoPict="0">
                <anchor moveWithCells="1">
                  <from>
                    <xdr:col>0</xdr:col>
                    <xdr:colOff>276225</xdr:colOff>
                    <xdr:row>307</xdr:row>
                    <xdr:rowOff>9525</xdr:rowOff>
                  </from>
                  <to>
                    <xdr:col>3</xdr:col>
                    <xdr:colOff>95250</xdr:colOff>
                    <xdr:row>307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0" name="Check Box 308">
              <controlPr defaultSize="0" autoFill="0" autoLine="0" autoPict="0">
                <anchor moveWithCells="1">
                  <from>
                    <xdr:col>0</xdr:col>
                    <xdr:colOff>276225</xdr:colOff>
                    <xdr:row>308</xdr:row>
                    <xdr:rowOff>9525</xdr:rowOff>
                  </from>
                  <to>
                    <xdr:col>3</xdr:col>
                    <xdr:colOff>95250</xdr:colOff>
                    <xdr:row>308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1" name="Check Box 309">
              <controlPr defaultSize="0" autoFill="0" autoLine="0" autoPict="0">
                <anchor moveWithCells="1">
                  <from>
                    <xdr:col>0</xdr:col>
                    <xdr:colOff>276225</xdr:colOff>
                    <xdr:row>309</xdr:row>
                    <xdr:rowOff>9525</xdr:rowOff>
                  </from>
                  <to>
                    <xdr:col>3</xdr:col>
                    <xdr:colOff>95250</xdr:colOff>
                    <xdr:row>309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2" name="Check Box 310">
              <controlPr defaultSize="0" autoFill="0" autoLine="0" autoPict="0">
                <anchor moveWithCells="1">
                  <from>
                    <xdr:col>0</xdr:col>
                    <xdr:colOff>276225</xdr:colOff>
                    <xdr:row>310</xdr:row>
                    <xdr:rowOff>9525</xdr:rowOff>
                  </from>
                  <to>
                    <xdr:col>3</xdr:col>
                    <xdr:colOff>95250</xdr:colOff>
                    <xdr:row>310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3" name="Check Box 311">
              <controlPr defaultSize="0" autoFill="0" autoLine="0" autoPict="0">
                <anchor moveWithCells="1">
                  <from>
                    <xdr:col>0</xdr:col>
                    <xdr:colOff>276225</xdr:colOff>
                    <xdr:row>311</xdr:row>
                    <xdr:rowOff>9525</xdr:rowOff>
                  </from>
                  <to>
                    <xdr:col>3</xdr:col>
                    <xdr:colOff>95250</xdr:colOff>
                    <xdr:row>311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4" name="Check Box 312">
              <controlPr defaultSize="0" autoFill="0" autoLine="0" autoPict="0">
                <anchor moveWithCells="1">
                  <from>
                    <xdr:col>0</xdr:col>
                    <xdr:colOff>276225</xdr:colOff>
                    <xdr:row>312</xdr:row>
                    <xdr:rowOff>9525</xdr:rowOff>
                  </from>
                  <to>
                    <xdr:col>3</xdr:col>
                    <xdr:colOff>95250</xdr:colOff>
                    <xdr:row>312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5" name="Check Box 313">
              <controlPr defaultSize="0" autoFill="0" autoLine="0" autoPict="0">
                <anchor moveWithCells="1">
                  <from>
                    <xdr:col>0</xdr:col>
                    <xdr:colOff>276225</xdr:colOff>
                    <xdr:row>313</xdr:row>
                    <xdr:rowOff>9525</xdr:rowOff>
                  </from>
                  <to>
                    <xdr:col>3</xdr:col>
                    <xdr:colOff>95250</xdr:colOff>
                    <xdr:row>313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6" name="Check Box 314">
              <controlPr defaultSize="0" autoFill="0" autoLine="0" autoPict="0">
                <anchor moveWithCells="1">
                  <from>
                    <xdr:col>0</xdr:col>
                    <xdr:colOff>276225</xdr:colOff>
                    <xdr:row>314</xdr:row>
                    <xdr:rowOff>9525</xdr:rowOff>
                  </from>
                  <to>
                    <xdr:col>3</xdr:col>
                    <xdr:colOff>95250</xdr:colOff>
                    <xdr:row>314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7" name="Check Box 315">
              <controlPr defaultSize="0" autoFill="0" autoLine="0" autoPict="0">
                <anchor moveWithCells="1">
                  <from>
                    <xdr:col>0</xdr:col>
                    <xdr:colOff>276225</xdr:colOff>
                    <xdr:row>315</xdr:row>
                    <xdr:rowOff>9525</xdr:rowOff>
                  </from>
                  <to>
                    <xdr:col>3</xdr:col>
                    <xdr:colOff>95250</xdr:colOff>
                    <xdr:row>315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8" name="Check Box 316">
              <controlPr defaultSize="0" autoFill="0" autoLine="0" autoPict="0">
                <anchor moveWithCells="1">
                  <from>
                    <xdr:col>0</xdr:col>
                    <xdr:colOff>276225</xdr:colOff>
                    <xdr:row>316</xdr:row>
                    <xdr:rowOff>9525</xdr:rowOff>
                  </from>
                  <to>
                    <xdr:col>3</xdr:col>
                    <xdr:colOff>95250</xdr:colOff>
                    <xdr:row>316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9" name="Check Box 317">
              <controlPr defaultSize="0" autoFill="0" autoLine="0" autoPict="0">
                <anchor moveWithCells="1">
                  <from>
                    <xdr:col>0</xdr:col>
                    <xdr:colOff>276225</xdr:colOff>
                    <xdr:row>317</xdr:row>
                    <xdr:rowOff>9525</xdr:rowOff>
                  </from>
                  <to>
                    <xdr:col>3</xdr:col>
                    <xdr:colOff>95250</xdr:colOff>
                    <xdr:row>317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0" name="Check Box 318">
              <controlPr defaultSize="0" autoFill="0" autoLine="0" autoPict="0">
                <anchor moveWithCells="1">
                  <from>
                    <xdr:col>0</xdr:col>
                    <xdr:colOff>276225</xdr:colOff>
                    <xdr:row>318</xdr:row>
                    <xdr:rowOff>9525</xdr:rowOff>
                  </from>
                  <to>
                    <xdr:col>3</xdr:col>
                    <xdr:colOff>95250</xdr:colOff>
                    <xdr:row>318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1" name="Check Box 319">
              <controlPr defaultSize="0" autoFill="0" autoLine="0" autoPict="0">
                <anchor moveWithCells="1">
                  <from>
                    <xdr:col>0</xdr:col>
                    <xdr:colOff>276225</xdr:colOff>
                    <xdr:row>319</xdr:row>
                    <xdr:rowOff>9525</xdr:rowOff>
                  </from>
                  <to>
                    <xdr:col>3</xdr:col>
                    <xdr:colOff>95250</xdr:colOff>
                    <xdr:row>319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2" name="Check Box 320">
              <controlPr defaultSize="0" autoFill="0" autoLine="0" autoPict="0">
                <anchor moveWithCells="1">
                  <from>
                    <xdr:col>0</xdr:col>
                    <xdr:colOff>276225</xdr:colOff>
                    <xdr:row>320</xdr:row>
                    <xdr:rowOff>9525</xdr:rowOff>
                  </from>
                  <to>
                    <xdr:col>3</xdr:col>
                    <xdr:colOff>95250</xdr:colOff>
                    <xdr:row>320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3" name="Check Box 321">
              <controlPr defaultSize="0" autoFill="0" autoLine="0" autoPict="0">
                <anchor moveWithCells="1">
                  <from>
                    <xdr:col>0</xdr:col>
                    <xdr:colOff>276225</xdr:colOff>
                    <xdr:row>321</xdr:row>
                    <xdr:rowOff>9525</xdr:rowOff>
                  </from>
                  <to>
                    <xdr:col>3</xdr:col>
                    <xdr:colOff>95250</xdr:colOff>
                    <xdr:row>321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4" name="Check Box 322">
              <controlPr defaultSize="0" autoFill="0" autoLine="0" autoPict="0">
                <anchor moveWithCells="1">
                  <from>
                    <xdr:col>0</xdr:col>
                    <xdr:colOff>276225</xdr:colOff>
                    <xdr:row>322</xdr:row>
                    <xdr:rowOff>9525</xdr:rowOff>
                  </from>
                  <to>
                    <xdr:col>3</xdr:col>
                    <xdr:colOff>95250</xdr:colOff>
                    <xdr:row>322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5" name="Check Box 323">
              <controlPr defaultSize="0" autoFill="0" autoLine="0" autoPict="0">
                <anchor moveWithCells="1">
                  <from>
                    <xdr:col>0</xdr:col>
                    <xdr:colOff>276225</xdr:colOff>
                    <xdr:row>323</xdr:row>
                    <xdr:rowOff>9525</xdr:rowOff>
                  </from>
                  <to>
                    <xdr:col>3</xdr:col>
                    <xdr:colOff>95250</xdr:colOff>
                    <xdr:row>323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6" name="Check Box 324">
              <controlPr defaultSize="0" autoFill="0" autoLine="0" autoPict="0">
                <anchor moveWithCells="1">
                  <from>
                    <xdr:col>0</xdr:col>
                    <xdr:colOff>276225</xdr:colOff>
                    <xdr:row>324</xdr:row>
                    <xdr:rowOff>9525</xdr:rowOff>
                  </from>
                  <to>
                    <xdr:col>3</xdr:col>
                    <xdr:colOff>95250</xdr:colOff>
                    <xdr:row>324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7" name="Check Box 325">
              <controlPr defaultSize="0" autoFill="0" autoLine="0" autoPict="0">
                <anchor moveWithCells="1">
                  <from>
                    <xdr:col>0</xdr:col>
                    <xdr:colOff>276225</xdr:colOff>
                    <xdr:row>325</xdr:row>
                    <xdr:rowOff>9525</xdr:rowOff>
                  </from>
                  <to>
                    <xdr:col>3</xdr:col>
                    <xdr:colOff>95250</xdr:colOff>
                    <xdr:row>325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8" name="Check Box 326">
              <controlPr defaultSize="0" autoFill="0" autoLine="0" autoPict="0">
                <anchor moveWithCells="1">
                  <from>
                    <xdr:col>0</xdr:col>
                    <xdr:colOff>276225</xdr:colOff>
                    <xdr:row>326</xdr:row>
                    <xdr:rowOff>9525</xdr:rowOff>
                  </from>
                  <to>
                    <xdr:col>3</xdr:col>
                    <xdr:colOff>95250</xdr:colOff>
                    <xdr:row>326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9" name="Check Box 327">
              <controlPr defaultSize="0" autoFill="0" autoLine="0" autoPict="0">
                <anchor moveWithCells="1">
                  <from>
                    <xdr:col>0</xdr:col>
                    <xdr:colOff>276225</xdr:colOff>
                    <xdr:row>327</xdr:row>
                    <xdr:rowOff>9525</xdr:rowOff>
                  </from>
                  <to>
                    <xdr:col>3</xdr:col>
                    <xdr:colOff>95250</xdr:colOff>
                    <xdr:row>327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0" name="Check Box 328">
              <controlPr defaultSize="0" autoFill="0" autoLine="0" autoPict="0">
                <anchor moveWithCells="1">
                  <from>
                    <xdr:col>0</xdr:col>
                    <xdr:colOff>276225</xdr:colOff>
                    <xdr:row>328</xdr:row>
                    <xdr:rowOff>9525</xdr:rowOff>
                  </from>
                  <to>
                    <xdr:col>3</xdr:col>
                    <xdr:colOff>95250</xdr:colOff>
                    <xdr:row>328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1" name="Check Box 329">
              <controlPr defaultSize="0" autoFill="0" autoLine="0" autoPict="0">
                <anchor moveWithCells="1">
                  <from>
                    <xdr:col>0</xdr:col>
                    <xdr:colOff>276225</xdr:colOff>
                    <xdr:row>329</xdr:row>
                    <xdr:rowOff>9525</xdr:rowOff>
                  </from>
                  <to>
                    <xdr:col>3</xdr:col>
                    <xdr:colOff>95250</xdr:colOff>
                    <xdr:row>329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2" name="Check Box 330">
              <controlPr defaultSize="0" autoFill="0" autoLine="0" autoPict="0">
                <anchor moveWithCells="1">
                  <from>
                    <xdr:col>0</xdr:col>
                    <xdr:colOff>276225</xdr:colOff>
                    <xdr:row>330</xdr:row>
                    <xdr:rowOff>9525</xdr:rowOff>
                  </from>
                  <to>
                    <xdr:col>3</xdr:col>
                    <xdr:colOff>95250</xdr:colOff>
                    <xdr:row>330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3" name="Check Box 331">
              <controlPr defaultSize="0" autoFill="0" autoLine="0" autoPict="0">
                <anchor moveWithCells="1">
                  <from>
                    <xdr:col>0</xdr:col>
                    <xdr:colOff>276225</xdr:colOff>
                    <xdr:row>331</xdr:row>
                    <xdr:rowOff>9525</xdr:rowOff>
                  </from>
                  <to>
                    <xdr:col>3</xdr:col>
                    <xdr:colOff>95250</xdr:colOff>
                    <xdr:row>331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4" name="Check Box 332">
              <controlPr defaultSize="0" autoFill="0" autoLine="0" autoPict="0">
                <anchor moveWithCells="1">
                  <from>
                    <xdr:col>0</xdr:col>
                    <xdr:colOff>276225</xdr:colOff>
                    <xdr:row>332</xdr:row>
                    <xdr:rowOff>9525</xdr:rowOff>
                  </from>
                  <to>
                    <xdr:col>3</xdr:col>
                    <xdr:colOff>95250</xdr:colOff>
                    <xdr:row>332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5" name="Check Box 333">
              <controlPr defaultSize="0" autoFill="0" autoLine="0" autoPict="0">
                <anchor moveWithCells="1">
                  <from>
                    <xdr:col>0</xdr:col>
                    <xdr:colOff>276225</xdr:colOff>
                    <xdr:row>333</xdr:row>
                    <xdr:rowOff>9525</xdr:rowOff>
                  </from>
                  <to>
                    <xdr:col>3</xdr:col>
                    <xdr:colOff>95250</xdr:colOff>
                    <xdr:row>333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6" name="Check Box 334">
              <controlPr defaultSize="0" autoFill="0" autoLine="0" autoPict="0">
                <anchor moveWithCells="1">
                  <from>
                    <xdr:col>0</xdr:col>
                    <xdr:colOff>276225</xdr:colOff>
                    <xdr:row>334</xdr:row>
                    <xdr:rowOff>9525</xdr:rowOff>
                  </from>
                  <to>
                    <xdr:col>3</xdr:col>
                    <xdr:colOff>95250</xdr:colOff>
                    <xdr:row>334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7" name="Check Box 335">
              <controlPr defaultSize="0" autoFill="0" autoLine="0" autoPict="0">
                <anchor moveWithCells="1">
                  <from>
                    <xdr:col>0</xdr:col>
                    <xdr:colOff>276225</xdr:colOff>
                    <xdr:row>335</xdr:row>
                    <xdr:rowOff>9525</xdr:rowOff>
                  </from>
                  <to>
                    <xdr:col>3</xdr:col>
                    <xdr:colOff>95250</xdr:colOff>
                    <xdr:row>335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8" name="Check Box 336">
              <controlPr defaultSize="0" autoFill="0" autoLine="0" autoPict="0">
                <anchor moveWithCells="1">
                  <from>
                    <xdr:col>0</xdr:col>
                    <xdr:colOff>276225</xdr:colOff>
                    <xdr:row>336</xdr:row>
                    <xdr:rowOff>9525</xdr:rowOff>
                  </from>
                  <to>
                    <xdr:col>3</xdr:col>
                    <xdr:colOff>95250</xdr:colOff>
                    <xdr:row>336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9" name="Check Box 337">
              <controlPr defaultSize="0" autoFill="0" autoLine="0" autoPict="0">
                <anchor moveWithCells="1">
                  <from>
                    <xdr:col>0</xdr:col>
                    <xdr:colOff>276225</xdr:colOff>
                    <xdr:row>337</xdr:row>
                    <xdr:rowOff>9525</xdr:rowOff>
                  </from>
                  <to>
                    <xdr:col>3</xdr:col>
                    <xdr:colOff>95250</xdr:colOff>
                    <xdr:row>337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67C85245-D201-4CA8-8130-F03E2D1353B6}"/>
</file>

<file path=customXml/itemProps2.xml><?xml version="1.0" encoding="utf-8"?>
<ds:datastoreItem xmlns:ds="http://schemas.openxmlformats.org/officeDocument/2006/customXml" ds:itemID="{87A2AE04-64B1-4156-96AD-8FB5ED1B0F22}"/>
</file>

<file path=customXml/itemProps3.xml><?xml version="1.0" encoding="utf-8"?>
<ds:datastoreItem xmlns:ds="http://schemas.openxmlformats.org/officeDocument/2006/customXml" ds:itemID="{6A0C3785-CBC2-471F-99A6-02D0A5ED02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Kiscaden</dc:creator>
  <cp:keywords/>
  <dc:description/>
  <cp:lastModifiedBy>Kiscaden, Elizabeth</cp:lastModifiedBy>
  <cp:revision/>
  <dcterms:created xsi:type="dcterms:W3CDTF">2022-03-02T05:37:31Z</dcterms:created>
  <dcterms:modified xsi:type="dcterms:W3CDTF">2022-03-03T17:13:24Z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290600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